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Dados Funil" sheetId="4" r:id="rId7"/>
    <sheet state="visible" name="Dados Funil PV" sheetId="5" r:id="rId8"/>
    <sheet state="visible" name="Parâmetro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<sst xmlns="http://schemas.openxmlformats.org/spreadsheetml/2006/main" count="680" uniqueCount="392">
  <si>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</si>
  <si>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</si>
  <si>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</si>
  <si>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</si>
  <si>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</si>
  <si>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</si>
  <si>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</si>
  <si>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</si>
  <si>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</si>
  <si>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</si>
  <si>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</si>
  <si>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</si>
  <si>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</si>
  <si>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</si>
  <si>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</si>
  <si>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</si>
  <si>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</si>
  <si>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</si>
  <si>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</si>
  <si>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</si>
  <si>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</si>
  <si>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</si>
  <si>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</si>
  <si>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</si>
  <si>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</si>
  <si>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</si>
  <si>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</si>
  <si>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</si>
  <si>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</si>
  <si>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</si>
  <si>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</si>
  <si>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</si>
  <si>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</si>
  <si>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</si>
  <si>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</si>
  <si>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</si>
  <si>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</si>
  <si>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</si>
  <si>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</si>
  <si>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</si>
  <si>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</si>
  <si>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</si>
  <si>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</si>
  <si>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</si>
  <si>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</si>
  <si>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</si>
  <si>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</si>
  <si>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</si>
  <si>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</si>
  <si>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</si>
  <si>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</si>
  <si>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</si>
  <si>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</si>
  <si>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</si>
  <si>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</si>
  <si>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</si>
  <si>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</si>
  <si>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</si>
  <si>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</si>
  <si>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</si>
  <si>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</si>
  <si>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</si>
  <si>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</si>
  <si>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</si>
  <si>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</si>
  <si>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</si>
  <si>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</si>
  <si>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</si>
  <si>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</si>
  <si>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</si>
  <si>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</si>
  <si>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</si>
  <si>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</si>
  <si>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</si>
  <si>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</si>
  <si>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</si>
  <si>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</si>
  <si>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</si>
  <si>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</si>
  <si>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</si>
  <si>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</si>
  <si>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</si>
  <si>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</si>
  <si>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</si>
  <si>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</si>
  <si>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</si>
  <si>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</si>
  <si>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</si>
  <si>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</si>
  <si>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</si>
  <si>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</si>
  <si>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</si>
  <si>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</si>
  <si>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</si>
  <si>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</si>
  <si>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</si>
  <si>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</si>
  <si>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</si>
  <si>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</si>
  <si>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</si>
  <si>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</si>
  <si>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</si>
  <si>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</si>
  <si>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</si>
  <si>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</si>
  <si>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</si>
  <si>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</si>
  <si>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</si>
  <si>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</si>
  <si>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</si>
  <si>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</si>
  <si>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</si>
  <si>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</si>
  <si>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</si>
  <si>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</si>
  <si>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</si>
  <si>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</si>
  <si>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</si>
  <si>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</si>
  <si>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</si>
  <si>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</si>
  <si>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</si>
  <si>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</si>
  <si>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</si>
  <si>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</si>
  <si>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</si>
  <si>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</si>
  <si>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</si>
  <si>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Visão</t>
  </si>
  <si>
    <t>Mari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</si>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</sst>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5" xfId="0" applyFont="1" applyNumberFormat="1"/>
    <xf borderId="0" fillId="0" fontId="1" numFmtId="164" xfId="0" applyFont="1" applyNumberForma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2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0" fontId="1" numFmtId="4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Comercial!AE4:AF4"")"),9165130.036715556)</f>
        <v>9165130.037</v>
      </c>
      <c r="B2" s="3">
        <f>IFERROR(__xludf.DUMMYFUNCTION("""COMPUTED_VALUE"""),1.2536544912160644E7)</f>
        <v>12536544.91</v>
      </c>
      <c r="C2" s="3">
        <f>B2-A2</f>
        <v>3371414.875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"),"Form G4 Incompleto Outros")</f>
        <v>Form G4 Incompleto Outros</v>
      </c>
      <c r="G2" s="5">
        <f>IFERROR(__xludf.DUMMYFUNCTION("""COMPUTED_VALUE"""),-0.364986105597459)</f>
        <v>-0.3649861056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"),"Form G4 Incompleto Outros")</f>
        <v>Form G4 Incompleto Outros</v>
      </c>
      <c r="I2" s="5">
        <f>IFERROR(__xludf.DUMMYFUNCTION("""COMPUTED_VALUE"""),-0.5109022777981749)</f>
        <v>-0.5109022778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"),"[SKL] Midia Paga - Morno")</f>
        <v>[SKL] Midia Paga - Morno</v>
      </c>
      <c r="K2" s="6">
        <f>IFERROR(__xludf.DUMMYFUNCTION("""COMPUTED_VALUE"""),-18.77)</f>
        <v>-18.77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"),"Form G4 Outros - Não Orgânico")</f>
        <v>Form G4 Outros - Não Orgânico</v>
      </c>
      <c r="M2" s="6">
        <f>IFERROR(__xludf.DUMMYFUNCTION("""COMPUTED_VALUE"""),-25.0)</f>
        <v>-25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"),"Form G4 Outros - Não Orgânico")</f>
        <v>Form G4 Outros - Não Orgânico</v>
      </c>
      <c r="O2" s="5">
        <f>IFERROR(__xludf.DUMMYFUNCTION("""COMPUTED_VALUE"""),-1.0)</f>
        <v>-1</v>
      </c>
      <c r="P2" s="3">
        <f>IFERROR(__xludf.DUMMYFUNCTION("""COMPUTED_VALUE"""),-26000.0)</f>
        <v>-26000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"),0.7021276595744681)</f>
        <v>0.7021276596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"),0.3888888888888889)</f>
        <v>0.3888888889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"),"Aplicativo G4 - Indicação")</f>
        <v>Aplicativo G4 - Indicação</v>
      </c>
      <c r="AB2" s="5">
        <f>IFERROR(__xludf.DUMMYFUNCTION("""COMPUTED_VALUE"""),-0.8211165654380564)</f>
        <v>-0.8211165654</v>
      </c>
      <c r="AC2" s="3">
        <f>IFERROR(__xludf.DUMMYFUNCTION("""COMPUTED_VALUE"""),-3235.5714285714284)</f>
        <v>-3235.571429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"),"[ON] Form Meta")</f>
        <v>[ON] Form Meta</v>
      </c>
      <c r="AE2" s="5">
        <f>IFERROR(__xludf.DUMMYFUNCTION("""COMPUTED_VALUE"""),3.2043520961092655)</f>
        <v>3.204352096</v>
      </c>
      <c r="AF2" s="3">
        <f>IFERROR(__xludf.DUMMYFUNCTION("""COMPUTED_VALUE"""),2576.625)</f>
        <v>2576.625</v>
      </c>
      <c r="AG2" s="4" t="str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Comercial!AE2"")"),"#DIV/0!")</f>
        <v>#DIV/0!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IFERROR(__xludf.DUMMYFUNCTION("""COMPUTED_VALUE"""),"[SKL] Site")</f>
        <v>[SKL] Site</v>
      </c>
      <c r="G3" s="5">
        <f>IFERROR(__xludf.DUMMYFUNCTION("""COMPUTED_VALUE"""),-0.3644564198687906)</f>
        <v>-0.3644564199</v>
      </c>
      <c r="H3" s="4" t="str">
        <f>IFERROR(__xludf.DUMMYFUNCTION("""COMPUTED_VALUE"""),"[SKL] Site")</f>
        <v>[SKL] Site</v>
      </c>
      <c r="I3" s="5">
        <f>IFERROR(__xludf.DUMMYFUNCTION("""COMPUTED_VALUE"""),-0.464767753095717)</f>
        <v>-0.4647677531</v>
      </c>
      <c r="J3" s="4" t="str">
        <f>IFERROR(__xludf.DUMMYFUNCTION("""COMPUTED_VALUE"""),"Aplicativo G4 - Indicação")</f>
        <v>Aplicativo G4 - Indicação</v>
      </c>
      <c r="K3" s="6">
        <f>IFERROR(__xludf.DUMMYFUNCTION("""COMPUTED_VALUE"""),-14.269230769230766)</f>
        <v>-14.26923077</v>
      </c>
      <c r="L3" s="4" t="str">
        <f>IFERROR(__xludf.DUMMYFUNCTION("""COMPUTED_VALUE"""),"[SKL] Chat")</f>
        <v>[SKL] Chat</v>
      </c>
      <c r="M3" s="6">
        <f>IFERROR(__xludf.DUMMYFUNCTION("""COMPUTED_VALUE"""),-23.888888888888886)</f>
        <v>-23.88888889</v>
      </c>
      <c r="N3" s="4" t="str">
        <f>IFERROR(__xludf.DUMMYFUNCTION("""COMPUTED_VALUE"""),"[CM] Form G4 - Instagram")</f>
        <v>[CM] Form G4 - Instagram</v>
      </c>
      <c r="O3" s="5">
        <f>IFERROR(__xludf.DUMMYFUNCTION("""COMPUTED_VALUE"""),-1.0)</f>
        <v>-1</v>
      </c>
      <c r="P3" s="3">
        <f>IFERROR(__xludf.DUMMYFUNCTION("""COMPUTED_VALUE"""),-40000.0)</f>
        <v>-40000</v>
      </c>
      <c r="T3" s="4"/>
      <c r="AA3" s="4" t="str">
        <f>IFERROR(__xludf.DUMMYFUNCTION("""COMPUTED_VALUE"""),"[IM] Social DM")</f>
        <v>[IM] Social DM</v>
      </c>
      <c r="AB3" s="5">
        <f>IFERROR(__xludf.DUMMYFUNCTION("""COMPUTED_VALUE"""),-0.6084210374493857)</f>
        <v>-0.6084210374</v>
      </c>
      <c r="AC3" s="3">
        <f>IFERROR(__xludf.DUMMYFUNCTION("""COMPUTED_VALUE"""),-7503.813414038681)</f>
        <v>-7503.813414</v>
      </c>
      <c r="AD3" s="4" t="str">
        <f>IFERROR(__xludf.DUMMYFUNCTION("""COMPUTED_VALUE"""),"[SKL] CRM - Email")</f>
        <v>[SKL] CRM - Email</v>
      </c>
      <c r="AE3" s="5">
        <f>IFERROR(__xludf.DUMMYFUNCTION("""COMPUTED_VALUE"""),2.454753251093645)</f>
        <v>2.454753251</v>
      </c>
      <c r="AF3" s="3">
        <f>IFERROR(__xludf.DUMMYFUNCTION("""COMPUTED_VALUE"""),4997.1)</f>
        <v>4997.1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IFERROR(__xludf.DUMMYFUNCTION("""COMPUTED_VALUE"""),"Form G4 Outros - Não Orgânico")</f>
        <v>Form G4 Outros - Não Orgânico</v>
      </c>
      <c r="G4" s="5">
        <f>IFERROR(__xludf.DUMMYFUNCTION("""COMPUTED_VALUE"""),-0.15281650864472904)</f>
        <v>-0.1528165086</v>
      </c>
      <c r="H4" s="4" t="str">
        <f>IFERROR(__xludf.DUMMYFUNCTION("""COMPUTED_VALUE"""),"Form G4 Outros - Não Orgânico")</f>
        <v>Form G4 Outros - Não Orgânico</v>
      </c>
      <c r="I4" s="5">
        <f>IFERROR(__xludf.DUMMYFUNCTION("""COMPUTED_VALUE"""),-0.21113963839546565)</f>
        <v>-0.2111396384</v>
      </c>
      <c r="J4" s="4" t="str">
        <f>IFERROR(__xludf.DUMMYFUNCTION("""COMPUTED_VALUE"""),"[SKL] Outros")</f>
        <v>[SKL] Outros</v>
      </c>
      <c r="K4" s="6">
        <f>IFERROR(__xludf.DUMMYFUNCTION("""COMPUTED_VALUE"""),-10.911602209944752)</f>
        <v>-10.91160221</v>
      </c>
      <c r="L4" s="4" t="str">
        <f>IFERROR(__xludf.DUMMYFUNCTION("""COMPUTED_VALUE"""),"[CM] Form G4 - Instagram")</f>
        <v>[CM] Form G4 - Instagram</v>
      </c>
      <c r="M4" s="6">
        <f>IFERROR(__xludf.DUMMYFUNCTION("""COMPUTED_VALUE"""),-21.0)</f>
        <v>-21</v>
      </c>
      <c r="N4" s="4" t="str">
        <f>IFERROR(__xludf.DUMMYFUNCTION("""COMPUTED_VALUE"""),"[SKL] Midia Paga - Morno")</f>
        <v>[SKL] Midia Paga - Morno</v>
      </c>
      <c r="O4" s="5">
        <f>IFERROR(__xludf.DUMMYFUNCTION("""COMPUTED_VALUE"""),-1.0)</f>
        <v>-1</v>
      </c>
      <c r="P4" s="3">
        <f>IFERROR(__xludf.DUMMYFUNCTION("""COMPUTED_VALUE"""),-16731.0)</f>
        <v>-16731</v>
      </c>
      <c r="S4" s="4"/>
      <c r="T4" s="4"/>
      <c r="AA4" s="4" t="str">
        <f>IFERROR(__xludf.DUMMYFUNCTION("""COMPUTED_VALUE"""),"[IM] Form Facebook Ads")</f>
        <v>[IM] Form Facebook Ads</v>
      </c>
      <c r="AB4" s="5">
        <f>IFERROR(__xludf.DUMMYFUNCTION("""COMPUTED_VALUE"""),-0.5770662685100221)</f>
        <v>-0.5770662685</v>
      </c>
      <c r="AC4" s="3">
        <f>IFERROR(__xludf.DUMMYFUNCTION("""COMPUTED_VALUE"""),-3374.0695187165766)</f>
        <v>-3374.069519</v>
      </c>
      <c r="AD4" s="4" t="str">
        <f>IFERROR(__xludf.DUMMYFUNCTION("""COMPUTED_VALUE"""),"Form G4 Google")</f>
        <v>Form G4 Google</v>
      </c>
      <c r="AE4" s="5">
        <f>IFERROR(__xludf.DUMMYFUNCTION("""COMPUTED_VALUE"""),1.172423973318364)</f>
        <v>1.172423973</v>
      </c>
      <c r="AF4" s="3">
        <f>IFERROR(__xludf.DUMMYFUNCTION("""COMPUTED_VALUE"""),3983.024691358025)</f>
        <v>3983.024691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IFERROR(__xludf.DUMMYFUNCTION("""COMPUTED_VALUE"""),"[ON] Chat")</f>
        <v>[ON] Chat</v>
      </c>
      <c r="G5" s="5">
        <f>IFERROR(__xludf.DUMMYFUNCTION("""COMPUTED_VALUE"""),-0.10034965034964986)</f>
        <v>-0.1003496503</v>
      </c>
      <c r="H5" s="4" t="str">
        <f>IFERROR(__xludf.DUMMYFUNCTION("""COMPUTED_VALUE"""),"[ON] Chat")</f>
        <v>[ON] Chat</v>
      </c>
      <c r="I5" s="5">
        <f>IFERROR(__xludf.DUMMYFUNCTION("""COMPUTED_VALUE"""),-0.08852511125238345)</f>
        <v>-0.08852511125</v>
      </c>
      <c r="J5" s="4" t="str">
        <f>IFERROR(__xludf.DUMMYFUNCTION("""COMPUTED_VALUE"""),"[IM] Link de Indicação")</f>
        <v>[IM] Link de Indicação</v>
      </c>
      <c r="K5" s="6">
        <f>IFERROR(__xludf.DUMMYFUNCTION("""COMPUTED_VALUE"""),-10.522471910112358)</f>
        <v>-10.52247191</v>
      </c>
      <c r="L5" s="4" t="str">
        <f>IFERROR(__xludf.DUMMYFUNCTION("""COMPUTED_VALUE"""),"[ON] Abandono de carrinho")</f>
        <v>[ON] Abandono de carrinho</v>
      </c>
      <c r="M5" s="6">
        <f>IFERROR(__xludf.DUMMYFUNCTION("""COMPUTED_VALUE"""),-15.000000000000002)</f>
        <v>-15</v>
      </c>
      <c r="N5" s="4" t="str">
        <f>IFERROR(__xludf.DUMMYFUNCTION("""COMPUTED_VALUE"""),"Aplicativo G4 - Indicação")</f>
        <v>Aplicativo G4 - Indicação</v>
      </c>
      <c r="O5" s="5">
        <f>IFERROR(__xludf.DUMMYFUNCTION("""COMPUTED_VALUE"""),-0.613)</f>
        <v>-0.613</v>
      </c>
      <c r="P5" s="3">
        <f>IFERROR(__xludf.DUMMYFUNCTION("""COMPUTED_VALUE"""),-17777.0)</f>
        <v>-17777</v>
      </c>
      <c r="S5" s="4"/>
      <c r="T5" s="4"/>
      <c r="AA5" s="4" t="str">
        <f>IFERROR(__xludf.DUMMYFUNCTION("""COMPUTED_VALUE"""),"[SKL] Social")</f>
        <v>[SKL] Social</v>
      </c>
      <c r="AB5" s="5">
        <f>IFERROR(__xludf.DUMMYFUNCTION("""COMPUTED_VALUE"""),-0.46062927371168483)</f>
        <v>-0.4606292737</v>
      </c>
      <c r="AC5" s="3">
        <f>IFERROR(__xludf.DUMMYFUNCTION("""COMPUTED_VALUE"""),-1923.8333333333333)</f>
        <v>-1923.833333</v>
      </c>
      <c r="AD5" s="4" t="str">
        <f>IFERROR(__xludf.DUMMYFUNCTION("""COMPUTED_VALUE"""),"[SKL] Chat")</f>
        <v>[SKL] Chat</v>
      </c>
      <c r="AE5" s="5">
        <f>IFERROR(__xludf.DUMMYFUNCTION("""COMPUTED_VALUE"""),0.9996630848892549)</f>
        <v>0.9996630849</v>
      </c>
      <c r="AF5" s="3">
        <f>IFERROR(__xludf.DUMMYFUNCTION("""COMPUTED_VALUE"""),2455.5555555555557)</f>
        <v>2455.555556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/>
      <c r="G6" s="4"/>
      <c r="H6" s="4" t="str">
        <f>IFERROR(__xludf.DUMMYFUNCTION("""COMPUTED_VALUE"""),"[IM] Form G4 Facebook Ads - K")</f>
        <v>[IM] Form G4 Facebook Ads - K</v>
      </c>
      <c r="I6" s="5">
        <f>IFERROR(__xludf.DUMMYFUNCTION("""COMPUTED_VALUE"""),-0.021276046908348445)</f>
        <v>-0.02127604691</v>
      </c>
      <c r="J6" s="4" t="str">
        <f>IFERROR(__xludf.DUMMYFUNCTION("""COMPUTED_VALUE"""),"[SKL] CRM - WhatsApp")</f>
        <v>[SKL] CRM - WhatsApp</v>
      </c>
      <c r="K6" s="6">
        <f>IFERROR(__xludf.DUMMYFUNCTION("""COMPUTED_VALUE"""),-10.071428571428571)</f>
        <v>-10.07142857</v>
      </c>
      <c r="L6" s="4" t="str">
        <f>IFERROR(__xludf.DUMMYFUNCTION("""COMPUTED_VALUE"""),"Form G4 Outros - Orgânico")</f>
        <v>Form G4 Outros - Orgânico</v>
      </c>
      <c r="M6" s="6">
        <f>IFERROR(__xludf.DUMMYFUNCTION("""COMPUTED_VALUE"""),-14.039370078740154)</f>
        <v>-14.03937008</v>
      </c>
      <c r="N6" s="4" t="str">
        <f>IFERROR(__xludf.DUMMYFUNCTION("""COMPUTED_VALUE"""),"[IM] Social DM")</f>
        <v>[IM] Social DM</v>
      </c>
      <c r="O6" s="5">
        <f>IFERROR(__xludf.DUMMYFUNCTION("""COMPUTED_VALUE"""),-0.6067509942488236)</f>
        <v>-0.6067509942</v>
      </c>
      <c r="P6" s="3">
        <f>IFERROR(__xludf.DUMMYFUNCTION("""COMPUTED_VALUE"""),-19416.031815962357)</f>
        <v>-19416.03182</v>
      </c>
      <c r="Q6" s="7"/>
      <c r="S6" s="4"/>
      <c r="T6" s="4"/>
      <c r="AA6" s="4" t="str">
        <f>IFERROR(__xludf.DUMMYFUNCTION("""COMPUTED_VALUE"""),"[IM] Chat")</f>
        <v>[IM] Chat</v>
      </c>
      <c r="AB6" s="5">
        <f>IFERROR(__xludf.DUMMYFUNCTION("""COMPUTED_VALUE"""),-0.45932796052290925)</f>
        <v>-0.4593279605</v>
      </c>
      <c r="AC6" s="3">
        <f>IFERROR(__xludf.DUMMYFUNCTION("""COMPUTED_VALUE"""),-2823.3987267366642)</f>
        <v>-2823.398727</v>
      </c>
      <c r="AD6" s="4" t="str">
        <f>IFERROR(__xludf.DUMMYFUNCTION("""COMPUTED_VALUE"""),"[ON] Form G4 Incompleto")</f>
        <v>[ON] Form G4 Incompleto</v>
      </c>
      <c r="AE6" s="5">
        <f>IFERROR(__xludf.DUMMYFUNCTION("""COMPUTED_VALUE"""),0.7398343357808086)</f>
        <v>0.7398343358</v>
      </c>
      <c r="AF6" s="3">
        <f>IFERROR(__xludf.DUMMYFUNCTION("""COMPUTED_VALUE"""),450.7146353372714)</f>
        <v>450.7146353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/>
      <c r="G7" s="4"/>
      <c r="H7" s="4" t="str">
        <f>IFERROR(__xludf.DUMMYFUNCTION("""COMPUTED_VALUE"""),"Form G4 - K Outros")</f>
        <v>Form G4 - K Outros</v>
      </c>
      <c r="I7" s="5">
        <f>IFERROR(__xludf.DUMMYFUNCTION("""COMPUTED_VALUE"""),-0.012121276128074962)</f>
        <v>-0.01212127613</v>
      </c>
      <c r="J7" s="4" t="str">
        <f>IFERROR(__xludf.DUMMYFUNCTION("""COMPUTED_VALUE"""),"[SKL] CRM - Email")</f>
        <v>[SKL] CRM - Email</v>
      </c>
      <c r="K7" s="6">
        <f>IFERROR(__xludf.DUMMYFUNCTION("""COMPUTED_VALUE"""),-8.754966887417218)</f>
        <v>-8.754966887</v>
      </c>
      <c r="L7" s="4" t="str">
        <f>IFERROR(__xludf.DUMMYFUNCTION("""COMPUTED_VALUE"""),"Form G4 Instagram Outros")</f>
        <v>Form G4 Instagram Outros</v>
      </c>
      <c r="M7" s="6">
        <f>IFERROR(__xludf.DUMMYFUNCTION("""COMPUTED_VALUE"""),-12.541666666666668)</f>
        <v>-12.54166667</v>
      </c>
      <c r="N7" s="4" t="str">
        <f>IFERROR(__xludf.DUMMYFUNCTION("""COMPUTED_VALUE"""),"[FS] Time de vendas")</f>
        <v>[FS] Time de vendas</v>
      </c>
      <c r="O7" s="5">
        <f>IFERROR(__xludf.DUMMYFUNCTION("""COMPUTED_VALUE"""),-0.5474807751448951)</f>
        <v>-0.5474807751</v>
      </c>
      <c r="P7" s="3">
        <f>IFERROR(__xludf.DUMMYFUNCTION("""COMPUTED_VALUE"""),-29320.96034065824)</f>
        <v>-29320.96034</v>
      </c>
      <c r="S7" s="4"/>
      <c r="T7" s="4"/>
      <c r="AA7" s="4" t="str">
        <f>IFERROR(__xludf.DUMMYFUNCTION("""COMPUTED_VALUE"""),"Form G4 Outros - Orgânico")</f>
        <v>Form G4 Outros - Orgânico</v>
      </c>
      <c r="AB7" s="5">
        <f>IFERROR(__xludf.DUMMYFUNCTION("""COMPUTED_VALUE"""),-0.4540685840956362)</f>
        <v>-0.4540685841</v>
      </c>
      <c r="AC7" s="3">
        <f>IFERROR(__xludf.DUMMYFUNCTION("""COMPUTED_VALUE"""),-3948.8976377952745)</f>
        <v>-3948.897638</v>
      </c>
      <c r="AD7" s="4" t="str">
        <f>IFERROR(__xludf.DUMMYFUNCTION("""COMPUTED_VALUE"""),"Form G4 Instagram Tallis")</f>
        <v>Form G4 Instagram Tallis</v>
      </c>
      <c r="AE7" s="5">
        <f>IFERROR(__xludf.DUMMYFUNCTION("""COMPUTED_VALUE"""),0.6154244249539904)</f>
        <v>0.615424425</v>
      </c>
      <c r="AF7" s="3">
        <f>IFERROR(__xludf.DUMMYFUNCTION("""COMPUTED_VALUE"""),1187.8857142857141)</f>
        <v>1187.885714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/>
      <c r="G8" s="4"/>
      <c r="H8" s="4"/>
      <c r="I8" s="4"/>
      <c r="J8" s="4" t="str">
        <f>IFERROR(__xludf.DUMMYFUNCTION("""COMPUTED_VALUE"""),"[CM] Form G4 - Instagram")</f>
        <v>[CM] Form G4 - Instagram</v>
      </c>
      <c r="K8" s="6">
        <f>IFERROR(__xludf.DUMMYFUNCTION("""COMPUTED_VALUE"""),-8.32786885245902)</f>
        <v>-8.327868852</v>
      </c>
      <c r="L8" s="4" t="str">
        <f>IFERROR(__xludf.DUMMYFUNCTION("""COMPUTED_VALUE"""),"[ON] Form G4")</f>
        <v>[ON] Form G4</v>
      </c>
      <c r="M8" s="6">
        <f>IFERROR(__xludf.DUMMYFUNCTION("""COMPUTED_VALUE"""),-10.671232876712331)</f>
        <v>-10.67123288</v>
      </c>
      <c r="N8" s="4" t="str">
        <f>IFERROR(__xludf.DUMMYFUNCTION("""COMPUTED_VALUE"""),"[SKL] Midia Paga - Quente")</f>
        <v>[SKL] Midia Paga - Quente</v>
      </c>
      <c r="O8" s="5">
        <f>IFERROR(__xludf.DUMMYFUNCTION("""COMPUTED_VALUE"""),-0.4976453589489739)</f>
        <v>-0.4976453589</v>
      </c>
      <c r="P8" s="3">
        <f>IFERROR(__xludf.DUMMYFUNCTION("""COMPUTED_VALUE"""),-10627.714285714286)</f>
        <v>-10627.71429</v>
      </c>
      <c r="Q8" s="4"/>
      <c r="S8" s="4"/>
      <c r="T8" s="4"/>
      <c r="AA8" s="4" t="str">
        <f>IFERROR(__xludf.DUMMYFUNCTION("""COMPUTED_VALUE"""),"Form G4 Incompleto Instagram")</f>
        <v>Form G4 Incompleto Instagram</v>
      </c>
      <c r="AB8" s="5">
        <f>IFERROR(__xludf.DUMMYFUNCTION("""COMPUTED_VALUE"""),-0.4028542409679512)</f>
        <v>-0.402854241</v>
      </c>
      <c r="AC8" s="3">
        <f>IFERROR(__xludf.DUMMYFUNCTION("""COMPUTED_VALUE"""),-1074.641304347826)</f>
        <v>-1074.641304</v>
      </c>
      <c r="AD8" s="4" t="str">
        <f>IFERROR(__xludf.DUMMYFUNCTION("""COMPUTED_VALUE"""),"[CM] Form G4 - Outros")</f>
        <v>[CM] Form G4 - Outros</v>
      </c>
      <c r="AE8" s="5">
        <f>IFERROR(__xludf.DUMMYFUNCTION("""COMPUTED_VALUE"""),0.6039419067957217)</f>
        <v>0.6039419068</v>
      </c>
      <c r="AF8" s="3">
        <f>IFERROR(__xludf.DUMMYFUNCTION("""COMPUTED_VALUE"""),2276.923076923076)</f>
        <v>2276.923077</v>
      </c>
    </row>
    <row r="9">
      <c r="F9" s="4"/>
      <c r="G9" s="4"/>
      <c r="H9" s="4"/>
      <c r="I9" s="4"/>
      <c r="J9" s="4" t="str">
        <f>IFERROR(__xludf.DUMMYFUNCTION("""COMPUTED_VALUE"""),"[SKL] Midia Paga - Frio")</f>
        <v>[SKL] Midia Paga - Frio</v>
      </c>
      <c r="K9" s="6">
        <f>IFERROR(__xludf.DUMMYFUNCTION("""COMPUTED_VALUE"""),-6.539617834394903)</f>
        <v>-6.539617834</v>
      </c>
      <c r="L9" s="4" t="str">
        <f>IFERROR(__xludf.DUMMYFUNCTION("""COMPUTED_VALUE"""),"[SKL] Outros")</f>
        <v>[SKL] Outros</v>
      </c>
      <c r="M9" s="6">
        <f>IFERROR(__xludf.DUMMYFUNCTION("""COMPUTED_VALUE"""),-10.392156862745097)</f>
        <v>-10.39215686</v>
      </c>
      <c r="N9" s="9" t="str">
        <f>IFERROR(__xludf.DUMMYFUNCTION("""COMPUTED_VALUE"""),"[SKL] Midia Paga - Frio")</f>
        <v>[SKL] Midia Paga - Frio</v>
      </c>
      <c r="O9" s="5">
        <f>IFERROR(__xludf.DUMMYFUNCTION("""COMPUTED_VALUE"""),-0.46320625210456196)</f>
        <v>-0.4632062521</v>
      </c>
      <c r="P9" s="3">
        <f>IFERROR(__xludf.DUMMYFUNCTION("""COMPUTED_VALUE"""),-7909.7099609375)</f>
        <v>-7909.709961</v>
      </c>
      <c r="S9" s="4"/>
      <c r="T9" s="4"/>
      <c r="AA9" s="4" t="str">
        <f>IFERROR(__xludf.DUMMYFUNCTION("""COMPUTED_VALUE"""),"Form G4 - K Outros")</f>
        <v>Form G4 - K Outros</v>
      </c>
      <c r="AB9" s="5">
        <f>IFERROR(__xludf.DUMMYFUNCTION("""COMPUTED_VALUE"""),-0.3717787334777055)</f>
        <v>-0.3717787335</v>
      </c>
      <c r="AC9" s="3">
        <f>IFERROR(__xludf.DUMMYFUNCTION("""COMPUTED_VALUE"""),-1011.8499994045349)</f>
        <v>-1011.849999</v>
      </c>
      <c r="AD9" s="4" t="str">
        <f>IFERROR(__xludf.DUMMYFUNCTION("""COMPUTED_VALUE"""),"Form G4 Incompleto Outros")</f>
        <v>Form G4 Incompleto Outros</v>
      </c>
      <c r="AE9" s="5">
        <f>IFERROR(__xludf.DUMMYFUNCTION("""COMPUTED_VALUE"""),0.536469006377762)</f>
        <v>0.5364690064</v>
      </c>
      <c r="AF9" s="3">
        <f>IFERROR(__xludf.DUMMYFUNCTION("""COMPUTED_VALUE"""),391.66666666666674)</f>
        <v>391.6666667</v>
      </c>
    </row>
    <row r="10">
      <c r="F10" s="4"/>
      <c r="G10" s="4"/>
      <c r="H10" s="4"/>
      <c r="I10" s="4"/>
      <c r="J10" s="4" t="str">
        <f>IFERROR(__xludf.DUMMYFUNCTION("""COMPUTED_VALUE"""),"[SKL] Midia Paga - Quente")</f>
        <v>[SKL] Midia Paga - Quente</v>
      </c>
      <c r="K10" s="6">
        <f>IFERROR(__xludf.DUMMYFUNCTION("""COMPUTED_VALUE"""),-5.727148014440433)</f>
        <v>-5.727148014</v>
      </c>
      <c r="L10" s="4" t="str">
        <f>IFERROR(__xludf.DUMMYFUNCTION("""COMPUTED_VALUE"""),"[IM] Form Facebook Ads")</f>
        <v>[IM] Form Facebook Ads</v>
      </c>
      <c r="M10" s="6">
        <f>IFERROR(__xludf.DUMMYFUNCTION("""COMPUTED_VALUE"""),-8.943850267379679)</f>
        <v>-8.943850267</v>
      </c>
      <c r="N10" s="9" t="str">
        <f>IFERROR(__xludf.DUMMYFUNCTION("""COMPUTED_VALUE"""),"[IM] Chat")</f>
        <v>[IM] Chat</v>
      </c>
      <c r="O10" s="5">
        <f>IFERROR(__xludf.DUMMYFUNCTION("""COMPUTED_VALUE"""),-0.32731497995476977)</f>
        <v>-0.32731498</v>
      </c>
      <c r="P10" s="3">
        <f>IFERROR(__xludf.DUMMYFUNCTION("""COMPUTED_VALUE"""),-8510.189478824013)</f>
        <v>-8510.189479</v>
      </c>
      <c r="Q10" s="4"/>
      <c r="S10" s="4"/>
      <c r="T10" s="4"/>
      <c r="AA10" s="4" t="str">
        <f>IFERROR(__xludf.DUMMYFUNCTION("""COMPUTED_VALUE"""),"Form G4 Instagram G4")</f>
        <v>Form G4 Instagram G4</v>
      </c>
      <c r="AB10" s="5">
        <f>IFERROR(__xludf.DUMMYFUNCTION("""COMPUTED_VALUE"""),-0.23020985886537582)</f>
        <v>-0.2302098589</v>
      </c>
      <c r="AC10" s="3">
        <f>IFERROR(__xludf.DUMMYFUNCTION("""COMPUTED_VALUE"""),-2371.0231964207005)</f>
        <v>-2371.023196</v>
      </c>
      <c r="AD10" s="9" t="str">
        <f>IFERROR(__xludf.DUMMYFUNCTION("""COMPUTED_VALUE"""),"[IM] Link de Indicação")</f>
        <v>[IM] Link de Indicação</v>
      </c>
      <c r="AE10" s="10">
        <f>IFERROR(__xludf.DUMMYFUNCTION("""COMPUTED_VALUE"""),0.477278182581685)</f>
        <v>0.4772781826</v>
      </c>
      <c r="AF10" s="11">
        <f>IFERROR(__xludf.DUMMYFUNCTION("""COMPUTED_VALUE"""),942.1874999999991)</f>
        <v>942.1875</v>
      </c>
    </row>
    <row r="11">
      <c r="F11" s="4"/>
      <c r="G11" s="4"/>
      <c r="H11" s="4"/>
      <c r="I11" s="4"/>
      <c r="J11" s="4" t="str">
        <f>IFERROR(__xludf.DUMMYFUNCTION("""COMPUTED_VALUE"""),"Form G4 Facebook")</f>
        <v>Form G4 Facebook</v>
      </c>
      <c r="K11" s="6">
        <f>IFERROR(__xludf.DUMMYFUNCTION("""COMPUTED_VALUE"""),-4.037037037037039)</f>
        <v>-4.037037037</v>
      </c>
      <c r="L11" s="4" t="str">
        <f>IFERROR(__xludf.DUMMYFUNCTION("""COMPUTED_VALUE"""),"[ON] Chat")</f>
        <v>[ON] Chat</v>
      </c>
      <c r="M11" s="6">
        <f>IFERROR(__xludf.DUMMYFUNCTION("""COMPUTED_VALUE"""),-8.941176470588236)</f>
        <v>-8.941176471</v>
      </c>
      <c r="N11" s="9" t="str">
        <f>IFERROR(__xludf.DUMMYFUNCTION("""COMPUTED_VALUE"""),"[SKL] Social")</f>
        <v>[SKL] Social</v>
      </c>
      <c r="O11" s="5">
        <f>IFERROR(__xludf.DUMMYFUNCTION("""COMPUTED_VALUE"""),-0.3161111111111111)</f>
        <v>-0.3161111111</v>
      </c>
      <c r="P11" s="3">
        <f>IFERROR(__xludf.DUMMYFUNCTION("""COMPUTED_VALUE"""),-6638.333333333334)</f>
        <v>-6638.333333</v>
      </c>
      <c r="AA11" s="4" t="str">
        <f>IFERROR(__xludf.DUMMYFUNCTION("""COMPUTED_VALUE"""),"[ON] Form G4")</f>
        <v>[ON] Form G4</v>
      </c>
      <c r="AB11" s="5">
        <f>IFERROR(__xludf.DUMMYFUNCTION("""COMPUTED_VALUE"""),-0.22959383852480852)</f>
        <v>-0.2295938385</v>
      </c>
      <c r="AC11" s="3">
        <f>IFERROR(__xludf.DUMMYFUNCTION("""COMPUTED_VALUE"""),-1164.553416630993)</f>
        <v>-1164.553417</v>
      </c>
      <c r="AD11" s="9" t="str">
        <f>IFERROR(__xludf.DUMMYFUNCTION("""COMPUTED_VALUE"""),"[SKL] Midia Paga - Frio")</f>
        <v>[SKL] Midia Paga - Frio</v>
      </c>
      <c r="AE11" s="10">
        <f>IFERROR(__xludf.DUMMYFUNCTION("""COMPUTED_VALUE"""),0.46942414626896634)</f>
        <v>0.4694241463</v>
      </c>
      <c r="AF11" s="11">
        <f>IFERROR(__xludf.DUMMYFUNCTION("""COMPUTED_VALUE"""),165.97378962339747)</f>
        <v>165.9737896</v>
      </c>
    </row>
    <row r="12">
      <c r="F12" s="4"/>
      <c r="G12" s="4"/>
      <c r="H12" s="4"/>
      <c r="I12" s="4"/>
      <c r="J12" s="4" t="str">
        <f>IFERROR(__xludf.DUMMYFUNCTION("""COMPUTED_VALUE"""),"[ON] Form G4 Incompleto")</f>
        <v>[ON] Form G4 Incompleto</v>
      </c>
      <c r="K12" s="6">
        <f>IFERROR(__xludf.DUMMYFUNCTION("""COMPUTED_VALUE"""),-3.9383259911894286)</f>
        <v>-3.938325991</v>
      </c>
      <c r="L12" s="4" t="str">
        <f>IFERROR(__xludf.DUMMYFUNCTION("""COMPUTED_VALUE"""),"[SKL] Site")</f>
        <v>[SKL] Site</v>
      </c>
      <c r="M12" s="6">
        <f>IFERROR(__xludf.DUMMYFUNCTION("""COMPUTED_VALUE"""),-8.81818181818182)</f>
        <v>-8.818181818</v>
      </c>
      <c r="N12" s="9" t="str">
        <f>IFERROR(__xludf.DUMMYFUNCTION("""COMPUTED_VALUE"""),"Form G4 Instagram G4")</f>
        <v>Form G4 Instagram G4</v>
      </c>
      <c r="O12" s="5">
        <f>IFERROR(__xludf.DUMMYFUNCTION("""COMPUTED_VALUE"""),-0.3152988423947935)</f>
        <v>-0.3152988424</v>
      </c>
      <c r="P12" s="3">
        <f>IFERROR(__xludf.DUMMYFUNCTION("""COMPUTED_VALUE"""),-10089.562956633392)</f>
        <v>-10089.56296</v>
      </c>
      <c r="AA12" s="4" t="str">
        <f>IFERROR(__xludf.DUMMYFUNCTION("""COMPUTED_VALUE"""),"[ON] Chat")</f>
        <v>[ON] Chat</v>
      </c>
      <c r="AB12" s="5">
        <f>IFERROR(__xludf.DUMMYFUNCTION("""COMPUTED_VALUE"""),-0.22065394105078318)</f>
        <v>-0.2206539411</v>
      </c>
      <c r="AC12" s="3">
        <f>IFERROR(__xludf.DUMMYFUNCTION("""COMPUTED_VALUE"""),-782.3867645263674)</f>
        <v>-782.3867645</v>
      </c>
      <c r="AD12" s="9" t="str">
        <f>IFERROR(__xludf.DUMMYFUNCTION("""COMPUTED_VALUE"""),"Form G4 - K Instagram")</f>
        <v>Form G4 - K Instagram</v>
      </c>
      <c r="AE12" s="10">
        <f>IFERROR(__xludf.DUMMYFUNCTION("""COMPUTED_VALUE"""),0.43553452579405105)</f>
        <v>0.4355345258</v>
      </c>
      <c r="AF12" s="11">
        <f>IFERROR(__xludf.DUMMYFUNCTION("""COMPUTED_VALUE"""),215.21562576293945)</f>
        <v>215.2156258</v>
      </c>
    </row>
    <row r="13">
      <c r="F13" s="4"/>
      <c r="G13" s="4"/>
      <c r="H13" s="4"/>
      <c r="I13" s="4"/>
      <c r="J13" s="4" t="str">
        <f>IFERROR(__xludf.DUMMYFUNCTION("""COMPUTED_VALUE"""),"Form G4 Incompleto Outros")</f>
        <v>Form G4 Incompleto Outros</v>
      </c>
      <c r="K13" s="6">
        <f>IFERROR(__xludf.DUMMYFUNCTION("""COMPUTED_VALUE"""),-3.0503597122302164)</f>
        <v>-3.050359712</v>
      </c>
      <c r="L13" s="4" t="str">
        <f>IFERROR(__xludf.DUMMYFUNCTION("""COMPUTED_VALUE"""),"Aplicativo G4 - Indicação")</f>
        <v>Aplicativo G4 - Indicação</v>
      </c>
      <c r="M13" s="6">
        <f>IFERROR(__xludf.DUMMYFUNCTION("""COMPUTED_VALUE"""),-8.238095238095239)</f>
        <v>-8.238095238</v>
      </c>
      <c r="N13" s="9" t="str">
        <f>IFERROR(__xludf.DUMMYFUNCTION("""COMPUTED_VALUE"""),"[IM] Form Facebook Ads")</f>
        <v>[IM] Form Facebook Ads</v>
      </c>
      <c r="O13" s="5">
        <f>IFERROR(__xludf.DUMMYFUNCTION("""COMPUTED_VALUE"""),-0.31449568965517244)</f>
        <v>-0.3144956897</v>
      </c>
      <c r="P13" s="3">
        <f>IFERROR(__xludf.DUMMYFUNCTION("""COMPUTED_VALUE"""),-9120.375)</f>
        <v>-9120.375</v>
      </c>
      <c r="AA13" s="4" t="str">
        <f>IFERROR(__xludf.DUMMYFUNCTION("""COMPUTED_VALUE"""),"Form G4 Instagram Outros")</f>
        <v>Form G4 Instagram Outros</v>
      </c>
      <c r="AB13" s="5">
        <f>IFERROR(__xludf.DUMMYFUNCTION("""COMPUTED_VALUE"""),-0.1696675434556142)</f>
        <v>-0.1696675435</v>
      </c>
      <c r="AC13" s="3">
        <f>IFERROR(__xludf.DUMMYFUNCTION("""COMPUTED_VALUE"""),-2093.000000000001)</f>
        <v>-2093</v>
      </c>
      <c r="AD13" s="9" t="str">
        <f>IFERROR(__xludf.DUMMYFUNCTION("""COMPUTED_VALUE"""),"[IM] Form G4 Facebook Ads - K")</f>
        <v>[IM] Form G4 Facebook Ads - K</v>
      </c>
      <c r="AE13" s="10">
        <f>IFERROR(__xludf.DUMMYFUNCTION("""COMPUTED_VALUE"""),0.42680070689028904)</f>
        <v>0.4268007069</v>
      </c>
      <c r="AF13" s="11">
        <f>IFERROR(__xludf.DUMMYFUNCTION("""COMPUTED_VALUE"""),182.86963298276487)</f>
        <v>182.869633</v>
      </c>
    </row>
    <row r="14">
      <c r="F14" s="4"/>
      <c r="G14" s="4"/>
      <c r="H14" s="4"/>
      <c r="I14" s="4"/>
      <c r="J14" s="4" t="str">
        <f>IFERROR(__xludf.DUMMYFUNCTION("""COMPUTED_VALUE"""),"[IM] Social DM")</f>
        <v>[IM] Social DM</v>
      </c>
      <c r="K14" s="6">
        <f>IFERROR(__xludf.DUMMYFUNCTION("""COMPUTED_VALUE"""),-2.9139784946236533)</f>
        <v>-2.913978495</v>
      </c>
      <c r="L14" s="4" t="str">
        <f>IFERROR(__xludf.DUMMYFUNCTION("""COMPUTED_VALUE"""),"[SKL] CRM - Email")</f>
        <v>[SKL] CRM - Email</v>
      </c>
      <c r="M14" s="6">
        <f>IFERROR(__xludf.DUMMYFUNCTION("""COMPUTED_VALUE"""),-8.2)</f>
        <v>-8.2</v>
      </c>
      <c r="N14" s="9" t="str">
        <f>IFERROR(__xludf.DUMMYFUNCTION("""COMPUTED_VALUE"""),"Form G4 Incompleto Instagram")</f>
        <v>Form G4 Incompleto Instagram</v>
      </c>
      <c r="O14" s="5">
        <f>IFERROR(__xludf.DUMMYFUNCTION("""COMPUTED_VALUE"""),-0.21635588235294112)</f>
        <v>-0.2163558824</v>
      </c>
      <c r="P14" s="3">
        <f>IFERROR(__xludf.DUMMYFUNCTION("""COMPUTED_VALUE"""),-3678.0499999999993)</f>
        <v>-3678.05</v>
      </c>
      <c r="AA14" s="4" t="str">
        <f>IFERROR(__xludf.DUMMYFUNCTION("""COMPUTED_VALUE"""),"[SKL] Midia Paga - Quente")</f>
        <v>[SKL] Midia Paga - Quente</v>
      </c>
      <c r="AB14" s="5">
        <f>IFERROR(__xludf.DUMMYFUNCTION("""COMPUTED_VALUE"""),-0.14020204744739506)</f>
        <v>-0.1402020474</v>
      </c>
      <c r="AC14" s="3">
        <f>IFERROR(__xludf.DUMMYFUNCTION("""COMPUTED_VALUE"""),-540.3125538461538)</f>
        <v>-540.3125538</v>
      </c>
      <c r="AD14" s="9" t="str">
        <f>IFERROR(__xludf.DUMMYFUNCTION("""COMPUTED_VALUE"""),"[SKL] Site")</f>
        <v>[SKL] Site</v>
      </c>
      <c r="AE14" s="10">
        <f>IFERROR(__xludf.DUMMYFUNCTION("""COMPUTED_VALUE"""),0.30032344534312894)</f>
        <v>0.3003234453</v>
      </c>
      <c r="AF14" s="11">
        <f>IFERROR(__xludf.DUMMYFUNCTION("""COMPUTED_VALUE"""),156.24091131036948)</f>
        <v>156.2409113</v>
      </c>
    </row>
    <row r="15">
      <c r="F15" s="4"/>
      <c r="G15" s="4"/>
      <c r="H15" s="4"/>
      <c r="I15" s="4"/>
      <c r="J15" s="4" t="str">
        <f>IFERROR(__xludf.DUMMYFUNCTION("""COMPUTED_VALUE"""),"[ON] Abandono de carrinho")</f>
        <v>[ON] Abandono de carrinho</v>
      </c>
      <c r="K15" s="6">
        <f>IFERROR(__xludf.DUMMYFUNCTION("""COMPUTED_VALUE"""),-2.274611398963733)</f>
        <v>-2.274611399</v>
      </c>
      <c r="L15" s="9" t="str">
        <f>IFERROR(__xludf.DUMMYFUNCTION("""COMPUTED_VALUE"""),"[IM] Social DM")</f>
        <v>[IM] Social DM</v>
      </c>
      <c r="M15" s="6">
        <f>IFERROR(__xludf.DUMMYFUNCTION("""COMPUTED_VALUE"""),-7.170731707317074)</f>
        <v>-7.170731707</v>
      </c>
      <c r="N15" s="9" t="str">
        <f>IFERROR(__xludf.DUMMYFUNCTION("""COMPUTED_VALUE"""),"Form G4 - K Outros")</f>
        <v>Form G4 - K Outros</v>
      </c>
      <c r="O15" s="5">
        <f>IFERROR(__xludf.DUMMYFUNCTION("""COMPUTED_VALUE"""),-0.20905480722280648)</f>
        <v>-0.2090548072</v>
      </c>
      <c r="P15" s="3">
        <f>IFERROR(__xludf.DUMMYFUNCTION("""COMPUTED_VALUE"""),-2717.7124938964844)</f>
        <v>-2717.712494</v>
      </c>
      <c r="AA15" s="4" t="str">
        <f>IFERROR(__xludf.DUMMYFUNCTION("""COMPUTED_VALUE"""),"Form G4 Facebook")</f>
        <v>Form G4 Facebook</v>
      </c>
      <c r="AB15" s="5">
        <f>IFERROR(__xludf.DUMMYFUNCTION("""COMPUTED_VALUE"""),-0.1348550862723551)</f>
        <v>-0.1348550863</v>
      </c>
      <c r="AC15" s="3">
        <f>IFERROR(__xludf.DUMMYFUNCTION("""COMPUTED_VALUE"""),-1012.3870967741937)</f>
        <v>-1012.387097</v>
      </c>
      <c r="AD15" s="9" t="str">
        <f>IFERROR(__xludf.DUMMYFUNCTION("""COMPUTED_VALUE"""),"[SKL] CRM - WhatsApp")</f>
        <v>[SKL] CRM - WhatsApp</v>
      </c>
      <c r="AE15" s="10">
        <f>IFERROR(__xludf.DUMMYFUNCTION("""COMPUTED_VALUE"""),0.0652611607188951)</f>
        <v>0.06526116072</v>
      </c>
      <c r="AF15" s="11">
        <f>IFERROR(__xludf.DUMMYFUNCTION("""COMPUTED_VALUE"""),-450.0124969482422)</f>
        <v>-450.0124969</v>
      </c>
    </row>
    <row r="16">
      <c r="F16" s="4"/>
      <c r="G16" s="4"/>
      <c r="H16" s="4"/>
      <c r="I16" s="4"/>
      <c r="J16" s="4" t="str">
        <f>IFERROR(__xludf.DUMMYFUNCTION("""COMPUTED_VALUE"""),"Form G4 Outros - Não Orgânico")</f>
        <v>Form G4 Outros - Não Orgânico</v>
      </c>
      <c r="K16" s="6">
        <f>IFERROR(__xludf.DUMMYFUNCTION("""COMPUTED_VALUE"""),-2.230769230769231)</f>
        <v>-2.230769231</v>
      </c>
      <c r="L16" s="9" t="str">
        <f>IFERROR(__xludf.DUMMYFUNCTION("""COMPUTED_VALUE"""),"[IM] Chat")</f>
        <v>[IM] Chat</v>
      </c>
      <c r="M16" s="6">
        <f>IFERROR(__xludf.DUMMYFUNCTION("""COMPUTED_VALUE"""),-6.898089171974522)</f>
        <v>-6.898089172</v>
      </c>
      <c r="N16" s="9" t="str">
        <f>IFERROR(__xludf.DUMMYFUNCTION("""COMPUTED_VALUE"""),"[IM] Time de vendas")</f>
        <v>[IM] Time de vendas</v>
      </c>
      <c r="O16" s="5">
        <f>IFERROR(__xludf.DUMMYFUNCTION("""COMPUTED_VALUE"""),-0.2014609111032166)</f>
        <v>-0.2014609111</v>
      </c>
      <c r="P16" s="3">
        <f>IFERROR(__xludf.DUMMYFUNCTION("""COMPUTED_VALUE"""),-6028.015102467667)</f>
        <v>-6028.015102</v>
      </c>
      <c r="AA16" s="4" t="str">
        <f>IFERROR(__xludf.DUMMYFUNCTION("""COMPUTED_VALUE"""),"[SKL] Outros")</f>
        <v>[SKL] Outros</v>
      </c>
      <c r="AB16" s="5">
        <f>IFERROR(__xludf.DUMMYFUNCTION("""COMPUTED_VALUE"""),-0.12767085344009044)</f>
        <v>-0.1276708534</v>
      </c>
      <c r="AC16" s="3">
        <f>IFERROR(__xludf.DUMMYFUNCTION("""COMPUTED_VALUE"""),-2130.1176470588225)</f>
        <v>-2130.117647</v>
      </c>
    </row>
    <row r="17">
      <c r="F17" s="4"/>
      <c r="G17" s="4"/>
      <c r="H17" s="4"/>
      <c r="I17" s="4"/>
      <c r="J17" s="4" t="str">
        <f>IFERROR(__xludf.DUMMYFUNCTION("""COMPUTED_VALUE"""),"Form G4 Instagram G4")</f>
        <v>Form G4 Instagram G4</v>
      </c>
      <c r="K17" s="6">
        <f>IFERROR(__xludf.DUMMYFUNCTION("""COMPUTED_VALUE"""),-1.614213197969544)</f>
        <v>-1.614213198</v>
      </c>
      <c r="L17" s="9" t="str">
        <f>IFERROR(__xludf.DUMMYFUNCTION("""COMPUTED_VALUE"""),"Form G4 Incompleto Outros")</f>
        <v>Form G4 Incompleto Outros</v>
      </c>
      <c r="M17" s="6">
        <f>IFERROR(__xludf.DUMMYFUNCTION("""COMPUTED_VALUE"""),-6.444444444444445)</f>
        <v>-6.444444444</v>
      </c>
      <c r="N17" s="9" t="str">
        <f>IFERROR(__xludf.DUMMYFUNCTION("""COMPUTED_VALUE"""),"Form G4 Outros - Orgânico")</f>
        <v>Form G4 Outros - Orgânico</v>
      </c>
      <c r="O17" s="5">
        <f>IFERROR(__xludf.DUMMYFUNCTION("""COMPUTED_VALUE"""),-0.1613815789473685)</f>
        <v>-0.1613815789</v>
      </c>
      <c r="P17" s="3">
        <f>IFERROR(__xludf.DUMMYFUNCTION("""COMPUTED_VALUE"""),-3873.1578947368434)</f>
        <v>-3873.157895</v>
      </c>
      <c r="AA17" s="4"/>
      <c r="AB17" s="4"/>
      <c r="AC17" s="4"/>
    </row>
    <row r="18">
      <c r="F18" s="4"/>
      <c r="G18" s="4"/>
      <c r="H18" s="4"/>
      <c r="I18" s="4"/>
      <c r="J18" s="4" t="str">
        <f>IFERROR(__xludf.DUMMYFUNCTION("""COMPUTED_VALUE"""),"[SKL] Social")</f>
        <v>[SKL] Social</v>
      </c>
      <c r="K18" s="6">
        <f>IFERROR(__xludf.DUMMYFUNCTION("""COMPUTED_VALUE"""),-1.3333333333333335)</f>
        <v>-1.333333333</v>
      </c>
      <c r="L18" s="9" t="str">
        <f>IFERROR(__xludf.DUMMYFUNCTION("""COMPUTED_VALUE"""),"[SKL] Social")</f>
        <v>[SKL] Social</v>
      </c>
      <c r="M18" s="6">
        <f>IFERROR(__xludf.DUMMYFUNCTION("""COMPUTED_VALUE"""),-6.0)</f>
        <v>-6</v>
      </c>
      <c r="N18" s="9" t="str">
        <f>IFERROR(__xludf.DUMMYFUNCTION("""COMPUTED_VALUE"""),"[IM] Link de Indicação")</f>
        <v>[IM] Link de Indicação</v>
      </c>
      <c r="O18" s="5">
        <f>IFERROR(__xludf.DUMMYFUNCTION("""COMPUTED_VALUE"""),-0.138375)</f>
        <v>-0.138375</v>
      </c>
      <c r="P18" s="3">
        <f>IFERROR(__xludf.DUMMYFUNCTION("""COMPUTED_VALUE"""),-3321.0)</f>
        <v>-3321</v>
      </c>
      <c r="AA18" s="4"/>
      <c r="AB18" s="4"/>
      <c r="AC18" s="4"/>
    </row>
    <row r="19">
      <c r="F19" s="4"/>
      <c r="G19" s="4"/>
      <c r="H19" s="4"/>
      <c r="I19" s="4"/>
      <c r="J19" s="4" t="str">
        <f>IFERROR(__xludf.DUMMYFUNCTION("""COMPUTED_VALUE"""),"[IM] Form G4 Facebook Ads - K")</f>
        <v>[IM] Form G4 Facebook Ads - K</v>
      </c>
      <c r="K19" s="6">
        <f>IFERROR(__xludf.DUMMYFUNCTION("""COMPUTED_VALUE"""),-0.5286800156365401)</f>
        <v>-0.5286800156</v>
      </c>
      <c r="L19" s="9" t="str">
        <f>IFERROR(__xludf.DUMMYFUNCTION("""COMPUTED_VALUE"""),"[SKL] Midia Paga - Morno")</f>
        <v>[SKL] Midia Paga - Morno</v>
      </c>
      <c r="M19" s="6">
        <f>IFERROR(__xludf.DUMMYFUNCTION("""COMPUTED_VALUE"""),-5.92)</f>
        <v>-5.92</v>
      </c>
      <c r="N19" s="9" t="str">
        <f>IFERROR(__xludf.DUMMYFUNCTION("""COMPUTED_VALUE"""),"[ON] Chat")</f>
        <v>[ON] Chat</v>
      </c>
      <c r="O19" s="5">
        <f>IFERROR(__xludf.DUMMYFUNCTION("""COMPUTED_VALUE"""),-0.132063636240333)</f>
        <v>-0.1320636362</v>
      </c>
      <c r="P19" s="3">
        <f>IFERROR(__xludf.DUMMYFUNCTION("""COMPUTED_VALUE"""),-871.6199991861977)</f>
        <v>-871.6199992</v>
      </c>
      <c r="AA19" s="4"/>
      <c r="AB19" s="4"/>
      <c r="AC19" s="4"/>
    </row>
    <row r="20">
      <c r="F20" s="4"/>
      <c r="G20" s="4"/>
      <c r="H20" s="4"/>
      <c r="I20" s="4"/>
      <c r="J20" s="4" t="str">
        <f>IFERROR(__xludf.DUMMYFUNCTION("""COMPUTED_VALUE"""),"Form G4 - K Outros")</f>
        <v>Form G4 - K Outros</v>
      </c>
      <c r="K20" s="6">
        <f>IFERROR(__xludf.DUMMYFUNCTION("""COMPUTED_VALUE"""),-0.421052631578947)</f>
        <v>-0.4210526316</v>
      </c>
      <c r="L20" s="9" t="str">
        <f>IFERROR(__xludf.DUMMYFUNCTION("""COMPUTED_VALUE"""),"Form G4 - K Outros")</f>
        <v>Form G4 - K Outros</v>
      </c>
      <c r="M20" s="6">
        <f>IFERROR(__xludf.DUMMYFUNCTION("""COMPUTED_VALUE"""),-5.74390243902439)</f>
        <v>-5.743902439</v>
      </c>
      <c r="N20" s="9" t="str">
        <f>IFERROR(__xludf.DUMMYFUNCTION("""COMPUTED_VALUE"""),"[ON] Abandono de carrinho")</f>
        <v>[ON] Abandono de carrinho</v>
      </c>
      <c r="O20" s="5">
        <f>IFERROR(__xludf.DUMMYFUNCTION("""COMPUTED_VALUE"""),-0.038360744949274356)</f>
        <v>-0.03836074495</v>
      </c>
      <c r="P20" s="3">
        <f>IFERROR(__xludf.DUMMYFUNCTION("""COMPUTED_VALUE"""),-130.4265328275328)</f>
        <v>-130.4265328</v>
      </c>
      <c r="AA20" s="4"/>
      <c r="AB20" s="4"/>
      <c r="AC20" s="4"/>
    </row>
    <row r="21">
      <c r="F21" s="4"/>
      <c r="G21" s="4"/>
      <c r="H21" s="4"/>
      <c r="I21" s="4"/>
      <c r="J21" s="4" t="str">
        <f>IFERROR(__xludf.DUMMYFUNCTION("""COMPUTED_VALUE"""),"Form G4 Instagram Outros")</f>
        <v>Form G4 Instagram Outros</v>
      </c>
      <c r="K21" s="6">
        <f>IFERROR(__xludf.DUMMYFUNCTION("""COMPUTED_VALUE"""),-0.13183279742765008)</f>
        <v>-0.1318327974</v>
      </c>
      <c r="L21" s="9" t="str">
        <f>IFERROR(__xludf.DUMMYFUNCTION("""COMPUTED_VALUE"""),"[IM] Form G4 Facebook Ads - K")</f>
        <v>[IM] Form G4 Facebook Ads - K</v>
      </c>
      <c r="M21" s="6">
        <f>IFERROR(__xludf.DUMMYFUNCTION("""COMPUTED_VALUE"""),-5.49569238748343)</f>
        <v>-5.495692387</v>
      </c>
      <c r="N21" s="9" t="str">
        <f>IFERROR(__xludf.DUMMYFUNCTION("""COMPUTED_VALUE"""),"Form G4 Facebook")</f>
        <v>Form G4 Facebook</v>
      </c>
      <c r="O21" s="5">
        <f>IFERROR(__xludf.DUMMYFUNCTION("""COMPUTED_VALUE"""),-0.00817391304347826)</f>
        <v>-0.008173913043</v>
      </c>
      <c r="P21" s="3">
        <f>IFERROR(__xludf.DUMMYFUNCTION("""COMPUTED_VALUE"""),-188.0)</f>
        <v>-188</v>
      </c>
      <c r="AA21" s="4"/>
      <c r="AB21" s="4"/>
      <c r="AC21" s="4"/>
    </row>
    <row r="22">
      <c r="F22" s="4"/>
      <c r="G22" s="4"/>
      <c r="H22" s="4"/>
      <c r="I22" s="4"/>
      <c r="J22" s="4" t="str">
        <f>IFERROR(__xludf.DUMMYFUNCTION("""COMPUTED_VALUE"""),"[IM] Chat")</f>
        <v>[IM] Chat</v>
      </c>
      <c r="K22" s="6">
        <f>IFERROR(__xludf.DUMMYFUNCTION("""COMPUTED_VALUE"""),-0.06405693950178315)</f>
        <v>-0.0640569395</v>
      </c>
      <c r="L22" s="9" t="str">
        <f>IFERROR(__xludf.DUMMYFUNCTION("""COMPUTED_VALUE"""),"Form G4 - K Instagram")</f>
        <v>Form G4 - K Instagram</v>
      </c>
      <c r="M22" s="6">
        <f>IFERROR(__xludf.DUMMYFUNCTION("""COMPUTED_VALUE"""),-5.281250000000001)</f>
        <v>-5.28125</v>
      </c>
      <c r="O22" s="4"/>
      <c r="P22" s="4"/>
      <c r="AA22" s="4"/>
      <c r="AB22" s="4"/>
    </row>
    <row r="23">
      <c r="F23" s="4"/>
      <c r="G23" s="4"/>
      <c r="H23" s="4"/>
      <c r="I23" s="4"/>
      <c r="J23" s="4" t="str">
        <f>IFERROR(__xludf.DUMMYFUNCTION("""COMPUTED_VALUE"""),"[IM] Form Facebook Ads")</f>
        <v>[IM] Form Facebook Ads</v>
      </c>
      <c r="K23" s="6">
        <f>IFERROR(__xludf.DUMMYFUNCTION("""COMPUTED_VALUE"""),-0.0341880341880374)</f>
        <v>-0.03418803419</v>
      </c>
      <c r="L23" s="9" t="str">
        <f>IFERROR(__xludf.DUMMYFUNCTION("""COMPUTED_VALUE"""),"[ON] Form G4 Incompleto")</f>
        <v>[ON] Form G4 Incompleto</v>
      </c>
      <c r="M23" s="6">
        <f>IFERROR(__xludf.DUMMYFUNCTION("""COMPUTED_VALUE"""),-4.804878048780489)</f>
        <v>-4.804878049</v>
      </c>
      <c r="O23" s="4"/>
      <c r="P23" s="4"/>
      <c r="AA23" s="4"/>
      <c r="AB23" s="4"/>
    </row>
    <row r="24">
      <c r="F24" s="4"/>
      <c r="G24" s="4"/>
      <c r="H24" s="4"/>
      <c r="I24" s="4"/>
      <c r="J24" s="4"/>
      <c r="K24" s="4"/>
      <c r="L24" s="9" t="str">
        <f>IFERROR(__xludf.DUMMYFUNCTION("""COMPUTED_VALUE"""),"Form G4 Incompleto Instagram")</f>
        <v>Form G4 Incompleto Instagram</v>
      </c>
      <c r="M24" s="6">
        <f>IFERROR(__xludf.DUMMYFUNCTION("""COMPUTED_VALUE"""),-4.753623188405796)</f>
        <v>-4.753623188</v>
      </c>
      <c r="O24" s="4"/>
      <c r="P24" s="4"/>
      <c r="AA24" s="4"/>
      <c r="AB24" s="4"/>
    </row>
    <row r="25">
      <c r="F25" s="4"/>
      <c r="G25" s="4"/>
      <c r="H25" s="4"/>
      <c r="I25" s="4"/>
      <c r="J25" s="4"/>
      <c r="K25" s="4"/>
      <c r="L25" s="9" t="str">
        <f>IFERROR(__xludf.DUMMYFUNCTION("""COMPUTED_VALUE"""),"Form G4 Facebook")</f>
        <v>Form G4 Facebook</v>
      </c>
      <c r="M25" s="6">
        <f>IFERROR(__xludf.DUMMYFUNCTION("""COMPUTED_VALUE"""),-4.322580645161292)</f>
        <v>-4.322580645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L26" s="9" t="str">
        <f>IFERROR(__xludf.DUMMYFUNCTION("""COMPUTED_VALUE"""),"[SKL] CRM - WhatsApp")</f>
        <v>[SKL] CRM - WhatsApp</v>
      </c>
      <c r="M26" s="6">
        <f>IFERROR(__xludf.DUMMYFUNCTION("""COMPUTED_VALUE"""),-3.375)</f>
        <v>-3.375</v>
      </c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L27" s="9" t="str">
        <f>IFERROR(__xludf.DUMMYFUNCTION("""COMPUTED_VALUE"""),"Form G4 Instagram G4")</f>
        <v>Form G4 Instagram G4</v>
      </c>
      <c r="M27" s="6">
        <f>IFERROR(__xludf.DUMMYFUNCTION("""COMPUTED_VALUE"""),-2.0721003134796243)</f>
        <v>-2.072100313</v>
      </c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2">
        <f>IFERROR(__xludf.DUMMYFUNCTION("IMPORTRANGE(""https://docs.google.com/spreadsheets/d/1D6uzcbxSwPrh4oDMzqUQcTT-8H5GNx5DfmYrtr-kz2w"",""Visão ""&amp;'Parâmetro'!B1&amp;"" - Metas Comercial!AE1"")"),9683899.938602418)</f>
        <v>9683899.939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Comercial!AF4"")"),5947880.000366211)</f>
        <v>5947880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Comercial!AE4"")"),7519548.302324777)</f>
        <v>7519548.302</v>
      </c>
    </row>
    <row r="5">
      <c r="A5" s="1" t="s">
        <v>36</v>
      </c>
      <c r="B5" s="1" t="s">
        <v>2</v>
      </c>
      <c r="C5" s="3">
        <f>C3-C4</f>
        <v>-1571668.302</v>
      </c>
    </row>
    <row r="6">
      <c r="A6" s="1" t="s">
        <v>36</v>
      </c>
      <c r="B6" s="1" t="s">
        <v>39</v>
      </c>
      <c r="C6" s="5">
        <f>C3/C2</f>
        <v>0.6142029594</v>
      </c>
    </row>
    <row r="7">
      <c r="A7" s="1" t="s">
        <v>36</v>
      </c>
      <c r="B7" s="1" t="s">
        <v>40</v>
      </c>
      <c r="C7" s="5">
        <f>C3/C4</f>
        <v>0.7909890011</v>
      </c>
    </row>
    <row r="8">
      <c r="A8" s="1" t="s">
        <v>36</v>
      </c>
      <c r="B8" s="1" t="s">
        <v>41</v>
      </c>
      <c r="C8" s="5">
        <f>C9-C6</f>
        <v>0.1622970406</v>
      </c>
    </row>
    <row r="9">
      <c r="A9" s="1" t="s">
        <v>36</v>
      </c>
      <c r="B9" s="1" t="s">
        <v>42</v>
      </c>
      <c r="C9" s="7">
        <f>C4/C2</f>
        <v>0.7765</v>
      </c>
    </row>
    <row r="10">
      <c r="A10" s="1" t="s">
        <v>36</v>
      </c>
      <c r="B10" s="1" t="s">
        <v>43</v>
      </c>
      <c r="C10" s="13">
        <v>5000000.0</v>
      </c>
    </row>
    <row r="11">
      <c r="A11" s="1" t="s">
        <v>36</v>
      </c>
      <c r="B11" s="1" t="s">
        <v>44</v>
      </c>
      <c r="C11" s="3">
        <f>C3+C10</f>
        <v>10947880</v>
      </c>
    </row>
    <row r="12">
      <c r="A12" s="1" t="s">
        <v>36</v>
      </c>
      <c r="B12" s="1" t="s">
        <v>45</v>
      </c>
      <c r="C12" s="12">
        <f>C2-C11</f>
        <v>-1263980.062</v>
      </c>
    </row>
    <row r="13">
      <c r="A13" s="1" t="s">
        <v>46</v>
      </c>
      <c r="B13" s="1" t="s">
        <v>47</v>
      </c>
      <c r="C13" s="7">
        <f t="array" ref="C13:C14">TRANSPOSE('Dados Relatório'!Q2:R2)</f>
        <v>0.7021276596</v>
      </c>
    </row>
    <row r="14">
      <c r="A14" s="1" t="s">
        <v>46</v>
      </c>
      <c r="B14" s="1" t="s">
        <v>48</v>
      </c>
      <c r="C14" s="7">
        <v>0.3888888888888889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/>
      <c r="B23" s="4"/>
      <c r="C23" s="4"/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2" t="s">
        <v>85</v>
      </c>
      <c r="AK1" s="2" t="s">
        <v>86</v>
      </c>
      <c r="AL1" s="2" t="s">
        <v>87</v>
      </c>
      <c r="AM1" s="2" t="s">
        <v>88</v>
      </c>
      <c r="AN1" s="2" t="s">
        <v>89</v>
      </c>
      <c r="AO1" s="2" t="s">
        <v>90</v>
      </c>
      <c r="AP1" s="2" t="s">
        <v>91</v>
      </c>
      <c r="AQ1" s="2" t="s">
        <v>92</v>
      </c>
      <c r="AR1" s="2" t="s">
        <v>93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)"),"[IM] Form Facebook Ads")</f>
        <v>[IM] Form Facebook Ads</v>
      </c>
      <c r="B2" s="12">
        <f>IFERROR(__xludf.DUMMYFUNCTION("""COMPUTED_VALUE"""),-143467.8903570532)</f>
        <v>-143467.8904</v>
      </c>
      <c r="C2" s="7">
        <f t="shared" ref="C2:C1000" si="1">IF(B2="","",B2/SUM($B$2:$B$1000))</f>
        <v>0.3375321538</v>
      </c>
      <c r="D2" s="7">
        <f>IF(B2="","",C2)</f>
        <v>0.3375321538</v>
      </c>
      <c r="E2" s="3">
        <f t="array" ref="E2">XLOOKUP(A2,'Dados Funil'!$A:$A,'Dados Funil'!$K:$K,"")</f>
        <v>-88.34229702</v>
      </c>
      <c r="F2" s="5">
        <f t="array" ref="F2">XLOOKUP(A2,'Dados Funil'!$A:$A,'Dados Funil'!$L:$L,"")</f>
        <v>-0.252881766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)"),"Aplicativo G4 - Indicação")</f>
        <v>Aplicativo G4 - Indicação</v>
      </c>
      <c r="H2" s="12">
        <f>IFERROR(__xludf.DUMMYFUNCTION("""COMPUTED_VALUE"""),-190271.9)</f>
        <v>-190271.9</v>
      </c>
      <c r="I2" s="7">
        <f t="shared" ref="I2:I1000" si="2">IF(H2="","",H2/SUM($H$2:$H$1000))</f>
        <v>0.4044122945</v>
      </c>
      <c r="J2" s="7">
        <f>IF(H2="","",I2)</f>
        <v>0.4044122945</v>
      </c>
      <c r="K2" s="6">
        <f t="array" ref="K2">XLOOKUP(G2,'Dados Funil'!A:A,'Dados Funil'!O:O,"")</f>
        <v>-16.43973941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)"),"Form G4 Instagram G4")</f>
        <v>Form G4 Instagram G4</v>
      </c>
      <c r="M2" s="12">
        <f>IFERROR(__xludf.DUMMYFUNCTION("""COMPUTED_VALUE"""),-791278.3996582034)</f>
        <v>-791278.3997</v>
      </c>
      <c r="N2" s="7">
        <f t="shared" ref="N2:N1000" si="3">IF(M2="","",M2/SUM($M$2:$M$1000))</f>
        <v>0.2668638628</v>
      </c>
      <c r="O2" s="7">
        <f>IF(M2="","",N2)</f>
        <v>0.2668638628</v>
      </c>
      <c r="P2" s="12">
        <f t="array" ref="P2">XLOOKUP(L2,'Dados Funil'!A:A,'Dados Funil'!AM:AM,"")</f>
        <v>-2569.085713</v>
      </c>
      <c r="Q2" s="5">
        <f t="array" ref="Q2">XLOOKUP(L2,'Dados Funil'!A:A,'Dados Funil'!AN:AN,"")</f>
        <v>-0.4225469923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)"),"Form G4 Google")</f>
        <v>Form G4 Google</v>
      </c>
      <c r="S2" s="12">
        <f>IFERROR(__xludf.DUMMYFUNCTION("""COMPUTED_VALUE"""),240117.4222620445)</f>
        <v>240117.4223</v>
      </c>
      <c r="T2" s="7">
        <f t="shared" ref="T2:T1000" si="4">IF(S2="","",S2/SUM($S$2:$S$1000))</f>
        <v>0.4722752871</v>
      </c>
      <c r="U2" s="7">
        <f>IF(S2="","",T2)</f>
        <v>0.4722752871</v>
      </c>
      <c r="V2" s="3">
        <f t="array" ref="V2">XLOOKUP(R2,'Dados Funil'!$A:$A,'Dados Funil'!$K:$K,"")</f>
        <v>117.5663055</v>
      </c>
      <c r="W2" s="5">
        <f t="array" ref="W2">XLOOKUP(R2,'Dados Funil'!$A:$A,'Dados Funil'!$L:$L,"")</f>
        <v>1.579476958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)"),"[IM] Form Facebook Ads")</f>
        <v>[IM] Form Facebook Ads</v>
      </c>
      <c r="Y2" s="12">
        <f>IFERROR(__xludf.DUMMYFUNCTION("""COMPUTED_VALUE"""),139460.99999999994)</f>
        <v>139461</v>
      </c>
      <c r="Z2" s="7">
        <f t="shared" ref="Z2:Z1000" si="5">IF(Y2="","",Y2/SUM($Y$2:$Y$1000))</f>
        <v>0.45448324</v>
      </c>
      <c r="AA2" s="7">
        <f>IF(Y2="","",Z2)</f>
        <v>0.45448324</v>
      </c>
      <c r="AB2" s="6">
        <f t="array" ref="AB2">XLOOKUP(X2,'Dados Funil'!A:A,'Dados Funil'!O:O,"")</f>
        <v>10.52873563</v>
      </c>
      <c r="AC2" s="4" t="str">
        <f>IFERROR(__xludf.DUMMYFUNCTION("QUERY(FILTER('Dados Funil'!A:AP,'Dados Funil'!AP:AP&gt;0,'Dados Funil'!A:A&lt;&gt;""Linha de Receita""),""SELECT ""&amp;COLNAME(""Linha de Receita"")&amp;"",""&amp;COLNAME(""Gap Potencial de Receita Vendas"")&amp;"" ORDER BY ""&amp;COLNAME(""Gap Potencial de Receita Vendas"")&amp;"" DESC"&amp;""" )"),"Form G4 Google")</f>
        <v>Form G4 Google</v>
      </c>
      <c r="AD2" s="12">
        <f>IFERROR(__xludf.DUMMYFUNCTION("""COMPUTED_VALUE"""),290335.0)</f>
        <v>290335</v>
      </c>
      <c r="AE2" s="7">
        <f t="shared" ref="AE2:AE1000" si="6">IF(AD2="","",AD2/SUM($AD$2:$AD$1000))</f>
        <v>0.8487590259</v>
      </c>
      <c r="AF2" s="7">
        <f>IF(AD2="","",AE2)</f>
        <v>0.8487590259</v>
      </c>
      <c r="AG2" s="12">
        <f t="array" ref="AG2">XLOOKUP(AC2,'Dados Funil'!A:A,'Dados Funil'!AM:AM,"")</f>
        <v>3629.1875</v>
      </c>
      <c r="AH2" s="5">
        <f t="array" ref="AH2">XLOOKUP(AC2,'Dados Funil'!A:A,'Dados Funil'!AN:AN,"")</f>
        <v>0.6574615036</v>
      </c>
      <c r="AI2" s="9" t="str">
        <f>IFERROR(__xludf.DUMMYFUNCTION("QUERY('Dados Funil'!A2:AP100,""SELECT Col1, Col9, Col13, Col37 WHERE Col9 &gt; 0"")"),"Form G4 Instagram G4")</f>
        <v>Form G4 Instagram G4</v>
      </c>
      <c r="AJ2" s="11">
        <f>IFERROR(__xludf.DUMMYFUNCTION("""COMPUTED_VALUE"""),1006.954492418527)</f>
        <v>1006.954492</v>
      </c>
      <c r="AK2" s="10">
        <f>IFERROR(__xludf.DUMMYFUNCTION("""COMPUTED_VALUE"""),0.34)</f>
        <v>0.34</v>
      </c>
      <c r="AL2" s="9">
        <f>IFERROR(__xludf.DUMMYFUNCTION("""COMPUTED_VALUE"""),6080.000000000001)</f>
        <v>6080</v>
      </c>
      <c r="AM2" s="9">
        <f t="shared" ref="AM2:AM15" si="7">AJ2*AK2*AL2</f>
        <v>2081576.327</v>
      </c>
      <c r="AN2" s="9" t="str">
        <f>IFERROR(__xludf.DUMMYFUNCTION("QUERY('Dados Funil'!A2:AZ100,""SELECT Col1, Col10, Col14, Col38 WHERE Col9 &gt; 0"")"),"Form G4 Instagram G4")</f>
        <v>Form G4 Instagram G4</v>
      </c>
      <c r="AO2" s="11">
        <f>IFERROR(__xludf.DUMMYFUNCTION("""COMPUTED_VALUE"""),956.0)</f>
        <v>956</v>
      </c>
      <c r="AP2" s="10">
        <f>IFERROR(__xludf.DUMMYFUNCTION("""COMPUTED_VALUE"""),0.32217573221757323)</f>
        <v>0.3221757322</v>
      </c>
      <c r="AQ2" s="14">
        <f>IFERROR(__xludf.DUMMYFUNCTION("""COMPUTED_VALUE"""),3510.914286824016)</f>
        <v>3510.914287</v>
      </c>
      <c r="AR2" s="9">
        <f t="shared" ref="AR2:AR15" si="8">AO2*AP2*AQ2</f>
        <v>1081361.6</v>
      </c>
    </row>
    <row r="3">
      <c r="A3" s="4" t="str">
        <f>IFERROR(__xludf.DUMMYFUNCTION("""COMPUTED_VALUE"""),"Form G4 Instagram G4")</f>
        <v>Form G4 Instagram G4</v>
      </c>
      <c r="B3" s="12">
        <f>IFERROR(__xludf.DUMMYFUNCTION("""COMPUTED_VALUE"""),-105333.12672757907)</f>
        <v>-105333.1267</v>
      </c>
      <c r="C3" s="7">
        <f t="shared" si="1"/>
        <v>0.2478137585</v>
      </c>
      <c r="D3" s="7">
        <f t="shared" ref="D3:D1000" si="9">IF(B3="","",C3+D2)</f>
        <v>0.5853459123</v>
      </c>
      <c r="E3" s="3">
        <f t="array" ref="E3">XLOOKUP(A3,'Dados Funil'!$A:$A,'Dados Funil'!$K:$K,"")</f>
        <v>-50.95449242</v>
      </c>
      <c r="F3" s="5">
        <f t="array" ref="F3">XLOOKUP(A3,'Dados Funil'!$A:$A,'Dados Funil'!$L:$L,"")</f>
        <v>-0.05060257718</v>
      </c>
      <c r="G3" s="4" t="str">
        <f>IFERROR(__xludf.DUMMYFUNCTION("""COMPUTED_VALUE"""),"Form G4 Instagram G4")</f>
        <v>Form G4 Instagram G4</v>
      </c>
      <c r="H3" s="12">
        <f>IFERROR(__xludf.DUMMYFUNCTION("""COMPUTED_VALUE"""),-103603.20000000011)</f>
        <v>-103603.2</v>
      </c>
      <c r="I3" s="7">
        <f t="shared" si="2"/>
        <v>0.2202028141</v>
      </c>
      <c r="J3" s="7">
        <f t="shared" ref="J3:J1000" si="10">IF(H3="","",I3+J2)</f>
        <v>0.6246151086</v>
      </c>
      <c r="K3" s="6">
        <f t="array" ref="K3">XLOOKUP(G3,'Dados Funil'!A:A,'Dados Funil'!O:O,"")</f>
        <v>-1.782426778</v>
      </c>
      <c r="L3" s="4" t="str">
        <f>IFERROR(__xludf.DUMMYFUNCTION("""COMPUTED_VALUE"""),"Form G4 Outros - Orgânico")</f>
        <v>Form G4 Outros - Orgânico</v>
      </c>
      <c r="M3" s="12">
        <f>IFERROR(__xludf.DUMMYFUNCTION("""COMPUTED_VALUE"""),-494549.9999999999)</f>
        <v>-494550</v>
      </c>
      <c r="N3" s="7">
        <f t="shared" si="3"/>
        <v>0.1667902516</v>
      </c>
      <c r="O3" s="7">
        <f t="shared" ref="O3:O1000" si="11">IF(N3="","",N3+O2)</f>
        <v>0.4336541143</v>
      </c>
      <c r="P3" s="12">
        <f t="array" ref="P3">XLOOKUP(L3,'Dados Funil'!A:A,'Dados Funil'!AM:AM,"")</f>
        <v>-3925</v>
      </c>
      <c r="Q3" s="5">
        <f t="array" ref="Q3">XLOOKUP(L3,'Dados Funil'!A:A,'Dados Funil'!AN:AN,"")</f>
        <v>-0.5639367816</v>
      </c>
      <c r="R3" s="4" t="str">
        <f>IFERROR(__xludf.DUMMYFUNCTION("""COMPUTED_VALUE"""),"Aplicativo G4 - Indicação")</f>
        <v>Aplicativo G4 - Indicação</v>
      </c>
      <c r="S3" s="12">
        <f>IFERROR(__xludf.DUMMYFUNCTION("""COMPUTED_VALUE"""),168239.7490184848)</f>
        <v>168239.749</v>
      </c>
      <c r="T3" s="7">
        <f t="shared" si="4"/>
        <v>0.3309025852</v>
      </c>
      <c r="U3" s="7">
        <f t="shared" ref="U3:U9" si="12">IF(S3="","",T3+U2)</f>
        <v>0.8031778722</v>
      </c>
      <c r="V3" s="3">
        <f t="array" ref="V3">XLOOKUP(R3,'Dados Funil'!$A:$A,'Dados Funil'!$K:$K,"")</f>
        <v>212.5044196</v>
      </c>
      <c r="W3" s="5">
        <f t="array" ref="W3">XLOOKUP(R3,'Dados Funil'!$A:$A,'Dados Funil'!$L:$L,"")</f>
        <v>2.248829192</v>
      </c>
      <c r="X3" s="4" t="str">
        <f>IFERROR(__xludf.DUMMYFUNCTION("""COMPUTED_VALUE"""),"Form G4 Outros - Orgânico")</f>
        <v>Form G4 Outros - Orgânico</v>
      </c>
      <c r="Y3" s="12">
        <f>IFERROR(__xludf.DUMMYFUNCTION("""COMPUTED_VALUE"""),87696.00000000003)</f>
        <v>87696</v>
      </c>
      <c r="Z3" s="7">
        <f t="shared" si="5"/>
        <v>0.2857885876</v>
      </c>
      <c r="AA3" s="7">
        <f t="shared" ref="AA3:AA1000" si="13">IF(Y3="","",Z3+AA2)</f>
        <v>0.7402718277</v>
      </c>
      <c r="AB3" s="6">
        <f t="array" ref="AB3">XLOOKUP(X3,'Dados Funil'!A:A,'Dados Funil'!O:O,"")</f>
        <v>4.666666667</v>
      </c>
      <c r="AC3" s="4" t="str">
        <f>IFERROR(__xludf.DUMMYFUNCTION("""COMPUTED_VALUE"""),"[CM] Form G4 - Outros")</f>
        <v>[CM] Form G4 - Outros</v>
      </c>
      <c r="AD3" s="12">
        <f>IFERROR(__xludf.DUMMYFUNCTION("""COMPUTED_VALUE"""),37999.99999999999)</f>
        <v>38000</v>
      </c>
      <c r="AE3" s="7">
        <f t="shared" si="6"/>
        <v>0.1110883737</v>
      </c>
      <c r="AF3" s="7">
        <f t="shared" ref="AF3:AF11" si="14">IF(AE3="","",AE3+AF2)</f>
        <v>0.9598473997</v>
      </c>
      <c r="AG3" s="12">
        <f t="array" ref="AG3">XLOOKUP(AC3,'Dados Funil'!A:A,'Dados Funil'!AM:AM,"")</f>
        <v>3166.666667</v>
      </c>
      <c r="AH3" s="5">
        <f t="array" ref="AH3">XLOOKUP(AC3,'Dados Funil'!A:A,'Dados Funil'!AN:AN,"")</f>
        <v>0.376984127</v>
      </c>
      <c r="AI3" s="9" t="str">
        <f>IFERROR(__xludf.DUMMYFUNCTION("""COMPUTED_VALUE"""),"Form G4 Outros - Orgânico")</f>
        <v>Form G4 Outros - Orgânico</v>
      </c>
      <c r="AJ3" s="11">
        <f>IFERROR(__xludf.DUMMYFUNCTION("""COMPUTED_VALUE"""),281.7481976667213)</f>
        <v>281.7481977</v>
      </c>
      <c r="AK3" s="10">
        <f>IFERROR(__xludf.DUMMYFUNCTION("""COMPUTED_VALUE"""),0.42)</f>
        <v>0.42</v>
      </c>
      <c r="AL3" s="9">
        <f>IFERROR(__xludf.DUMMYFUNCTION("""COMPUTED_VALUE"""),6959.999999999999)</f>
        <v>6960</v>
      </c>
      <c r="AM3" s="9">
        <f t="shared" si="7"/>
        <v>823606.3314</v>
      </c>
      <c r="AN3" s="9" t="str">
        <f>IFERROR(__xludf.DUMMYFUNCTION("""COMPUTED_VALUE"""),"Form G4 Outros - Orgânico")</f>
        <v>Form G4 Outros - Orgânico</v>
      </c>
      <c r="AO3" s="11">
        <f>IFERROR(__xludf.DUMMYFUNCTION("""COMPUTED_VALUE"""),270.0)</f>
        <v>270</v>
      </c>
      <c r="AP3" s="10">
        <f>IFERROR(__xludf.DUMMYFUNCTION("""COMPUTED_VALUE"""),0.4666666666666667)</f>
        <v>0.4666666667</v>
      </c>
      <c r="AQ3" s="14">
        <f>IFERROR(__xludf.DUMMYFUNCTION("""COMPUTED_VALUE"""),3035.0)</f>
        <v>3035</v>
      </c>
      <c r="AR3" s="9">
        <f t="shared" si="8"/>
        <v>382410</v>
      </c>
    </row>
    <row r="4">
      <c r="A4" s="4" t="str">
        <f>IFERROR(__xludf.DUMMYFUNCTION("""COMPUTED_VALUE"""),"Form G4 Outros - Não Orgânico")</f>
        <v>Form G4 Outros - Não Orgânico</v>
      </c>
      <c r="B4" s="12">
        <f>IFERROR(__xludf.DUMMYFUNCTION("""COMPUTED_VALUE"""),-99418.2153700188)</f>
        <v>-99418.21537</v>
      </c>
      <c r="C4" s="7">
        <f t="shared" si="1"/>
        <v>0.2338979424</v>
      </c>
      <c r="D4" s="7">
        <f t="shared" si="9"/>
        <v>0.8192438547</v>
      </c>
      <c r="E4" s="3">
        <f t="array" ref="E4">XLOOKUP(A4,'Dados Funil'!$A:$A,'Dados Funil'!$K:$K,"")</f>
        <v>-46.34881835</v>
      </c>
      <c r="F4" s="5">
        <f t="array" ref="F4">XLOOKUP(A4,'Dados Funil'!$A:$A,'Dados Funil'!$L:$L,"")</f>
        <v>-0.3819470101</v>
      </c>
      <c r="G4" s="4" t="str">
        <f>IFERROR(__xludf.DUMMYFUNCTION("""COMPUTED_VALUE"""),"[IM] Link de Indicação")</f>
        <v>[IM] Link de Indicação</v>
      </c>
      <c r="H4" s="12">
        <f>IFERROR(__xludf.DUMMYFUNCTION("""COMPUTED_VALUE"""),-63535.2)</f>
        <v>-63535.2</v>
      </c>
      <c r="I4" s="7">
        <f t="shared" si="2"/>
        <v>0.1350405184</v>
      </c>
      <c r="J4" s="7">
        <f t="shared" si="10"/>
        <v>0.759655627</v>
      </c>
      <c r="K4" s="6">
        <f t="array" ref="K4">XLOOKUP(G4,'Dados Funil'!A:A,'Dados Funil'!O:O,"")</f>
        <v>-13.38372093</v>
      </c>
      <c r="L4" s="4" t="str">
        <f>IFERROR(__xludf.DUMMYFUNCTION("""COMPUTED_VALUE"""),"[IM] Chat")</f>
        <v>[IM] Chat</v>
      </c>
      <c r="M4" s="12">
        <f>IFERROR(__xludf.DUMMYFUNCTION("""COMPUTED_VALUE"""),-450703.60009765625)</f>
        <v>-450703.6001</v>
      </c>
      <c r="N4" s="7">
        <f t="shared" si="3"/>
        <v>0.1520027638</v>
      </c>
      <c r="O4" s="7">
        <f t="shared" si="11"/>
        <v>0.5856568781</v>
      </c>
      <c r="P4" s="12">
        <f t="array" ref="P4">XLOOKUP(L4,'Dados Funil'!A:A,'Dados Funil'!AM:AM,"")</f>
        <v>-2907.765162</v>
      </c>
      <c r="Q4" s="5">
        <f t="array" ref="Q4">XLOOKUP(L4,'Dados Funil'!A:A,'Dados Funil'!AN:AN,"")</f>
        <v>-0.5886164295</v>
      </c>
      <c r="R4" s="4" t="str">
        <f>IFERROR(__xludf.DUMMYFUNCTION("""COMPUTED_VALUE"""),"Form G4 Instagram Outros")</f>
        <v>Form G4 Instagram Outros</v>
      </c>
      <c r="S4" s="12">
        <f>IFERROR(__xludf.DUMMYFUNCTION("""COMPUTED_VALUE"""),36196.91784960216)</f>
        <v>36196.91785</v>
      </c>
      <c r="T4" s="7">
        <f t="shared" si="4"/>
        <v>0.07119395839</v>
      </c>
      <c r="U4" s="7">
        <f t="shared" si="12"/>
        <v>0.8743718306</v>
      </c>
      <c r="V4" s="3">
        <f t="array" ref="V4">XLOOKUP(R4,'Dados Funil'!$A:$A,'Dados Funil'!$K:$K,"")</f>
        <v>19.079126</v>
      </c>
      <c r="W4" s="5">
        <f t="array" ref="W4">XLOOKUP(R4,'Dados Funil'!$A:$A,'Dados Funil'!$L:$L,"")</f>
        <v>0.06672869222</v>
      </c>
      <c r="X4" s="4" t="str">
        <f>IFERROR(__xludf.DUMMYFUNCTION("""COMPUTED_VALUE"""),"Form G4 Google")</f>
        <v>Form G4 Google</v>
      </c>
      <c r="Y4" s="12">
        <f>IFERROR(__xludf.DUMMYFUNCTION("""COMPUTED_VALUE"""),49459.200000000026)</f>
        <v>49459.2</v>
      </c>
      <c r="Z4" s="7">
        <f t="shared" si="5"/>
        <v>0.1611803835</v>
      </c>
      <c r="AA4" s="7">
        <f t="shared" si="13"/>
        <v>0.9014522112</v>
      </c>
      <c r="AB4" s="6">
        <f t="array" ref="AB4">XLOOKUP(X4,'Dados Funil'!A:A,'Dados Funil'!O:O,"")</f>
        <v>4.666666667</v>
      </c>
      <c r="AC4" s="4" t="str">
        <f>IFERROR(__xludf.DUMMYFUNCTION("""COMPUTED_VALUE"""),"[IM] Link de Indicação")</f>
        <v>[IM] Link de Indicação</v>
      </c>
      <c r="AD4" s="12">
        <f>IFERROR(__xludf.DUMMYFUNCTION("""COMPUTED_VALUE"""),13734.999999999993)</f>
        <v>13735</v>
      </c>
      <c r="AE4" s="7">
        <f t="shared" si="6"/>
        <v>0.04015260034</v>
      </c>
      <c r="AF4" s="7">
        <f t="shared" si="14"/>
        <v>1</v>
      </c>
      <c r="AG4" s="12">
        <f t="array" ref="AG4">XLOOKUP(AC4,'Dados Funil'!A:A,'Dados Funil'!AM:AM,"")</f>
        <v>1056.538462</v>
      </c>
      <c r="AH4" s="5">
        <f t="array" ref="AH4">XLOOKUP(AC4,'Dados Funil'!A:A,'Dados Funil'!AN:AN,"")</f>
        <v>0.1914018952</v>
      </c>
      <c r="AI4" s="9" t="str">
        <f>IFERROR(__xludf.DUMMYFUNCTION("""COMPUTED_VALUE"""),"[IM] Chat")</f>
        <v>[IM] Chat</v>
      </c>
      <c r="AJ4" s="11">
        <f>IFERROR(__xludf.DUMMYFUNCTION("""COMPUTED_VALUE"""),584.4678537700078)</f>
        <v>584.4678538</v>
      </c>
      <c r="AK4" s="10">
        <f>IFERROR(__xludf.DUMMYFUNCTION("""COMPUTED_VALUE"""),0.28)</f>
        <v>0.28</v>
      </c>
      <c r="AL4" s="9">
        <f>IFERROR(__xludf.DUMMYFUNCTION("""COMPUTED_VALUE"""),4940.0)</f>
        <v>4940</v>
      </c>
      <c r="AM4" s="9">
        <f t="shared" si="7"/>
        <v>808435.9353</v>
      </c>
      <c r="AN4" s="9" t="str">
        <f>IFERROR(__xludf.DUMMYFUNCTION("""COMPUTED_VALUE"""),"[IM] Chat")</f>
        <v>[IM] Chat</v>
      </c>
      <c r="AO4" s="11">
        <f>IFERROR(__xludf.DUMMYFUNCTION("""COMPUTED_VALUE"""),559.0)</f>
        <v>559</v>
      </c>
      <c r="AP4" s="10">
        <f>IFERROR(__xludf.DUMMYFUNCTION("""COMPUTED_VALUE"""),0.2772808586762075)</f>
        <v>0.2772808587</v>
      </c>
      <c r="AQ4" s="14">
        <f>IFERROR(__xludf.DUMMYFUNCTION("""COMPUTED_VALUE"""),2032.234838079637)</f>
        <v>2032.234838</v>
      </c>
      <c r="AR4" s="9">
        <f t="shared" si="8"/>
        <v>314996.3999</v>
      </c>
    </row>
    <row r="5">
      <c r="A5" s="4" t="str">
        <f>IFERROR(__xludf.DUMMYFUNCTION("""COMPUTED_VALUE"""),"[IM] Chat")</f>
        <v>[IM] Chat</v>
      </c>
      <c r="B5" s="12">
        <f>IFERROR(__xludf.DUMMYFUNCTION("""COMPUTED_VALUE"""),-35227.13533467475)</f>
        <v>-35227.13533</v>
      </c>
      <c r="C5" s="7">
        <f t="shared" si="1"/>
        <v>0.08287771453</v>
      </c>
      <c r="D5" s="7">
        <f t="shared" si="9"/>
        <v>0.9021215692</v>
      </c>
      <c r="E5" s="3">
        <f t="array" ref="E5">XLOOKUP(A5,'Dados Funil'!$A:$A,'Dados Funil'!$K:$K,"")</f>
        <v>-25.46785377</v>
      </c>
      <c r="F5" s="5">
        <f t="array" ref="F5">XLOOKUP(A5,'Dados Funil'!$A:$A,'Dados Funil'!$L:$L,"")</f>
        <v>-0.04357443032</v>
      </c>
      <c r="G5" s="4" t="str">
        <f>IFERROR(__xludf.DUMMYFUNCTION("""COMPUTED_VALUE"""),"[CM] Form G4 - Instagram")</f>
        <v>[CM] Form G4 - Instagram</v>
      </c>
      <c r="H5" s="12">
        <f>IFERROR(__xludf.DUMMYFUNCTION("""COMPUTED_VALUE"""),-37296.00000000001)</f>
        <v>-37296</v>
      </c>
      <c r="I5" s="7">
        <f t="shared" si="2"/>
        <v>0.07927056458</v>
      </c>
      <c r="J5" s="7">
        <f t="shared" si="10"/>
        <v>0.8389261916</v>
      </c>
      <c r="K5" s="6">
        <f t="array" ref="K5">XLOOKUP(G5,'Dados Funil'!A:A,'Dados Funil'!O:O,"")</f>
        <v>-9.25</v>
      </c>
      <c r="L5" s="4" t="str">
        <f>IFERROR(__xludf.DUMMYFUNCTION("""COMPUTED_VALUE"""),"[IM] Form Facebook Ads")</f>
        <v>[IM] Form Facebook Ads</v>
      </c>
      <c r="M5" s="12">
        <f>IFERROR(__xludf.DUMMYFUNCTION("""COMPUTED_VALUE"""),-440683.9999999999)</f>
        <v>-440684</v>
      </c>
      <c r="N5" s="7">
        <f t="shared" si="3"/>
        <v>0.1486235875</v>
      </c>
      <c r="O5" s="7">
        <f t="shared" si="11"/>
        <v>0.7342804656</v>
      </c>
      <c r="P5" s="12">
        <f t="array" ref="P5">XLOOKUP(L5,'Dados Funil'!A:A,'Dados Funil'!AM:AM,"")</f>
        <v>-3970.126126</v>
      </c>
      <c r="Q5" s="5">
        <f t="array" ref="Q5">XLOOKUP(L5,'Dados Funil'!A:A,'Dados Funil'!AN:AN,"")</f>
        <v>-0.7822908623</v>
      </c>
      <c r="R5" s="4" t="str">
        <f>IFERROR(__xludf.DUMMYFUNCTION("""COMPUTED_VALUE"""),"[IM] Social DM")</f>
        <v>[IM] Social DM</v>
      </c>
      <c r="S5" s="12">
        <f>IFERROR(__xludf.DUMMYFUNCTION("""COMPUTED_VALUE"""),32816.309677419595)</f>
        <v>32816.30968</v>
      </c>
      <c r="T5" s="7">
        <f t="shared" si="4"/>
        <v>0.06454480449</v>
      </c>
      <c r="U5" s="7">
        <f t="shared" si="12"/>
        <v>0.9389166351</v>
      </c>
      <c r="V5" s="3">
        <f t="array" ref="V5">XLOOKUP(R5,'Dados Funil'!$A:$A,'Dados Funil'!$K:$K,"")</f>
        <v>6.417457306</v>
      </c>
      <c r="W5" s="5">
        <f t="array" ref="W5">XLOOKUP(R5,'Dados Funil'!$A:$A,'Dados Funil'!$L:$L,"")</f>
        <v>0.07411952925</v>
      </c>
      <c r="X5" s="4" t="str">
        <f>IFERROR(__xludf.DUMMYFUNCTION("""COMPUTED_VALUE"""),"[CM] Form G4 - Outros")</f>
        <v>[CM] Form G4 - Outros</v>
      </c>
      <c r="Y5" s="12">
        <f>IFERROR(__xludf.DUMMYFUNCTION("""COMPUTED_VALUE"""),30239.999999999996)</f>
        <v>30240</v>
      </c>
      <c r="Z5" s="7">
        <f t="shared" si="5"/>
        <v>0.09854778883</v>
      </c>
      <c r="AA5" s="7">
        <f t="shared" si="13"/>
        <v>1</v>
      </c>
      <c r="AB5" s="6">
        <f t="array" ref="AB5">XLOOKUP(X5,'Dados Funil'!A:A,'Dados Funil'!O:O,"")</f>
        <v>12</v>
      </c>
      <c r="AC5" s="4"/>
      <c r="AD5" s="4"/>
      <c r="AE5" s="7" t="str">
        <f t="shared" si="6"/>
        <v/>
      </c>
      <c r="AF5" s="4" t="str">
        <f t="shared" si="14"/>
        <v/>
      </c>
      <c r="AG5" s="4" t="str">
        <f t="array" ref="AG5">XLOOKUP(AC5,'Dados Funil'!A:A,'Dados Funil'!AM:AM,"")</f>
        <v/>
      </c>
      <c r="AH5" s="4" t="str">
        <f t="array" ref="AH5">XLOOKUP(AC5,'Dados Funil'!A:A,'Dados Funil'!AN:AN,"")</f>
        <v/>
      </c>
      <c r="AI5" s="9" t="str">
        <f>IFERROR(__xludf.DUMMYFUNCTION("""COMPUTED_VALUE"""),"[IM] Form Facebook Ads")</f>
        <v>[IM] Form Facebook Ads</v>
      </c>
      <c r="AJ5" s="11">
        <f>IFERROR(__xludf.DUMMYFUNCTION("""COMPUTED_VALUE"""),349.3422970178899)</f>
        <v>349.342297</v>
      </c>
      <c r="AK5" s="10">
        <f>IFERROR(__xludf.DUMMYFUNCTION("""COMPUTED_VALUE"""),0.32)</f>
        <v>0.32</v>
      </c>
      <c r="AL5" s="9">
        <f>IFERROR(__xludf.DUMMYFUNCTION("""COMPUTED_VALUE"""),5074.999999999999)</f>
        <v>5075</v>
      </c>
      <c r="AM5" s="9">
        <f t="shared" si="7"/>
        <v>567331.8904</v>
      </c>
      <c r="AN5" s="9" t="str">
        <f>IFERROR(__xludf.DUMMYFUNCTION("""COMPUTED_VALUE"""),"[IM] Form Facebook Ads")</f>
        <v>[IM] Form Facebook Ads</v>
      </c>
      <c r="AO5" s="11">
        <f>IFERROR(__xludf.DUMMYFUNCTION("""COMPUTED_VALUE"""),261.0)</f>
        <v>261</v>
      </c>
      <c r="AP5" s="10">
        <f>IFERROR(__xludf.DUMMYFUNCTION("""COMPUTED_VALUE"""),0.42528735632183906)</f>
        <v>0.4252873563</v>
      </c>
      <c r="AQ5" s="14">
        <f>IFERROR(__xludf.DUMMYFUNCTION("""COMPUTED_VALUE"""),1104.873873873874)</f>
        <v>1104.873874</v>
      </c>
      <c r="AR5" s="9">
        <f t="shared" si="8"/>
        <v>122641</v>
      </c>
    </row>
    <row r="6">
      <c r="A6" s="4" t="str">
        <f>IFERROR(__xludf.DUMMYFUNCTION("""COMPUTED_VALUE"""),"Form G4 Outros - Orgânico")</f>
        <v>Form G4 Outros - Orgânico</v>
      </c>
      <c r="B6" s="12">
        <f>IFERROR(__xludf.DUMMYFUNCTION("""COMPUTED_VALUE"""),-34342.33141935969)</f>
        <v>-34342.33142</v>
      </c>
      <c r="C6" s="7">
        <f t="shared" si="1"/>
        <v>0.08079606567</v>
      </c>
      <c r="D6" s="7">
        <f t="shared" si="9"/>
        <v>0.9829176349</v>
      </c>
      <c r="E6" s="3">
        <f t="array" ref="E6">XLOOKUP(A6,'Dados Funil'!$A:$A,'Dados Funil'!$K:$K,"")</f>
        <v>-11.74819767</v>
      </c>
      <c r="F6" s="5">
        <f t="array" ref="F6">XLOOKUP(A6,'Dados Funil'!$A:$A,'Dados Funil'!$L:$L,"")</f>
        <v>-0.04169750779</v>
      </c>
      <c r="G6" s="4" t="str">
        <f>IFERROR(__xludf.DUMMYFUNCTION("""COMPUTED_VALUE"""),"[IM] Social DM")</f>
        <v>[IM] Social DM</v>
      </c>
      <c r="H6" s="12">
        <f>IFERROR(__xludf.DUMMYFUNCTION("""COMPUTED_VALUE"""),-29484.799999999974)</f>
        <v>-29484.8</v>
      </c>
      <c r="I6" s="7">
        <f t="shared" si="2"/>
        <v>0.06266829532</v>
      </c>
      <c r="J6" s="7">
        <f t="shared" si="10"/>
        <v>0.9015944869</v>
      </c>
      <c r="K6" s="6">
        <f t="array" ref="K6">XLOOKUP(G6,'Dados Funil'!A:A,'Dados Funil'!O:O,"")</f>
        <v>-2.913978495</v>
      </c>
      <c r="L6" s="4" t="str">
        <f>IFERROR(__xludf.DUMMYFUNCTION("""COMPUTED_VALUE"""),"[IM] Social DM")</f>
        <v>[IM] Social DM</v>
      </c>
      <c r="M6" s="12">
        <f>IFERROR(__xludf.DUMMYFUNCTION("""COMPUTED_VALUE"""),-307656.34997558594)</f>
        <v>-307656.35</v>
      </c>
      <c r="N6" s="7">
        <f t="shared" si="3"/>
        <v>0.1037591346</v>
      </c>
      <c r="O6" s="7">
        <f t="shared" si="11"/>
        <v>0.8380396002</v>
      </c>
      <c r="P6" s="12">
        <f t="array" ref="P6">XLOOKUP(L6,'Dados Funil'!A:A,'Dados Funil'!AM:AM,"")</f>
        <v>-7503.813414</v>
      </c>
      <c r="Q6" s="5">
        <f t="array" ref="Q6">XLOOKUP(L6,'Dados Funil'!A:A,'Dados Funil'!AN:AN,"")</f>
        <v>-0.6896887329</v>
      </c>
      <c r="R6" s="4" t="str">
        <f>IFERROR(__xludf.DUMMYFUNCTION("""COMPUTED_VALUE"""),"[IM] Link de Indicação")</f>
        <v>[IM] Link de Indicação</v>
      </c>
      <c r="S6" s="12">
        <f>IFERROR(__xludf.DUMMYFUNCTION("""COMPUTED_VALUE"""),15750.186266541754)</f>
        <v>15750.18627</v>
      </c>
      <c r="T6" s="7">
        <f t="shared" si="4"/>
        <v>0.03097827584</v>
      </c>
      <c r="U6" s="7">
        <f t="shared" si="12"/>
        <v>0.969894911</v>
      </c>
      <c r="V6" s="3">
        <f t="array" ref="V6">XLOOKUP(R6,'Dados Funil'!$A:$A,'Dados Funil'!$K:$K,"")</f>
        <v>10.01156005</v>
      </c>
      <c r="W6" s="5">
        <f t="array" ref="W6">XLOOKUP(R6,'Dados Funil'!$A:$A,'Dados Funil'!$L:$L,"")</f>
        <v>0.1317510934</v>
      </c>
      <c r="X6" s="4"/>
      <c r="Y6" s="4"/>
      <c r="Z6" s="7" t="str">
        <f t="shared" si="5"/>
        <v/>
      </c>
      <c r="AA6" s="4" t="str">
        <f t="shared" si="13"/>
        <v/>
      </c>
      <c r="AB6" s="4" t="str">
        <f t="array" ref="AB6">XLOOKUP(X6,'Dados Funil'!A:A,'Dados Funil'!O:O,"")</f>
        <v/>
      </c>
      <c r="AC6" s="4"/>
      <c r="AD6" s="4"/>
      <c r="AE6" s="7" t="str">
        <f t="shared" si="6"/>
        <v/>
      </c>
      <c r="AF6" s="4" t="str">
        <f t="shared" si="14"/>
        <v/>
      </c>
      <c r="AG6" s="4" t="str">
        <f t="array" ref="AG6">XLOOKUP(AC6,'Dados Funil'!A:A,'Dados Funil'!AM:AM,"")</f>
        <v/>
      </c>
      <c r="AH6" s="4" t="str">
        <f t="array" ref="AH6">XLOOKUP(AC6,'Dados Funil'!A:A,'Dados Funil'!AN:AN,"")</f>
        <v/>
      </c>
      <c r="AI6" s="9" t="str">
        <f>IFERROR(__xludf.DUMMYFUNCTION("""COMPUTED_VALUE"""),"Form G4 Instagram Outros")</f>
        <v>Form G4 Instagram Outros</v>
      </c>
      <c r="AJ6" s="11">
        <f>IFERROR(__xludf.DUMMYFUNCTION("""COMPUTED_VALUE"""),285.92087399873384)</f>
        <v>285.920874</v>
      </c>
      <c r="AK6" s="10">
        <f>IFERROR(__xludf.DUMMYFUNCTION("""COMPUTED_VALUE"""),0.31)</f>
        <v>0.31</v>
      </c>
      <c r="AL6" s="9">
        <f>IFERROR(__xludf.DUMMYFUNCTION("""COMPUTED_VALUE"""),6120.000000000001)</f>
        <v>6120</v>
      </c>
      <c r="AM6" s="9">
        <f t="shared" si="7"/>
        <v>542449.0822</v>
      </c>
      <c r="AN6" s="9" t="str">
        <f>IFERROR(__xludf.DUMMYFUNCTION("""COMPUTED_VALUE"""),"Form G4 Instagram Outros")</f>
        <v>Form G4 Instagram Outros</v>
      </c>
      <c r="AO6" s="11">
        <f>IFERROR(__xludf.DUMMYFUNCTION("""COMPUTED_VALUE"""),305.0)</f>
        <v>305</v>
      </c>
      <c r="AP6" s="10">
        <f>IFERROR(__xludf.DUMMYFUNCTION("""COMPUTED_VALUE"""),0.3081967213114754)</f>
        <v>0.3081967213</v>
      </c>
      <c r="AQ6" s="14">
        <f>IFERROR(__xludf.DUMMYFUNCTION("""COMPUTED_VALUE"""),4112.68085106383)</f>
        <v>4112.680851</v>
      </c>
      <c r="AR6" s="9">
        <f t="shared" si="8"/>
        <v>386592</v>
      </c>
    </row>
    <row r="7">
      <c r="A7" s="4" t="str">
        <f>IFERROR(__xludf.DUMMYFUNCTION("""COMPUTED_VALUE"""),"[CM] Form G4 - Outros")</f>
        <v>[CM] Form G4 - Outros</v>
      </c>
      <c r="B7" s="12">
        <f>IFERROR(__xludf.DUMMYFUNCTION("""COMPUTED_VALUE"""),-5726.740645161246)</f>
        <v>-5726.740645</v>
      </c>
      <c r="C7" s="7">
        <f t="shared" si="1"/>
        <v>0.01347311304</v>
      </c>
      <c r="D7" s="7">
        <f t="shared" si="9"/>
        <v>0.9963907479</v>
      </c>
      <c r="E7" s="3">
        <f t="array" ref="E7">XLOOKUP(A7,'Dados Funil'!$A:$A,'Dados Funil'!$K:$K,"")</f>
        <v>-2.43483871</v>
      </c>
      <c r="F7" s="5">
        <f t="array" ref="F7">XLOOKUP(A7,'Dados Funil'!$A:$A,'Dados Funil'!$L:$L,"")</f>
        <v>-0.07506862394</v>
      </c>
      <c r="G7" s="4" t="str">
        <f>IFERROR(__xludf.DUMMYFUNCTION("""COMPUTED_VALUE"""),"Form G4 Outros - Não Orgânico")</f>
        <v>Form G4 Outros - Não Orgânico</v>
      </c>
      <c r="H7" s="12">
        <f>IFERROR(__xludf.DUMMYFUNCTION("""COMPUTED_VALUE"""),-17875.000000000007)</f>
        <v>-17875</v>
      </c>
      <c r="I7" s="7">
        <f t="shared" si="2"/>
        <v>0.03799231397</v>
      </c>
      <c r="J7" s="7">
        <f t="shared" si="10"/>
        <v>0.9395868009</v>
      </c>
      <c r="K7" s="6">
        <f t="array" ref="K7">XLOOKUP(G7,'Dados Funil'!A:A,'Dados Funil'!O:O,"")</f>
        <v>-3.666666667</v>
      </c>
      <c r="L7" s="4" t="str">
        <f>IFERROR(__xludf.DUMMYFUNCTION("""COMPUTED_VALUE"""),"Form G4 Instagram Outros")</f>
        <v>Form G4 Instagram Outros</v>
      </c>
      <c r="M7" s="12">
        <f>IFERROR(__xludf.DUMMYFUNCTION("""COMPUTED_VALUE"""),-188688.00000000006)</f>
        <v>-188688</v>
      </c>
      <c r="N7" s="7">
        <f t="shared" si="3"/>
        <v>0.06363627335</v>
      </c>
      <c r="O7" s="7">
        <f t="shared" si="11"/>
        <v>0.9016758736</v>
      </c>
      <c r="P7" s="12">
        <f t="array" ref="P7">XLOOKUP(L7,'Dados Funil'!A:A,'Dados Funil'!AM:AM,"")</f>
        <v>-2007.319149</v>
      </c>
      <c r="Q7" s="5">
        <f t="array" ref="Q7">XLOOKUP(L7,'Dados Funil'!A:A,'Dados Funil'!AN:AN,"")</f>
        <v>-0.327993325</v>
      </c>
      <c r="R7" s="4" t="str">
        <f>IFERROR(__xludf.DUMMYFUNCTION("""COMPUTED_VALUE"""),"Form G4 Facebook")</f>
        <v>Form G4 Facebook</v>
      </c>
      <c r="S7" s="12">
        <f>IFERROR(__xludf.DUMMYFUNCTION("""COMPUTED_VALUE"""),15306.234681585414)</f>
        <v>15306.23468</v>
      </c>
      <c r="T7" s="7">
        <f t="shared" si="4"/>
        <v>0.03010508904</v>
      </c>
      <c r="U7" s="7">
        <f t="shared" si="12"/>
        <v>1</v>
      </c>
      <c r="V7" s="3">
        <f t="array" ref="V7">XLOOKUP(R7,'Dados Funil'!$A:$A,'Dados Funil'!$K:$K,"")</f>
        <v>17.60551493</v>
      </c>
      <c r="W7" s="5">
        <f t="array" ref="W7">XLOOKUP(R7,'Dados Funil'!$A:$A,'Dados Funil'!$L:$L,"")</f>
        <v>0.1499688416</v>
      </c>
      <c r="X7" s="4"/>
      <c r="Y7" s="4"/>
      <c r="Z7" s="7" t="str">
        <f t="shared" si="5"/>
        <v/>
      </c>
      <c r="AA7" s="4" t="str">
        <f t="shared" si="13"/>
        <v/>
      </c>
      <c r="AB7" s="4" t="str">
        <f t="array" ref="AB7">XLOOKUP(X7,'Dados Funil'!A:A,'Dados Funil'!O:O,"")</f>
        <v/>
      </c>
      <c r="AC7" s="4"/>
      <c r="AD7" s="4"/>
      <c r="AE7" s="7" t="str">
        <f t="shared" si="6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IFERROR(__xludf.DUMMYFUNCTION("""COMPUTED_VALUE"""),"[IM] Social DM")</f>
        <v>[IM] Social DM</v>
      </c>
      <c r="AJ7" s="11">
        <f>IFERROR(__xludf.DUMMYFUNCTION("""COMPUTED_VALUE"""),86.5825426944971)</f>
        <v>86.58254269</v>
      </c>
      <c r="AK7" s="10">
        <f>IFERROR(__xludf.DUMMYFUNCTION("""COMPUTED_VALUE"""),0.47)</f>
        <v>0.47</v>
      </c>
      <c r="AL7" s="9">
        <f>IFERROR(__xludf.DUMMYFUNCTION("""COMPUTED_VALUE"""),10880.0)</f>
        <v>10880</v>
      </c>
      <c r="AM7" s="9">
        <f t="shared" si="7"/>
        <v>442748.4903</v>
      </c>
      <c r="AN7" s="9" t="str">
        <f>IFERROR(__xludf.DUMMYFUNCTION("""COMPUTED_VALUE"""),"[IM] Social DM")</f>
        <v>[IM] Social DM</v>
      </c>
      <c r="AO7" s="11">
        <f>IFERROR(__xludf.DUMMYFUNCTION("""COMPUTED_VALUE"""),93.0)</f>
        <v>93</v>
      </c>
      <c r="AP7" s="10">
        <f>IFERROR(__xludf.DUMMYFUNCTION("""COMPUTED_VALUE"""),0.44086021505376344)</f>
        <v>0.4408602151</v>
      </c>
      <c r="AQ7" s="14">
        <f>IFERROR(__xludf.DUMMYFUNCTION("""COMPUTED_VALUE"""),3376.1865859613185)</f>
        <v>3376.186586</v>
      </c>
      <c r="AR7" s="9">
        <f t="shared" si="8"/>
        <v>138423.65</v>
      </c>
    </row>
    <row r="8">
      <c r="A8" s="4" t="str">
        <f>IFERROR(__xludf.DUMMYFUNCTION("""COMPUTED_VALUE"""),"[CM] Form G4 - Instagram")</f>
        <v>[CM] Form G4 - Instagram</v>
      </c>
      <c r="B8" s="12">
        <f>IFERROR(__xludf.DUMMYFUNCTION("""COMPUTED_VALUE"""),-1534.110967741844)</f>
        <v>-1534.110968</v>
      </c>
      <c r="C8" s="7">
        <f t="shared" si="1"/>
        <v>0.003609252062</v>
      </c>
      <c r="D8" s="7">
        <f t="shared" si="9"/>
        <v>1</v>
      </c>
      <c r="E8" s="3">
        <f t="array" ref="E8">XLOOKUP(A8,'Dados Funil'!$A:$A,'Dados Funil'!$K:$K,"")</f>
        <v>-0.6522580645</v>
      </c>
      <c r="F8" s="5">
        <f t="array" ref="F8">XLOOKUP(A8,'Dados Funil'!$A:$A,'Dados Funil'!$L:$L,"")</f>
        <v>-0.0134065322</v>
      </c>
      <c r="G8" s="4" t="str">
        <f>IFERROR(__xludf.DUMMYFUNCTION("""COMPUTED_VALUE"""),"Form G4 Facebook")</f>
        <v>Form G4 Facebook</v>
      </c>
      <c r="H8" s="12">
        <f>IFERROR(__xludf.DUMMYFUNCTION("""COMPUTED_VALUE"""),-17549.00000000001)</f>
        <v>-17549</v>
      </c>
      <c r="I8" s="7">
        <f t="shared" si="2"/>
        <v>0.03729941918</v>
      </c>
      <c r="J8" s="7">
        <f t="shared" si="10"/>
        <v>0.9768862201</v>
      </c>
      <c r="K8" s="6">
        <f t="array" ref="K8">XLOOKUP(G8,'Dados Funil'!A:A,'Dados Funil'!O:O,"")</f>
        <v>-4.037037037</v>
      </c>
      <c r="L8" s="4" t="str">
        <f>IFERROR(__xludf.DUMMYFUNCTION("""COMPUTED_VALUE"""),"Form G4 Outros - Não Orgânico")</f>
        <v>Form G4 Outros - Não Orgânico</v>
      </c>
      <c r="M8" s="12">
        <f>IFERROR(__xludf.DUMMYFUNCTION("""COMPUTED_VALUE"""),-143000.0)</f>
        <v>-143000</v>
      </c>
      <c r="N8" s="7">
        <f t="shared" si="3"/>
        <v>0.04822769381</v>
      </c>
      <c r="O8" s="7">
        <f t="shared" si="11"/>
        <v>0.9499035674</v>
      </c>
      <c r="P8" s="12">
        <f t="array" ref="P8">XLOOKUP(L8,'Dados Funil'!A:A,'Dados Funil'!AM:AM,"")</f>
        <v>-6500</v>
      </c>
      <c r="Q8" s="5">
        <f t="array" ref="Q8">XLOOKUP(L8,'Dados Funil'!A:A,'Dados Funil'!AN:AN,"")</f>
        <v>-1</v>
      </c>
      <c r="R8" s="4"/>
      <c r="S8" s="4"/>
      <c r="T8" s="7" t="str">
        <f t="shared" si="4"/>
        <v/>
      </c>
      <c r="U8" s="4" t="str">
        <f t="shared" si="12"/>
        <v/>
      </c>
      <c r="V8" s="4" t="str">
        <f t="array" ref="V8">XLOOKUP(R8,'Dados Funil'!$A:$A,'Dados Funil'!$K:$K,"")</f>
        <v/>
      </c>
      <c r="W8" s="4" t="str">
        <f t="array" ref="W8">XLOOKUP(R8,'Dados Funil'!$A:$A,'Dados Funil'!$L:$L,"")</f>
        <v/>
      </c>
      <c r="X8" s="4"/>
      <c r="Y8" s="4"/>
      <c r="Z8" s="7" t="str">
        <f t="shared" si="5"/>
        <v/>
      </c>
      <c r="AA8" s="4" t="str">
        <f t="shared" si="13"/>
        <v/>
      </c>
      <c r="AB8" s="4" t="str">
        <f t="array" ref="AB8">XLOOKUP(X8,'Dados Funil'!A:A,'Dados Funil'!O:O,"")</f>
        <v/>
      </c>
      <c r="AC8" s="4"/>
      <c r="AD8" s="4"/>
      <c r="AE8" s="7" t="str">
        <f t="shared" si="6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IFERROR(__xludf.DUMMYFUNCTION("""COMPUTED_VALUE"""),"Form G4 Outros - Não Orgânico")</f>
        <v>Form G4 Outros - Não Orgânico</v>
      </c>
      <c r="AJ8" s="11">
        <f>IFERROR(__xludf.DUMMYFUNCTION("""COMPUTED_VALUE"""),121.34881835432112)</f>
        <v>121.3488184</v>
      </c>
      <c r="AK8" s="10">
        <f>IFERROR(__xludf.DUMMYFUNCTION("""COMPUTED_VALUE"""),0.33)</f>
        <v>0.33</v>
      </c>
      <c r="AL8" s="9">
        <f>IFERROR(__xludf.DUMMYFUNCTION("""COMPUTED_VALUE"""),6500.0)</f>
        <v>6500</v>
      </c>
      <c r="AM8" s="9">
        <f t="shared" si="7"/>
        <v>260293.2154</v>
      </c>
      <c r="AN8" s="9" t="str">
        <f>IFERROR(__xludf.DUMMYFUNCTION("""COMPUTED_VALUE"""),"Form G4 Outros - Não Orgânico")</f>
        <v>Form G4 Outros - Não Orgânico</v>
      </c>
      <c r="AO8" s="11">
        <f>IFERROR(__xludf.DUMMYFUNCTION("""COMPUTED_VALUE"""),75.0)</f>
        <v>75</v>
      </c>
      <c r="AP8" s="10">
        <f>IFERROR(__xludf.DUMMYFUNCTION("""COMPUTED_VALUE"""),0.29333333333333333)</f>
        <v>0.2933333333</v>
      </c>
      <c r="AQ8" s="14">
        <f>IFERROR(__xludf.DUMMYFUNCTION("""COMPUTED_VALUE"""),0.0)</f>
        <v>0</v>
      </c>
      <c r="AR8" s="9">
        <f t="shared" si="8"/>
        <v>0</v>
      </c>
    </row>
    <row r="9">
      <c r="A9" s="4"/>
      <c r="B9" s="4"/>
      <c r="C9" s="7" t="str">
        <f t="shared" si="1"/>
        <v/>
      </c>
      <c r="D9" s="4" t="str">
        <f t="shared" si="9"/>
        <v/>
      </c>
      <c r="E9" s="4" t="str">
        <f t="array" ref="E9">XLOOKUP(A9,'Dados Funil'!$A:$A,'Dados Funil'!$K:$K,"")</f>
        <v/>
      </c>
      <c r="F9" s="4" t="str">
        <f t="array" ref="F9">XLOOKUP(A9,'Dados Funil'!$A:$A,'Dados Funil'!$L:$L,"")</f>
        <v/>
      </c>
      <c r="G9" s="4" t="str">
        <f>IFERROR(__xludf.DUMMYFUNCTION("""COMPUTED_VALUE"""),"[IM] Chat")</f>
        <v>[IM] Chat</v>
      </c>
      <c r="H9" s="12">
        <f>IFERROR(__xludf.DUMMYFUNCTION("""COMPUTED_VALUE"""),-7508.800000000117)</f>
        <v>-7508.8</v>
      </c>
      <c r="I9" s="7">
        <f t="shared" si="2"/>
        <v>0.01595953494</v>
      </c>
      <c r="J9" s="7">
        <f t="shared" si="10"/>
        <v>0.992845755</v>
      </c>
      <c r="K9" s="6">
        <f t="array" ref="K9">XLOOKUP(G9,'Dados Funil'!A:A,'Dados Funil'!O:O,"")</f>
        <v>-0.2719141324</v>
      </c>
      <c r="L9" s="4" t="str">
        <f>IFERROR(__xludf.DUMMYFUNCTION("""COMPUTED_VALUE"""),"[CM] Form G4 - Instagram")</f>
        <v>[CM] Form G4 - Instagram</v>
      </c>
      <c r="M9" s="12">
        <f>IFERROR(__xludf.DUMMYFUNCTION("""COMPUTED_VALUE"""),-75600.0)</f>
        <v>-75600</v>
      </c>
      <c r="N9" s="7">
        <f t="shared" si="3"/>
        <v>0.02549659896</v>
      </c>
      <c r="O9" s="7">
        <f t="shared" si="11"/>
        <v>0.9754001663</v>
      </c>
      <c r="P9" s="12">
        <f t="array" ref="P9">XLOOKUP(L9,'Dados Funil'!A:A,'Dados Funil'!AM:AM,"")</f>
        <v>-8400</v>
      </c>
      <c r="Q9" s="5">
        <f t="array" ref="Q9">XLOOKUP(L9,'Dados Funil'!A:A,'Dados Funil'!AN:AN,"")</f>
        <v>-1</v>
      </c>
      <c r="R9" s="4"/>
      <c r="S9" s="4"/>
      <c r="T9" s="7" t="str">
        <f t="shared" si="4"/>
        <v/>
      </c>
      <c r="U9" s="4" t="str">
        <f t="shared" si="12"/>
        <v/>
      </c>
      <c r="V9" s="4" t="str">
        <f t="array" ref="V9">XLOOKUP(R9,'Dados Funil'!$A:$A,'Dados Funil'!$K:$K,"")</f>
        <v/>
      </c>
      <c r="W9" s="4" t="str">
        <f t="array" ref="W9">XLOOKUP(R9,'Dados Funil'!$A:$A,'Dados Funil'!$L:$L,"")</f>
        <v/>
      </c>
      <c r="X9" s="4"/>
      <c r="Y9" s="4"/>
      <c r="Z9" s="7" t="str">
        <f t="shared" si="5"/>
        <v/>
      </c>
      <c r="AA9" s="4" t="str">
        <f t="shared" si="13"/>
        <v/>
      </c>
      <c r="AB9" s="4" t="str">
        <f t="array" ref="AB9">XLOOKUP(X9,'Dados Funil'!A:A,'Dados Funil'!O:O,"")</f>
        <v/>
      </c>
      <c r="AC9" s="4"/>
      <c r="AD9" s="4"/>
      <c r="AE9" s="7" t="str">
        <f t="shared" si="6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I9" s="9" t="str">
        <f>IFERROR(__xludf.DUMMYFUNCTION("""COMPUTED_VALUE"""),"Form G4 Google")</f>
        <v>Form G4 Google</v>
      </c>
      <c r="AJ9" s="11">
        <f>IFERROR(__xludf.DUMMYFUNCTION("""COMPUTED_VALUE"""),74.43369454463155)</f>
        <v>74.43369454</v>
      </c>
      <c r="AK9" s="10">
        <f>IFERROR(__xludf.DUMMYFUNCTION("""COMPUTED_VALUE"""),0.37)</f>
        <v>0.37</v>
      </c>
      <c r="AL9" s="9">
        <f>IFERROR(__xludf.DUMMYFUNCTION("""COMPUTED_VALUE"""),5520.0)</f>
        <v>5520</v>
      </c>
      <c r="AM9" s="9">
        <f t="shared" si="7"/>
        <v>152023.3777</v>
      </c>
      <c r="AN9" s="9" t="str">
        <f>IFERROR(__xludf.DUMMYFUNCTION("""COMPUTED_VALUE"""),"Form G4 Google")</f>
        <v>Form G4 Google</v>
      </c>
      <c r="AO9" s="11">
        <f>IFERROR(__xludf.DUMMYFUNCTION("""COMPUTED_VALUE"""),192.0)</f>
        <v>192</v>
      </c>
      <c r="AP9" s="10">
        <f>IFERROR(__xludf.DUMMYFUNCTION("""COMPUTED_VALUE"""),0.4166666666666667)</f>
        <v>0.4166666667</v>
      </c>
      <c r="AQ9" s="14">
        <f>IFERROR(__xludf.DUMMYFUNCTION("""COMPUTED_VALUE"""),9149.1875)</f>
        <v>9149.1875</v>
      </c>
      <c r="AR9" s="9">
        <f t="shared" si="8"/>
        <v>731935</v>
      </c>
    </row>
    <row r="10">
      <c r="A10" s="4"/>
      <c r="B10" s="4"/>
      <c r="C10" s="7" t="str">
        <f t="shared" si="1"/>
        <v/>
      </c>
      <c r="D10" s="4" t="str">
        <f t="shared" si="9"/>
        <v/>
      </c>
      <c r="E10" s="4" t="str">
        <f t="array" ref="E10">XLOOKUP(A10,'Dados Funil'!$A:$A,'Dados Funil'!$K:$K,"")</f>
        <v/>
      </c>
      <c r="F10" s="4" t="str">
        <f t="array" ref="F10">XLOOKUP(A10,'Dados Funil'!$A:$A,'Dados Funil'!$L:$L,"")</f>
        <v/>
      </c>
      <c r="G10" s="4" t="str">
        <f>IFERROR(__xludf.DUMMYFUNCTION("""COMPUTED_VALUE"""),"Form G4 Instagram Outros")</f>
        <v>Form G4 Instagram Outros</v>
      </c>
      <c r="H10" s="12">
        <f>IFERROR(__xludf.DUMMYFUNCTION("""COMPUTED_VALUE"""),-3366.0)</f>
        <v>-3366</v>
      </c>
      <c r="I10" s="7">
        <f t="shared" si="2"/>
        <v>0.007154244969</v>
      </c>
      <c r="J10" s="7">
        <f t="shared" si="10"/>
        <v>1</v>
      </c>
      <c r="K10" s="6">
        <f t="array" ref="K10">XLOOKUP(G10,'Dados Funil'!A:A,'Dados Funil'!O:O,"")</f>
        <v>-0.1803278689</v>
      </c>
      <c r="L10" s="4" t="str">
        <f>IFERROR(__xludf.DUMMYFUNCTION("""COMPUTED_VALUE"""),"Aplicativo G4 - Indicação")</f>
        <v>Aplicativo G4 - Indicação</v>
      </c>
      <c r="M10" s="12">
        <f>IFERROR(__xludf.DUMMYFUNCTION("""COMPUTED_VALUE"""),-41557.0)</f>
        <v>-41557</v>
      </c>
      <c r="N10" s="7">
        <f t="shared" si="3"/>
        <v>0.01401537253</v>
      </c>
      <c r="O10" s="7">
        <f t="shared" si="11"/>
        <v>0.9894155389</v>
      </c>
      <c r="P10" s="12">
        <f t="array" ref="P10">XLOOKUP(L10,'Dados Funil'!A:A,'Dados Funil'!AM:AM,"")</f>
        <v>-2968.357143</v>
      </c>
      <c r="Q10" s="5">
        <f t="array" ref="Q10">XLOOKUP(L10,'Dados Funil'!A:A,'Dados Funil'!AN:AN,"")</f>
        <v>-0.7873626374</v>
      </c>
      <c r="T10" s="7" t="str">
        <f t="shared" si="4"/>
        <v/>
      </c>
      <c r="V10" s="4" t="str">
        <f t="array" ref="V10">XLOOKUP(R10,'Dados Funil'!$A:$A,'Dados Funil'!$K:$K,"")</f>
        <v/>
      </c>
      <c r="W10" s="4" t="str">
        <f t="array" ref="W10">XLOOKUP(R10,'Dados Funil'!$A:$A,'Dados Funil'!$L:$L,"")</f>
        <v/>
      </c>
      <c r="X10" s="4"/>
      <c r="Y10" s="4"/>
      <c r="Z10" s="7" t="str">
        <f t="shared" si="5"/>
        <v/>
      </c>
      <c r="AA10" s="4" t="str">
        <f t="shared" si="13"/>
        <v/>
      </c>
      <c r="AB10" s="4" t="str">
        <f t="array" ref="AB10">XLOOKUP(X10,'Dados Funil'!A:A,'Dados Funil'!O:O,"")</f>
        <v/>
      </c>
      <c r="AC10" s="4"/>
      <c r="AD10" s="4"/>
      <c r="AE10" s="7" t="str">
        <f t="shared" si="6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  <c r="AI10" s="9" t="str">
        <f>IFERROR(__xludf.DUMMYFUNCTION("""COMPUTED_VALUE"""),"[IM] Link de Indicação")</f>
        <v>[IM] Link de Indicação</v>
      </c>
      <c r="AJ10" s="11">
        <f>IFERROR(__xludf.DUMMYFUNCTION("""COMPUTED_VALUE"""),75.98843995261775)</f>
        <v>75.98843995</v>
      </c>
      <c r="AK10" s="10">
        <f>IFERROR(__xludf.DUMMYFUNCTION("""COMPUTED_VALUE"""),0.285)</f>
        <v>0.285</v>
      </c>
      <c r="AL10" s="9">
        <f>IFERROR(__xludf.DUMMYFUNCTION("""COMPUTED_VALUE"""),5520.000000000001)</f>
        <v>5520</v>
      </c>
      <c r="AM10" s="9">
        <f t="shared" si="7"/>
        <v>119545.0137</v>
      </c>
      <c r="AN10" s="9" t="str">
        <f>IFERROR(__xludf.DUMMYFUNCTION("""COMPUTED_VALUE"""),"[IM] Link de Indicação")</f>
        <v>[IM] Link de Indicação</v>
      </c>
      <c r="AO10" s="11">
        <f>IFERROR(__xludf.DUMMYFUNCTION("""COMPUTED_VALUE"""),86.0)</f>
        <v>86</v>
      </c>
      <c r="AP10" s="10">
        <f>IFERROR(__xludf.DUMMYFUNCTION("""COMPUTED_VALUE"""),0.1511627906976744)</f>
        <v>0.1511627907</v>
      </c>
      <c r="AQ10" s="14">
        <f>IFERROR(__xludf.DUMMYFUNCTION("""COMPUTED_VALUE"""),6576.538461538462)</f>
        <v>6576.538462</v>
      </c>
      <c r="AR10" s="9">
        <f t="shared" si="8"/>
        <v>85495</v>
      </c>
    </row>
    <row r="11">
      <c r="A11" s="4"/>
      <c r="B11" s="4"/>
      <c r="C11" s="7" t="str">
        <f t="shared" si="1"/>
        <v/>
      </c>
      <c r="D11" s="4" t="str">
        <f t="shared" si="9"/>
        <v/>
      </c>
      <c r="E11" s="4" t="str">
        <f t="array" ref="E11">XLOOKUP(A11,'Dados Funil'!$A:$A,'Dados Funil'!$K:$K,"")</f>
        <v/>
      </c>
      <c r="F11" s="4" t="str">
        <f t="array" ref="F11">XLOOKUP(A11,'Dados Funil'!$A:$A,'Dados Funil'!$L:$L,"")</f>
        <v/>
      </c>
      <c r="G11" s="4"/>
      <c r="H11" s="4"/>
      <c r="I11" s="7" t="str">
        <f t="shared" si="2"/>
        <v/>
      </c>
      <c r="J11" s="4" t="str">
        <f t="shared" si="10"/>
        <v/>
      </c>
      <c r="K11" s="4" t="str">
        <f t="array" ref="K11">XLOOKUP(G11,'Dados Funil'!A:A,'Dados Funil'!O:O,"")</f>
        <v/>
      </c>
      <c r="L11" s="4" t="str">
        <f>IFERROR(__xludf.DUMMYFUNCTION("""COMPUTED_VALUE"""),"Form G4 Facebook")</f>
        <v>Form G4 Facebook</v>
      </c>
      <c r="M11" s="12">
        <f>IFERROR(__xludf.DUMMYFUNCTION("""COMPUTED_VALUE"""),-31384.000000000004)</f>
        <v>-31384</v>
      </c>
      <c r="N11" s="7">
        <f t="shared" si="3"/>
        <v>0.01058446114</v>
      </c>
      <c r="O11" s="7">
        <f t="shared" si="11"/>
        <v>1</v>
      </c>
      <c r="P11" s="12">
        <f t="array" ref="P11">XLOOKUP(L11,'Dados Funil'!A:A,'Dados Funil'!AM:AM,"")</f>
        <v>-1012.387097</v>
      </c>
      <c r="Q11" s="5">
        <f t="array" ref="Q11">XLOOKUP(L11,'Dados Funil'!A:A,'Dados Funil'!AN:AN,"")</f>
        <v>-0.3144059307</v>
      </c>
      <c r="T11" s="7" t="str">
        <f t="shared" si="4"/>
        <v/>
      </c>
      <c r="V11" s="4" t="str">
        <f t="array" ref="V11">XLOOKUP(R11,'Dados Funil'!$A:$A,'Dados Funil'!$K:$K,"")</f>
        <v/>
      </c>
      <c r="W11" s="4" t="str">
        <f t="array" ref="W11">XLOOKUP(R11,'Dados Funil'!$A:$A,'Dados Funil'!$L:$L,"")</f>
        <v/>
      </c>
      <c r="X11" s="4"/>
      <c r="Y11" s="4"/>
      <c r="Z11" s="7" t="str">
        <f t="shared" si="5"/>
        <v/>
      </c>
      <c r="AA11" s="4" t="str">
        <f t="shared" si="13"/>
        <v/>
      </c>
      <c r="AB11" s="4" t="str">
        <f t="array" ref="AB11">XLOOKUP(X11,'Dados Funil'!A:A,'Dados Funil'!O:O,"")</f>
        <v/>
      </c>
      <c r="AC11" s="4"/>
      <c r="AD11" s="4"/>
      <c r="AE11" s="7" t="str">
        <f t="shared" si="6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  <c r="AI11" s="9" t="str">
        <f>IFERROR(__xludf.DUMMYFUNCTION("""COMPUTED_VALUE"""),"[CM] Form G4 - Instagram")</f>
        <v>[CM] Form G4 - Instagram</v>
      </c>
      <c r="AJ11" s="11">
        <f>IFERROR(__xludf.DUMMYFUNCTION("""COMPUTED_VALUE"""),48.65225806451609)</f>
        <v>48.65225806</v>
      </c>
      <c r="AK11" s="10">
        <f>IFERROR(__xludf.DUMMYFUNCTION("""COMPUTED_VALUE"""),0.28)</f>
        <v>0.28</v>
      </c>
      <c r="AL11" s="9">
        <f>IFERROR(__xludf.DUMMYFUNCTION("""COMPUTED_VALUE"""),8400.0)</f>
        <v>8400</v>
      </c>
      <c r="AM11" s="9">
        <f t="shared" si="7"/>
        <v>114430.111</v>
      </c>
      <c r="AN11" s="9" t="str">
        <f>IFERROR(__xludf.DUMMYFUNCTION("""COMPUTED_VALUE"""),"[CM] Form G4 - Instagram")</f>
        <v>[CM] Form G4 - Instagram</v>
      </c>
      <c r="AO11" s="11">
        <f>IFERROR(__xludf.DUMMYFUNCTION("""COMPUTED_VALUE"""),48.0)</f>
        <v>48</v>
      </c>
      <c r="AP11" s="10">
        <f>IFERROR(__xludf.DUMMYFUNCTION("""COMPUTED_VALUE"""),0.1875)</f>
        <v>0.1875</v>
      </c>
      <c r="AQ11" s="14">
        <f>IFERROR(__xludf.DUMMYFUNCTION("""COMPUTED_VALUE"""),0.0)</f>
        <v>0</v>
      </c>
      <c r="AR11" s="9">
        <f t="shared" si="8"/>
        <v>0</v>
      </c>
    </row>
    <row r="12">
      <c r="A12" s="4"/>
      <c r="B12" s="4"/>
      <c r="C12" s="7" t="str">
        <f t="shared" si="1"/>
        <v/>
      </c>
      <c r="D12" s="4" t="str">
        <f t="shared" si="9"/>
        <v/>
      </c>
      <c r="E12" s="4" t="str">
        <f t="array" ref="E12">XLOOKUP(A12,'Dados Funil'!$A:$A,'Dados Funil'!$K:$K,"")</f>
        <v/>
      </c>
      <c r="F12" s="4" t="str">
        <f t="array" ref="F12">XLOOKUP(A12,'Dados Funil'!$A:$A,'Dados Funil'!$L:$L,"")</f>
        <v/>
      </c>
      <c r="G12" s="4"/>
      <c r="H12" s="4"/>
      <c r="I12" s="7" t="str">
        <f t="shared" si="2"/>
        <v/>
      </c>
      <c r="J12" s="4" t="str">
        <f t="shared" si="10"/>
        <v/>
      </c>
      <c r="K12" s="4" t="str">
        <f t="array" ref="K12">XLOOKUP(G12,'Dados Funil'!A:A,'Dados Funil'!O:O,"")</f>
        <v/>
      </c>
      <c r="L12" s="4"/>
      <c r="M12" s="4"/>
      <c r="N12" s="7" t="str">
        <f t="shared" si="3"/>
        <v/>
      </c>
      <c r="O12" s="4" t="str">
        <f t="shared" si="11"/>
        <v/>
      </c>
      <c r="P12" s="4" t="str">
        <f t="array" ref="P12">XLOOKUP(L12,'Dados Funil'!A:A,'Dados Funil'!AM:AM,"")</f>
        <v/>
      </c>
      <c r="Q12" s="9" t="str">
        <f t="array" ref="Q12">XLOOKUP(L12,'Dados Funil'!A:A,'Dados Funil'!AN:AN,"")</f>
        <v/>
      </c>
      <c r="T12" s="7" t="str">
        <f t="shared" si="4"/>
        <v/>
      </c>
      <c r="V12" s="4" t="str">
        <f t="array" ref="V12">XLOOKUP(R12,'Dados Funil'!$A:$A,'Dados Funil'!$K:$K,"")</f>
        <v/>
      </c>
      <c r="W12" s="4" t="str">
        <f t="array" ref="W12">XLOOKUP(R12,'Dados Funil'!$A:$A,'Dados Funil'!$L:$L,"")</f>
        <v/>
      </c>
      <c r="X12" s="4"/>
      <c r="Y12" s="4"/>
      <c r="Z12" s="7" t="str">
        <f t="shared" si="5"/>
        <v/>
      </c>
      <c r="AA12" s="4" t="str">
        <f t="shared" si="13"/>
        <v/>
      </c>
      <c r="AB12" s="4" t="str">
        <f t="array" ref="AB12">XLOOKUP(X12,'Dados Funil'!A:A,'Dados Funil'!O:O,"")</f>
        <v/>
      </c>
      <c r="AE12" s="7" t="str">
        <f t="shared" si="6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  <c r="AI12" s="9" t="str">
        <f>IFERROR(__xludf.DUMMYFUNCTION("""COMPUTED_VALUE"""),"Form G4 Facebook")</f>
        <v>Form G4 Facebook</v>
      </c>
      <c r="AJ12" s="11">
        <f>IFERROR(__xludf.DUMMYFUNCTION("""COMPUTED_VALUE"""),117.39448506833976)</f>
        <v>117.3944851</v>
      </c>
      <c r="AK12" s="10">
        <f>IFERROR(__xludf.DUMMYFUNCTION("""COMPUTED_VALUE"""),0.27)</f>
        <v>0.27</v>
      </c>
      <c r="AL12" s="9">
        <f>IFERROR(__xludf.DUMMYFUNCTION("""COMPUTED_VALUE"""),3220.0)</f>
        <v>3220</v>
      </c>
      <c r="AM12" s="9">
        <f t="shared" si="7"/>
        <v>102062.7653</v>
      </c>
      <c r="AN12" s="9" t="str">
        <f>IFERROR(__xludf.DUMMYFUNCTION("""COMPUTED_VALUE"""),"Form G4 Facebook")</f>
        <v>Form G4 Facebook</v>
      </c>
      <c r="AO12" s="11">
        <f>IFERROR(__xludf.DUMMYFUNCTION("""COMPUTED_VALUE"""),135.0)</f>
        <v>135</v>
      </c>
      <c r="AP12" s="10">
        <f>IFERROR(__xludf.DUMMYFUNCTION("""COMPUTED_VALUE"""),0.22962962962962963)</f>
        <v>0.2296296296</v>
      </c>
      <c r="AQ12" s="14">
        <f>IFERROR(__xludf.DUMMYFUNCTION("""COMPUTED_VALUE"""),2207.6129032258063)</f>
        <v>2207.612903</v>
      </c>
      <c r="AR12" s="9">
        <f t="shared" si="8"/>
        <v>68436</v>
      </c>
    </row>
    <row r="13">
      <c r="A13" s="4"/>
      <c r="B13" s="4"/>
      <c r="C13" s="7" t="str">
        <f t="shared" si="1"/>
        <v/>
      </c>
      <c r="D13" s="4" t="str">
        <f t="shared" si="9"/>
        <v/>
      </c>
      <c r="E13" s="4" t="str">
        <f t="array" ref="E13">XLOOKUP(A13,'Dados Funil'!$A:$A,'Dados Funil'!$K:$K,"")</f>
        <v/>
      </c>
      <c r="F13" s="4" t="str">
        <f t="array" ref="F13">XLOOKUP(A13,'Dados Funil'!$A:$A,'Dados Funil'!$L:$L,"")</f>
        <v/>
      </c>
      <c r="G13" s="4"/>
      <c r="H13" s="4"/>
      <c r="I13" s="7" t="str">
        <f t="shared" si="2"/>
        <v/>
      </c>
      <c r="J13" s="4" t="str">
        <f t="shared" si="10"/>
        <v/>
      </c>
      <c r="K13" s="4" t="str">
        <f t="array" ref="K13">XLOOKUP(G13,'Dados Funil'!A:A,'Dados Funil'!O:O,"")</f>
        <v/>
      </c>
      <c r="L13" s="4"/>
      <c r="M13" s="4"/>
      <c r="N13" s="7" t="str">
        <f t="shared" si="3"/>
        <v/>
      </c>
      <c r="O13" s="4" t="str">
        <f t="shared" si="11"/>
        <v/>
      </c>
      <c r="P13" s="4" t="str">
        <f t="array" ref="P13">XLOOKUP(L13,'Dados Funil'!A:A,'Dados Funil'!AM:AM,"")</f>
        <v/>
      </c>
      <c r="Q13" s="9" t="str">
        <f t="array" ref="Q13">XLOOKUP(L13,'Dados Funil'!A:A,'Dados Funil'!AN:AN,"")</f>
        <v/>
      </c>
      <c r="T13" s="7" t="str">
        <f t="shared" si="4"/>
        <v/>
      </c>
      <c r="V13" s="4" t="str">
        <f t="array" ref="V13">XLOOKUP(R13,'Dados Funil'!$A:$A,'Dados Funil'!$K:$K,"")</f>
        <v/>
      </c>
      <c r="W13" s="4" t="str">
        <f t="array" ref="W13">XLOOKUP(R13,'Dados Funil'!$A:$A,'Dados Funil'!$L:$L,"")</f>
        <v/>
      </c>
      <c r="X13" s="4"/>
      <c r="Y13" s="4"/>
      <c r="Z13" s="7" t="str">
        <f t="shared" si="5"/>
        <v/>
      </c>
      <c r="AA13" s="4" t="str">
        <f t="shared" si="13"/>
        <v/>
      </c>
      <c r="AB13" s="4" t="str">
        <f t="array" ref="AB13">XLOOKUP(X13,'Dados Funil'!A:A,'Dados Funil'!O:O,"")</f>
        <v/>
      </c>
      <c r="AE13" s="7" t="str">
        <f t="shared" si="6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  <c r="AI13" s="9" t="str">
        <f>IFERROR(__xludf.DUMMYFUNCTION("""COMPUTED_VALUE"""),"[CM] Form G4 - Outros")</f>
        <v>[CM] Form G4 - Outros</v>
      </c>
      <c r="AJ13" s="11">
        <f>IFERROR(__xludf.DUMMYFUNCTION("""COMPUTED_VALUE"""),32.4348387096774)</f>
        <v>32.43483871</v>
      </c>
      <c r="AK13" s="10">
        <f>IFERROR(__xludf.DUMMYFUNCTION("""COMPUTED_VALUE"""),0.28)</f>
        <v>0.28</v>
      </c>
      <c r="AL13" s="9">
        <f>IFERROR(__xludf.DUMMYFUNCTION("""COMPUTED_VALUE"""),8400.0)</f>
        <v>8400</v>
      </c>
      <c r="AM13" s="9">
        <f t="shared" si="7"/>
        <v>76286.74065</v>
      </c>
      <c r="AN13" s="9" t="str">
        <f>IFERROR(__xludf.DUMMYFUNCTION("""COMPUTED_VALUE"""),"[CM] Form G4 - Outros")</f>
        <v>[CM] Form G4 - Outros</v>
      </c>
      <c r="AO13" s="11">
        <f>IFERROR(__xludf.DUMMYFUNCTION("""COMPUTED_VALUE"""),30.0)</f>
        <v>30</v>
      </c>
      <c r="AP13" s="10">
        <f>IFERROR(__xludf.DUMMYFUNCTION("""COMPUTED_VALUE"""),0.4)</f>
        <v>0.4</v>
      </c>
      <c r="AQ13" s="14">
        <f>IFERROR(__xludf.DUMMYFUNCTION("""COMPUTED_VALUE"""),11566.666666666666)</f>
        <v>11566.66667</v>
      </c>
      <c r="AR13" s="9">
        <f t="shared" si="8"/>
        <v>138800</v>
      </c>
    </row>
    <row r="14">
      <c r="A14" s="4"/>
      <c r="B14" s="4"/>
      <c r="C14" s="7" t="str">
        <f t="shared" si="1"/>
        <v/>
      </c>
      <c r="D14" s="4" t="str">
        <f t="shared" si="9"/>
        <v/>
      </c>
      <c r="E14" s="4" t="str">
        <f t="array" ref="E14">XLOOKUP(A14,'Dados Funil'!$A:$A,'Dados Funil'!$K:$K,"")</f>
        <v/>
      </c>
      <c r="F14" s="4" t="str">
        <f t="array" ref="F14">XLOOKUP(A14,'Dados Funil'!$A:$A,'Dados Funil'!$L:$L,"")</f>
        <v/>
      </c>
      <c r="G14" s="4"/>
      <c r="H14" s="4"/>
      <c r="I14" s="7" t="str">
        <f t="shared" si="2"/>
        <v/>
      </c>
      <c r="J14" s="4" t="str">
        <f t="shared" si="10"/>
        <v/>
      </c>
      <c r="K14" s="4" t="str">
        <f t="array" ref="K14">XLOOKUP(G14,'Dados Funil'!A:A,'Dados Funil'!O:O,"")</f>
        <v/>
      </c>
      <c r="L14" s="4"/>
      <c r="M14" s="4"/>
      <c r="N14" s="7" t="str">
        <f t="shared" si="3"/>
        <v/>
      </c>
      <c r="O14" s="4" t="str">
        <f t="shared" si="11"/>
        <v/>
      </c>
      <c r="P14" s="4" t="str">
        <f t="array" ref="P14">XLOOKUP(L14,'Dados Funil'!A:A,'Dados Funil'!AM:AM,"")</f>
        <v/>
      </c>
      <c r="Q14" s="9" t="str">
        <f t="array" ref="Q14">XLOOKUP(L14,'Dados Funil'!A:A,'Dados Funil'!AN:AN,"")</f>
        <v/>
      </c>
      <c r="T14" s="7" t="str">
        <f t="shared" si="4"/>
        <v/>
      </c>
      <c r="V14" s="4" t="str">
        <f t="array" ref="V14">XLOOKUP(R14,'Dados Funil'!$A:$A,'Dados Funil'!$K:$K,"")</f>
        <v/>
      </c>
      <c r="W14" s="4" t="str">
        <f t="array" ref="W14">XLOOKUP(R14,'Dados Funil'!$A:$A,'Dados Funil'!$L:$L,"")</f>
        <v/>
      </c>
      <c r="X14" s="4"/>
      <c r="Y14" s="4"/>
      <c r="Z14" s="7" t="str">
        <f t="shared" si="5"/>
        <v/>
      </c>
      <c r="AA14" s="4" t="str">
        <f t="shared" si="13"/>
        <v/>
      </c>
      <c r="AB14" s="4" t="str">
        <f t="array" ref="AB14">XLOOKUP(X14,'Dados Funil'!A:A,'Dados Funil'!O:O,"")</f>
        <v/>
      </c>
      <c r="AE14" s="7" t="str">
        <f t="shared" si="6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  <c r="AI14" s="9" t="str">
        <f>IFERROR(__xludf.DUMMYFUNCTION("""COMPUTED_VALUE"""),"Aplicativo G4 - Indicação")</f>
        <v>Aplicativo G4 - Indicação</v>
      </c>
      <c r="AJ14" s="11">
        <f>IFERROR(__xludf.DUMMYFUNCTION("""COMPUTED_VALUE"""),94.4955803732666)</f>
        <v>94.49558037</v>
      </c>
      <c r="AK14" s="10">
        <f>IFERROR(__xludf.DUMMYFUNCTION("""COMPUTED_VALUE"""),0.21)</f>
        <v>0.21</v>
      </c>
      <c r="AL14" s="9">
        <f>IFERROR(__xludf.DUMMYFUNCTION("""COMPUTED_VALUE"""),3770.0)</f>
        <v>3770</v>
      </c>
      <c r="AM14" s="9">
        <f t="shared" si="7"/>
        <v>74812.15098</v>
      </c>
      <c r="AN14" s="9" t="str">
        <f>IFERROR(__xludf.DUMMYFUNCTION("""COMPUTED_VALUE"""),"Aplicativo G4 - Indicação")</f>
        <v>Aplicativo G4 - Indicação</v>
      </c>
      <c r="AO14" s="11">
        <f>IFERROR(__xludf.DUMMYFUNCTION("""COMPUTED_VALUE"""),307.0)</f>
        <v>307</v>
      </c>
      <c r="AP14" s="10">
        <f>IFERROR(__xludf.DUMMYFUNCTION("""COMPUTED_VALUE"""),0.04560260586319218)</f>
        <v>0.04560260586</v>
      </c>
      <c r="AQ14" s="14">
        <f>IFERROR(__xludf.DUMMYFUNCTION("""COMPUTED_VALUE"""),801.6428571428571)</f>
        <v>801.6428571</v>
      </c>
      <c r="AR14" s="9">
        <f t="shared" si="8"/>
        <v>11223</v>
      </c>
    </row>
    <row r="15">
      <c r="A15" s="4"/>
      <c r="B15" s="4"/>
      <c r="C15" s="7" t="str">
        <f t="shared" si="1"/>
        <v/>
      </c>
      <c r="D15" s="4" t="str">
        <f t="shared" si="9"/>
        <v/>
      </c>
      <c r="E15" s="4" t="str">
        <f t="array" ref="E15">XLOOKUP(A15,'Dados Funil'!$A:$A,'Dados Funil'!$K:$K,"")</f>
        <v/>
      </c>
      <c r="F15" s="4" t="str">
        <f t="array" ref="F15">XLOOKUP(A15,'Dados Funil'!$A:$A,'Dados Funil'!$L:$L,"")</f>
        <v/>
      </c>
      <c r="G15" s="4"/>
      <c r="H15" s="4"/>
      <c r="I15" s="7" t="str">
        <f t="shared" si="2"/>
        <v/>
      </c>
      <c r="J15" s="4" t="str">
        <f t="shared" si="10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1"/>
        <v/>
      </c>
      <c r="P15" s="4" t="str">
        <f t="array" ref="P15">XLOOKUP(L15,'Dados Funil'!A:A,'Dados Funil'!AM:AM,"")</f>
        <v/>
      </c>
      <c r="Q15" s="9" t="str">
        <f t="array" ref="Q15">XLOOKUP(L15,'Dados Funil'!A:A,'Dados Funil'!AN:AN,"")</f>
        <v/>
      </c>
      <c r="T15" s="7" t="str">
        <f t="shared" si="4"/>
        <v/>
      </c>
      <c r="V15" s="4" t="str">
        <f t="array" ref="V15">XLOOKUP(R15,'Dados Funil'!$A:$A,'Dados Funil'!$K:$K,"")</f>
        <v/>
      </c>
      <c r="W15" s="4" t="str">
        <f t="array" ref="W15">XLOOKUP(R15,'Dados Funil'!$A:$A,'Dados Funil'!$L:$L,"")</f>
        <v/>
      </c>
      <c r="X15" s="4"/>
      <c r="Y15" s="4"/>
      <c r="Z15" s="7" t="str">
        <f t="shared" si="5"/>
        <v/>
      </c>
      <c r="AA15" s="4" t="str">
        <f t="shared" si="13"/>
        <v/>
      </c>
      <c r="AB15" s="4" t="str">
        <f t="array" ref="AB15">XLOOKUP(X15,'Dados Funil'!A:A,'Dados Funil'!O:O,"")</f>
        <v/>
      </c>
      <c r="AE15" s="7" t="str">
        <f t="shared" si="6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  <c r="AM15" s="9">
        <f t="shared" si="7"/>
        <v>0</v>
      </c>
      <c r="AR15" s="9">
        <f t="shared" si="8"/>
        <v>0</v>
      </c>
    </row>
    <row r="16">
      <c r="A16" s="4"/>
      <c r="B16" s="4"/>
      <c r="C16" s="7" t="str">
        <f t="shared" si="1"/>
        <v/>
      </c>
      <c r="D16" s="4" t="str">
        <f t="shared" si="9"/>
        <v/>
      </c>
      <c r="E16" s="4" t="str">
        <f t="array" ref="E16">XLOOKUP(A16,'Dados Funil'!$A:$A,'Dados Funil'!$K:$K,"")</f>
        <v/>
      </c>
      <c r="F16" s="4" t="str">
        <f t="array" ref="F16">XLOOKUP(A16,'Dados Funil'!$A:$A,'Dados Funil'!$L:$L,"")</f>
        <v/>
      </c>
      <c r="G16" s="4"/>
      <c r="H16" s="4"/>
      <c r="I16" s="7" t="str">
        <f t="shared" si="2"/>
        <v/>
      </c>
      <c r="J16" s="4" t="str">
        <f t="shared" si="10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1"/>
        <v/>
      </c>
      <c r="P16" s="4" t="str">
        <f t="array" ref="P16">XLOOKUP(L16,'Dados Funil'!A:A,'Dados Funil'!AM:AM,"")</f>
        <v/>
      </c>
      <c r="Q16" s="9" t="str">
        <f t="array" ref="Q16">XLOOKUP(L16,'Dados Funil'!A:A,'Dados Funil'!AN:AN,"")</f>
        <v/>
      </c>
      <c r="T16" s="7" t="str">
        <f t="shared" si="4"/>
        <v/>
      </c>
      <c r="V16" s="4" t="str">
        <f t="array" ref="V16">XLOOKUP(R16,'Dados Funil'!$A:$A,'Dados Funil'!$K:$K,"")</f>
        <v/>
      </c>
      <c r="W16" s="4" t="str">
        <f t="array" ref="W16">XLOOKUP(R16,'Dados Funil'!$A:$A,'Dados Funil'!$L:$L,"")</f>
        <v/>
      </c>
      <c r="X16" s="4"/>
      <c r="Y16" s="4"/>
      <c r="Z16" s="7" t="str">
        <f t="shared" si="5"/>
        <v/>
      </c>
      <c r="AA16" s="4" t="str">
        <f t="shared" si="13"/>
        <v/>
      </c>
      <c r="AB16" s="4" t="str">
        <f t="array" ref="AB16">XLOOKUP(X16,'Dados Funil'!A:A,'Dados Funil'!O:O,"")</f>
        <v/>
      </c>
      <c r="AE16" s="7" t="str">
        <f t="shared" si="6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</row>
    <row r="17">
      <c r="A17" s="4"/>
      <c r="B17" s="4"/>
      <c r="C17" s="7" t="str">
        <f t="shared" si="1"/>
        <v/>
      </c>
      <c r="D17" s="4" t="str">
        <f t="shared" si="9"/>
        <v/>
      </c>
      <c r="E17" s="4" t="str">
        <f t="array" ref="E17">XLOOKUP(A17,'Dados Funil'!$A:$A,'Dados Funil'!$K:$K,"")</f>
        <v/>
      </c>
      <c r="F17" s="4" t="str">
        <f t="array" ref="F17">XLOOKUP(A17,'Dados Funil'!$A:$A,'Dados Funil'!$L:$L,"")</f>
        <v/>
      </c>
      <c r="G17" s="4"/>
      <c r="H17" s="4"/>
      <c r="I17" s="7" t="str">
        <f t="shared" si="2"/>
        <v/>
      </c>
      <c r="J17" s="4" t="str">
        <f t="shared" si="10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1"/>
        <v/>
      </c>
      <c r="P17" s="4" t="str">
        <f t="array" ref="P17">XLOOKUP(L17,'Dados Funil'!A:A,'Dados Funil'!AM:AM,"")</f>
        <v/>
      </c>
      <c r="Q17" s="9" t="str">
        <f t="array" ref="Q17">XLOOKUP(L17,'Dados Funil'!A:A,'Dados Funil'!AN:AN,"")</f>
        <v/>
      </c>
      <c r="T17" s="7" t="str">
        <f t="shared" si="4"/>
        <v/>
      </c>
      <c r="V17" s="4" t="str">
        <f t="array" ref="V17">XLOOKUP(R17,'Dados Funil'!$A:$A,'Dados Funil'!$K:$K,"")</f>
        <v/>
      </c>
      <c r="W17" s="4" t="str">
        <f t="array" ref="W17">XLOOKUP(R17,'Dados Funil'!$A:$A,'Dados Funil'!$L:$L,"")</f>
        <v/>
      </c>
      <c r="X17" s="4"/>
      <c r="Y17" s="4"/>
      <c r="Z17" s="7" t="str">
        <f t="shared" si="5"/>
        <v/>
      </c>
      <c r="AA17" s="4" t="str">
        <f t="shared" si="13"/>
        <v/>
      </c>
      <c r="AB17" s="4" t="str">
        <f t="array" ref="AB17">XLOOKUP(X17,'Dados Funil'!A:A,'Dados Funil'!O:O,"")</f>
        <v/>
      </c>
      <c r="AE17" s="7" t="str">
        <f t="shared" si="6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</row>
    <row r="18">
      <c r="A18" s="4"/>
      <c r="B18" s="4"/>
      <c r="C18" s="7" t="str">
        <f t="shared" si="1"/>
        <v/>
      </c>
      <c r="D18" s="4" t="str">
        <f t="shared" si="9"/>
        <v/>
      </c>
      <c r="E18" s="4" t="str">
        <f t="array" ref="E18">XLOOKUP(A18,'Dados Funil'!$A:$A,'Dados Funil'!$K:$K,"")</f>
        <v/>
      </c>
      <c r="F18" s="4" t="str">
        <f t="array" ref="F18">XLOOKUP(A18,'Dados Funil'!$A:$A,'Dados Funil'!$L:$L,"")</f>
        <v/>
      </c>
      <c r="G18" s="4"/>
      <c r="H18" s="4"/>
      <c r="I18" s="7" t="str">
        <f t="shared" si="2"/>
        <v/>
      </c>
      <c r="J18" s="4" t="str">
        <f t="shared" si="10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1"/>
        <v/>
      </c>
      <c r="P18" s="4" t="str">
        <f t="array" ref="P18">XLOOKUP(L18,'Dados Funil'!A:A,'Dados Funil'!AM:AM,"")</f>
        <v/>
      </c>
      <c r="Q18" s="9" t="str">
        <f t="array" ref="Q18">XLOOKUP(L18,'Dados Funil'!A:A,'Dados Funil'!AN:AN,"")</f>
        <v/>
      </c>
      <c r="T18" s="7" t="str">
        <f t="shared" si="4"/>
        <v/>
      </c>
      <c r="V18" s="4" t="str">
        <f t="array" ref="V18">XLOOKUP(R18,'Dados Funil'!$A:$A,'Dados Funil'!$K:$K,"")</f>
        <v/>
      </c>
      <c r="W18" s="4" t="str">
        <f t="array" ref="W18">XLOOKUP(R18,'Dados Funil'!$A:$A,'Dados Funil'!$L:$L,"")</f>
        <v/>
      </c>
      <c r="X18" s="4"/>
      <c r="Y18" s="4"/>
      <c r="Z18" s="7" t="str">
        <f t="shared" si="5"/>
        <v/>
      </c>
      <c r="AA18" s="4" t="str">
        <f t="shared" si="13"/>
        <v/>
      </c>
      <c r="AB18" s="4" t="str">
        <f t="array" ref="AB18">XLOOKUP(X18,'Dados Funil'!A:A,'Dados Funil'!O:O,"")</f>
        <v/>
      </c>
      <c r="AE18" s="7" t="str">
        <f t="shared" si="6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</row>
    <row r="19">
      <c r="A19" s="4"/>
      <c r="B19" s="4"/>
      <c r="C19" s="7" t="str">
        <f t="shared" si="1"/>
        <v/>
      </c>
      <c r="D19" s="4" t="str">
        <f t="shared" si="9"/>
        <v/>
      </c>
      <c r="E19" s="4" t="str">
        <f t="array" ref="E19">XLOOKUP(A19,'Dados Funil'!$A:$A,'Dados Funil'!$K:$K,"")</f>
        <v/>
      </c>
      <c r="F19" s="4" t="str">
        <f t="array" ref="F19">XLOOKUP(A19,'Dados Funil'!$A:$A,'Dados Funil'!$L:$L,"")</f>
        <v/>
      </c>
      <c r="G19" s="4"/>
      <c r="H19" s="4"/>
      <c r="I19" s="7" t="str">
        <f t="shared" si="2"/>
        <v/>
      </c>
      <c r="J19" s="4" t="str">
        <f t="shared" si="10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1"/>
        <v/>
      </c>
      <c r="P19" s="4" t="str">
        <f t="array" ref="P19">XLOOKUP(L19,'Dados Funil'!A:A,'Dados Funil'!AM:AM,"")</f>
        <v/>
      </c>
      <c r="Q19" s="9" t="str">
        <f t="array" ref="Q19">XLOOKUP(L19,'Dados Funil'!A:A,'Dados Funil'!AN:AN,"")</f>
        <v/>
      </c>
      <c r="T19" s="7" t="str">
        <f t="shared" si="4"/>
        <v/>
      </c>
      <c r="V19" s="4" t="str">
        <f t="array" ref="V19">XLOOKUP(R19,'Dados Funil'!$A:$A,'Dados Funil'!$K:$K,"")</f>
        <v/>
      </c>
      <c r="W19" s="4" t="str">
        <f t="array" ref="W19">XLOOKUP(R19,'Dados Funil'!$A:$A,'Dados Funil'!$L:$L,"")</f>
        <v/>
      </c>
      <c r="X19" s="4"/>
      <c r="Y19" s="4"/>
      <c r="Z19" s="7" t="str">
        <f t="shared" si="5"/>
        <v/>
      </c>
      <c r="AA19" s="4" t="str">
        <f t="shared" si="13"/>
        <v/>
      </c>
      <c r="AB19" s="4" t="str">
        <f t="array" ref="AB19">XLOOKUP(X19,'Dados Funil'!A:A,'Dados Funil'!O:O,"")</f>
        <v/>
      </c>
      <c r="AE19" s="7" t="str">
        <f t="shared" si="6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</row>
    <row r="20">
      <c r="A20" s="4"/>
      <c r="B20" s="4"/>
      <c r="C20" s="7" t="str">
        <f t="shared" si="1"/>
        <v/>
      </c>
      <c r="D20" s="4" t="str">
        <f t="shared" si="9"/>
        <v/>
      </c>
      <c r="E20" s="4" t="str">
        <f t="array" ref="E20">XLOOKUP(A20,'Dados Funil'!$A:$A,'Dados Funil'!$K:$K,"")</f>
        <v/>
      </c>
      <c r="F20" s="4" t="str">
        <f t="array" ref="F20">XLOOKUP(A20,'Dados Funil'!$A:$A,'Dados Funil'!$L:$L,"")</f>
        <v/>
      </c>
      <c r="G20" s="4"/>
      <c r="H20" s="4"/>
      <c r="I20" s="7" t="str">
        <f t="shared" si="2"/>
        <v/>
      </c>
      <c r="J20" s="4" t="str">
        <f t="shared" si="10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1"/>
        <v/>
      </c>
      <c r="P20" s="4" t="str">
        <f t="array" ref="P20">XLOOKUP(L20,'Dados Funil'!A:A,'Dados Funil'!AM:AM,"")</f>
        <v/>
      </c>
      <c r="Q20" s="9" t="str">
        <f t="array" ref="Q20">XLOOKUP(L20,'Dados Funil'!A:A,'Dados Funil'!AN:AN,"")</f>
        <v/>
      </c>
      <c r="T20" s="7" t="str">
        <f t="shared" si="4"/>
        <v/>
      </c>
      <c r="V20" s="4" t="str">
        <f t="array" ref="V20">XLOOKUP(R20,'Dados Funil'!$A:$A,'Dados Funil'!$K:$K,"")</f>
        <v/>
      </c>
      <c r="W20" s="4" t="str">
        <f t="array" ref="W20">XLOOKUP(R20,'Dados Funil'!$A:$A,'Dados Funil'!$L:$L,"")</f>
        <v/>
      </c>
      <c r="X20" s="4"/>
      <c r="Y20" s="4"/>
      <c r="Z20" s="7" t="str">
        <f t="shared" si="5"/>
        <v/>
      </c>
      <c r="AA20" s="4" t="str">
        <f t="shared" si="13"/>
        <v/>
      </c>
      <c r="AB20" s="4" t="str">
        <f t="array" ref="AB20">XLOOKUP(X20,'Dados Funil'!A:A,'Dados Funil'!O:O,"")</f>
        <v/>
      </c>
      <c r="AE20" s="7" t="str">
        <f t="shared" si="6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</row>
    <row r="21">
      <c r="A21" s="4"/>
      <c r="B21" s="4"/>
      <c r="C21" s="7" t="str">
        <f t="shared" si="1"/>
        <v/>
      </c>
      <c r="D21" s="4" t="str">
        <f t="shared" si="9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G21" s="4"/>
      <c r="H21" s="4"/>
      <c r="I21" s="7" t="str">
        <f t="shared" si="2"/>
        <v/>
      </c>
      <c r="J21" s="4" t="str">
        <f t="shared" si="10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1"/>
        <v/>
      </c>
      <c r="P21" s="4" t="str">
        <f t="array" ref="P21">XLOOKUP(L21,'Dados Funil'!A:A,'Dados Funil'!AM:AM,"")</f>
        <v/>
      </c>
      <c r="Q21" s="9" t="str">
        <f t="array" ref="Q21">XLOOKUP(L21,'Dados Funil'!A:A,'Dados Funil'!AN:AN,"")</f>
        <v/>
      </c>
      <c r="T21" s="7" t="str">
        <f t="shared" si="4"/>
        <v/>
      </c>
      <c r="V21" s="4" t="str">
        <f t="array" ref="V21">XLOOKUP(R21,'Dados Funil'!$A:$A,'Dados Funil'!$K:$K,"")</f>
        <v/>
      </c>
      <c r="W21" s="4" t="str">
        <f t="array" ref="W21">XLOOKUP(R21,'Dados Funil'!$A:$A,'Dados Funil'!$L:$L,"")</f>
        <v/>
      </c>
      <c r="X21" s="4"/>
      <c r="Y21" s="4"/>
      <c r="Z21" s="7" t="str">
        <f t="shared" si="5"/>
        <v/>
      </c>
      <c r="AA21" s="4" t="str">
        <f t="shared" si="13"/>
        <v/>
      </c>
      <c r="AB21" s="4" t="str">
        <f t="array" ref="AB21">XLOOKUP(X21,'Dados Funil'!A:A,'Dados Funil'!O:O,"")</f>
        <v/>
      </c>
      <c r="AE21" s="7" t="str">
        <f t="shared" si="6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</row>
    <row r="22">
      <c r="A22" s="4"/>
      <c r="B22" s="4"/>
      <c r="C22" s="7" t="str">
        <f t="shared" si="1"/>
        <v/>
      </c>
      <c r="D22" s="4" t="str">
        <f t="shared" si="9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G22" s="4"/>
      <c r="H22" s="4"/>
      <c r="I22" s="7" t="str">
        <f t="shared" si="2"/>
        <v/>
      </c>
      <c r="J22" s="4" t="str">
        <f t="shared" si="10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1"/>
        <v/>
      </c>
      <c r="P22" s="4" t="str">
        <f t="array" ref="P22">XLOOKUP(L22,'Dados Funil'!A:A,'Dados Funil'!AM:AM,"")</f>
        <v/>
      </c>
      <c r="Q22" s="9" t="str">
        <f t="array" ref="Q22">XLOOKUP(L22,'Dados Funil'!A:A,'Dados Funil'!AN:AN,"")</f>
        <v/>
      </c>
      <c r="T22" s="7" t="str">
        <f t="shared" si="4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5"/>
        <v/>
      </c>
      <c r="AA22" s="4" t="str">
        <f t="shared" si="13"/>
        <v/>
      </c>
      <c r="AB22" s="4" t="str">
        <f t="array" ref="AB22">XLOOKUP(X22,'Dados Funil'!A:A,'Dados Funil'!O:O,"")</f>
        <v/>
      </c>
      <c r="AE22" s="7" t="str">
        <f t="shared" si="6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</row>
    <row r="23">
      <c r="A23" s="4"/>
      <c r="B23" s="4"/>
      <c r="C23" s="7" t="str">
        <f t="shared" si="1"/>
        <v/>
      </c>
      <c r="D23" s="4" t="str">
        <f t="shared" si="9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G23" s="4"/>
      <c r="H23" s="4"/>
      <c r="I23" s="7" t="str">
        <f t="shared" si="2"/>
        <v/>
      </c>
      <c r="J23" s="4" t="str">
        <f t="shared" si="10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1"/>
        <v/>
      </c>
      <c r="P23" s="4" t="str">
        <f t="array" ref="P23">XLOOKUP(L23,'Dados Funil'!A:A,'Dados Funil'!AM:AM,"")</f>
        <v/>
      </c>
      <c r="Q23" s="9" t="str">
        <f t="array" ref="Q23">XLOOKUP(L23,'Dados Funil'!A:A,'Dados Funil'!AN:AN,"")</f>
        <v/>
      </c>
      <c r="T23" s="7" t="str">
        <f t="shared" si="4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5"/>
        <v/>
      </c>
      <c r="AA23" s="4" t="str">
        <f t="shared" si="13"/>
        <v/>
      </c>
      <c r="AB23" s="4" t="str">
        <f t="array" ref="AB23">XLOOKUP(X23,'Dados Funil'!A:A,'Dados Funil'!O:O,"")</f>
        <v/>
      </c>
      <c r="AE23" s="7" t="str">
        <f t="shared" si="6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</row>
    <row r="24">
      <c r="A24" s="4"/>
      <c r="B24" s="4"/>
      <c r="C24" s="7" t="str">
        <f t="shared" si="1"/>
        <v/>
      </c>
      <c r="D24" s="4" t="str">
        <f t="shared" si="9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G24" s="4"/>
      <c r="H24" s="4"/>
      <c r="I24" s="7" t="str">
        <f t="shared" si="2"/>
        <v/>
      </c>
      <c r="J24" s="4" t="str">
        <f t="shared" si="10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1"/>
        <v/>
      </c>
      <c r="P24" s="4" t="str">
        <f t="array" ref="P24">XLOOKUP(L24,'Dados Funil'!A:A,'Dados Funil'!AM:AM,"")</f>
        <v/>
      </c>
      <c r="Q24" s="9" t="str">
        <f t="array" ref="Q24">XLOOKUP(L24,'Dados Funil'!A:A,'Dados Funil'!AN:AN,"")</f>
        <v/>
      </c>
      <c r="T24" s="7" t="str">
        <f t="shared" si="4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5"/>
        <v/>
      </c>
      <c r="AA24" s="4" t="str">
        <f t="shared" si="13"/>
        <v/>
      </c>
      <c r="AB24" s="4" t="str">
        <f t="array" ref="AB24">XLOOKUP(X24,'Dados Funil'!A:A,'Dados Funil'!O:O,"")</f>
        <v/>
      </c>
      <c r="AE24" s="7" t="str">
        <f t="shared" si="6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</row>
    <row r="25">
      <c r="A25" s="4"/>
      <c r="B25" s="4"/>
      <c r="C25" s="7" t="str">
        <f t="shared" si="1"/>
        <v/>
      </c>
      <c r="D25" s="4" t="str">
        <f t="shared" si="9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G25" s="4"/>
      <c r="H25" s="4"/>
      <c r="I25" s="7" t="str">
        <f t="shared" si="2"/>
        <v/>
      </c>
      <c r="J25" s="4" t="str">
        <f t="shared" si="10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1"/>
        <v/>
      </c>
      <c r="P25" s="4" t="str">
        <f t="array" ref="P25">XLOOKUP(L25,'Dados Funil'!A:A,'Dados Funil'!AM:AM,"")</f>
        <v/>
      </c>
      <c r="Q25" s="9" t="str">
        <f t="array" ref="Q25">XLOOKUP(L25,'Dados Funil'!A:A,'Dados Funil'!AN:AN,"")</f>
        <v/>
      </c>
      <c r="T25" s="7" t="str">
        <f t="shared" si="4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5"/>
        <v/>
      </c>
      <c r="AA25" s="4" t="str">
        <f t="shared" si="13"/>
        <v/>
      </c>
      <c r="AB25" s="4" t="str">
        <f t="array" ref="AB25">XLOOKUP(X25,'Dados Funil'!A:A,'Dados Funil'!O:O,"")</f>
        <v/>
      </c>
      <c r="AE25" s="7" t="str">
        <f t="shared" si="6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</row>
    <row r="26">
      <c r="A26" s="4"/>
      <c r="B26" s="4"/>
      <c r="C26" s="7" t="str">
        <f t="shared" si="1"/>
        <v/>
      </c>
      <c r="D26" s="4" t="str">
        <f t="shared" si="9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G26" s="4"/>
      <c r="H26" s="4"/>
      <c r="I26" s="7" t="str">
        <f t="shared" si="2"/>
        <v/>
      </c>
      <c r="J26" s="4" t="str">
        <f t="shared" si="10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1"/>
        <v/>
      </c>
      <c r="P26" s="4" t="str">
        <f t="array" ref="P26">XLOOKUP(L26,'Dados Funil'!A:A,'Dados Funil'!AM:AM,"")</f>
        <v/>
      </c>
      <c r="Q26" s="9" t="str">
        <f t="array" ref="Q26">XLOOKUP(L26,'Dados Funil'!A:A,'Dados Funil'!AN:AN,"")</f>
        <v/>
      </c>
      <c r="T26" s="7" t="str">
        <f t="shared" si="4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5"/>
        <v/>
      </c>
      <c r="AA26" s="4" t="str">
        <f t="shared" si="13"/>
        <v/>
      </c>
      <c r="AB26" s="4" t="str">
        <f t="array" ref="AB26">XLOOKUP(X26,'Dados Funil'!A:A,'Dados Funil'!O:O,"")</f>
        <v/>
      </c>
      <c r="AE26" s="7" t="str">
        <f t="shared" si="6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</row>
    <row r="27">
      <c r="A27" s="4"/>
      <c r="B27" s="4"/>
      <c r="C27" s="7" t="str">
        <f t="shared" si="1"/>
        <v/>
      </c>
      <c r="D27" s="4" t="str">
        <f t="shared" si="9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G27" s="4"/>
      <c r="H27" s="4"/>
      <c r="I27" s="7" t="str">
        <f t="shared" si="2"/>
        <v/>
      </c>
      <c r="J27" s="4" t="str">
        <f t="shared" si="10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1"/>
        <v/>
      </c>
      <c r="P27" s="4" t="str">
        <f t="array" ref="P27">XLOOKUP(L27,'Dados Funil'!A:A,'Dados Funil'!AM:AM,"")</f>
        <v/>
      </c>
      <c r="Q27" s="9" t="str">
        <f t="array" ref="Q27">XLOOKUP(L27,'Dados Funil'!A:A,'Dados Funil'!AN:AN,"")</f>
        <v/>
      </c>
      <c r="T27" s="7" t="str">
        <f t="shared" si="4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5"/>
        <v/>
      </c>
      <c r="AA27" s="4" t="str">
        <f t="shared" si="13"/>
        <v/>
      </c>
      <c r="AB27" s="4" t="str">
        <f t="array" ref="AB27">XLOOKUP(X27,'Dados Funil'!A:A,'Dados Funil'!O:O,"")</f>
        <v/>
      </c>
      <c r="AE27" s="7" t="str">
        <f t="shared" si="6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</row>
    <row r="28">
      <c r="A28" s="4"/>
      <c r="B28" s="4"/>
      <c r="C28" s="7" t="str">
        <f t="shared" si="1"/>
        <v/>
      </c>
      <c r="D28" s="4" t="str">
        <f t="shared" si="9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G28" s="4"/>
      <c r="H28" s="4"/>
      <c r="I28" s="7" t="str">
        <f t="shared" si="2"/>
        <v/>
      </c>
      <c r="J28" s="4" t="str">
        <f t="shared" si="10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1"/>
        <v/>
      </c>
      <c r="P28" s="4" t="str">
        <f t="array" ref="P28">XLOOKUP(L28,'Dados Funil'!A:A,'Dados Funil'!AM:AM,"")</f>
        <v/>
      </c>
      <c r="Q28" s="9" t="str">
        <f t="array" ref="Q28">XLOOKUP(L28,'Dados Funil'!A:A,'Dados Funil'!AN:AN,"")</f>
        <v/>
      </c>
      <c r="T28" s="7" t="str">
        <f t="shared" si="4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5"/>
        <v/>
      </c>
      <c r="AA28" s="4" t="str">
        <f t="shared" si="13"/>
        <v/>
      </c>
      <c r="AB28" s="4" t="str">
        <f t="array" ref="AB28">XLOOKUP(X28,'Dados Funil'!A:A,'Dados Funil'!O:O,"")</f>
        <v/>
      </c>
      <c r="AE28" s="7" t="str">
        <f t="shared" si="6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</row>
    <row r="29">
      <c r="A29" s="4"/>
      <c r="B29" s="4"/>
      <c r="C29" s="7" t="str">
        <f t="shared" si="1"/>
        <v/>
      </c>
      <c r="D29" s="4" t="str">
        <f t="shared" si="9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G29" s="4"/>
      <c r="H29" s="4"/>
      <c r="I29" s="7" t="str">
        <f t="shared" si="2"/>
        <v/>
      </c>
      <c r="J29" s="4" t="str">
        <f t="shared" si="10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1"/>
        <v/>
      </c>
      <c r="P29" s="4" t="str">
        <f t="array" ref="P29">XLOOKUP(L29,'Dados Funil'!A:A,'Dados Funil'!AM:AM,"")</f>
        <v/>
      </c>
      <c r="Q29" s="9" t="str">
        <f t="array" ref="Q29">XLOOKUP(L29,'Dados Funil'!A:A,'Dados Funil'!AN:AN,"")</f>
        <v/>
      </c>
      <c r="T29" s="7" t="str">
        <f t="shared" si="4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5"/>
        <v/>
      </c>
      <c r="AA29" s="4" t="str">
        <f t="shared" si="13"/>
        <v/>
      </c>
      <c r="AB29" s="4" t="str">
        <f t="array" ref="AB29">XLOOKUP(X29,'Dados Funil'!A:A,'Dados Funil'!O:O,"")</f>
        <v/>
      </c>
      <c r="AE29" s="7" t="str">
        <f t="shared" si="6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</row>
    <row r="30">
      <c r="A30" s="4"/>
      <c r="B30" s="4"/>
      <c r="C30" s="7" t="str">
        <f t="shared" si="1"/>
        <v/>
      </c>
      <c r="D30" s="4" t="str">
        <f t="shared" si="9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G30" s="4"/>
      <c r="H30" s="4"/>
      <c r="I30" s="7" t="str">
        <f t="shared" si="2"/>
        <v/>
      </c>
      <c r="J30" s="4" t="str">
        <f t="shared" si="10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1"/>
        <v/>
      </c>
      <c r="P30" s="4" t="str">
        <f t="array" ref="P30">XLOOKUP(L30,'Dados Funil'!A:A,'Dados Funil'!AM:AM,"")</f>
        <v/>
      </c>
      <c r="Q30" s="9" t="str">
        <f t="array" ref="Q30">XLOOKUP(L30,'Dados Funil'!A:A,'Dados Funil'!AN:AN,"")</f>
        <v/>
      </c>
      <c r="T30" s="7" t="str">
        <f t="shared" si="4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5"/>
        <v/>
      </c>
      <c r="AA30" s="4" t="str">
        <f t="shared" si="13"/>
        <v/>
      </c>
      <c r="AB30" s="4" t="str">
        <f t="array" ref="AB30">XLOOKUP(X30,'Dados Funil'!A:A,'Dados Funil'!O:O,"")</f>
        <v/>
      </c>
      <c r="AE30" s="7" t="str">
        <f t="shared" si="6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</row>
    <row r="31">
      <c r="A31" s="4"/>
      <c r="B31" s="4"/>
      <c r="C31" s="7" t="str">
        <f t="shared" si="1"/>
        <v/>
      </c>
      <c r="D31" s="4" t="str">
        <f t="shared" si="9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G31" s="4"/>
      <c r="H31" s="4"/>
      <c r="I31" s="7" t="str">
        <f t="shared" si="2"/>
        <v/>
      </c>
      <c r="J31" s="4" t="str">
        <f t="shared" si="10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1"/>
        <v/>
      </c>
      <c r="P31" s="4" t="str">
        <f t="array" ref="P31">XLOOKUP(L31,'Dados Funil'!A:A,'Dados Funil'!AM:AM,"")</f>
        <v/>
      </c>
      <c r="Q31" s="9" t="str">
        <f t="array" ref="Q31">XLOOKUP(L31,'Dados Funil'!A:A,'Dados Funil'!AN:AN,"")</f>
        <v/>
      </c>
      <c r="T31" s="7" t="str">
        <f t="shared" si="4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5"/>
        <v/>
      </c>
      <c r="AA31" s="4" t="str">
        <f t="shared" si="13"/>
        <v/>
      </c>
      <c r="AB31" s="4" t="str">
        <f t="array" ref="AB31">XLOOKUP(X31,'Dados Funil'!A:A,'Dados Funil'!O:O,"")</f>
        <v/>
      </c>
      <c r="AE31" s="7" t="str">
        <f t="shared" si="6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</row>
    <row r="32">
      <c r="A32" s="4"/>
      <c r="B32" s="4"/>
      <c r="C32" s="7" t="str">
        <f t="shared" si="1"/>
        <v/>
      </c>
      <c r="D32" s="4" t="str">
        <f t="shared" si="9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G32" s="4"/>
      <c r="H32" s="4"/>
      <c r="I32" s="7" t="str">
        <f t="shared" si="2"/>
        <v/>
      </c>
      <c r="J32" s="4" t="str">
        <f t="shared" si="10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1"/>
        <v/>
      </c>
      <c r="P32" s="4" t="str">
        <f t="array" ref="P32">XLOOKUP(L32,'Dados Funil'!A:A,'Dados Funil'!AM:AM,"")</f>
        <v/>
      </c>
      <c r="Q32" s="9" t="str">
        <f t="array" ref="Q32">XLOOKUP(L32,'Dados Funil'!A:A,'Dados Funil'!AN:AN,"")</f>
        <v/>
      </c>
      <c r="T32" s="7" t="str">
        <f t="shared" si="4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5"/>
        <v/>
      </c>
      <c r="AA32" s="4" t="str">
        <f t="shared" si="13"/>
        <v/>
      </c>
      <c r="AB32" s="4" t="str">
        <f t="array" ref="AB32">XLOOKUP(X32,'Dados Funil'!A:A,'Dados Funil'!O:O,"")</f>
        <v/>
      </c>
      <c r="AE32" s="7" t="str">
        <f t="shared" si="6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</row>
    <row r="33">
      <c r="A33" s="4"/>
      <c r="B33" s="4"/>
      <c r="C33" s="7" t="str">
        <f t="shared" si="1"/>
        <v/>
      </c>
      <c r="D33" s="4" t="str">
        <f t="shared" si="9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G33" s="4"/>
      <c r="H33" s="4"/>
      <c r="I33" s="7" t="str">
        <f t="shared" si="2"/>
        <v/>
      </c>
      <c r="J33" s="4" t="str">
        <f t="shared" si="10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1"/>
        <v/>
      </c>
      <c r="P33" s="4" t="str">
        <f t="array" ref="P33">XLOOKUP(L33,'Dados Funil'!A:A,'Dados Funil'!AM:AM,"")</f>
        <v/>
      </c>
      <c r="Q33" s="9" t="str">
        <f t="array" ref="Q33">XLOOKUP(L33,'Dados Funil'!A:A,'Dados Funil'!AN:AN,"")</f>
        <v/>
      </c>
      <c r="T33" s="7" t="str">
        <f t="shared" si="4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5"/>
        <v/>
      </c>
      <c r="AA33" s="4" t="str">
        <f t="shared" si="13"/>
        <v/>
      </c>
      <c r="AB33" s="4" t="str">
        <f t="array" ref="AB33">XLOOKUP(X33,'Dados Funil'!A:A,'Dados Funil'!O:O,"")</f>
        <v/>
      </c>
      <c r="AE33" s="7" t="str">
        <f t="shared" si="6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</row>
    <row r="34">
      <c r="A34" s="4"/>
      <c r="B34" s="4"/>
      <c r="C34" s="7" t="str">
        <f t="shared" si="1"/>
        <v/>
      </c>
      <c r="D34" s="4" t="str">
        <f t="shared" si="9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G34" s="4"/>
      <c r="H34" s="4"/>
      <c r="I34" s="7" t="str">
        <f t="shared" si="2"/>
        <v/>
      </c>
      <c r="J34" s="4" t="str">
        <f t="shared" si="10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1"/>
        <v/>
      </c>
      <c r="P34" s="4" t="str">
        <f t="array" ref="P34">XLOOKUP(L34,'Dados Funil'!A:A,'Dados Funil'!AM:AM,"")</f>
        <v/>
      </c>
      <c r="Q34" s="9" t="str">
        <f t="array" ref="Q34">XLOOKUP(L34,'Dados Funil'!A:A,'Dados Funil'!AN:AN,"")</f>
        <v/>
      </c>
      <c r="T34" s="7" t="str">
        <f t="shared" si="4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5"/>
        <v/>
      </c>
      <c r="AA34" s="4" t="str">
        <f t="shared" si="13"/>
        <v/>
      </c>
      <c r="AB34" s="4" t="str">
        <f t="array" ref="AB34">XLOOKUP(X34,'Dados Funil'!A:A,'Dados Funil'!O:O,"")</f>
        <v/>
      </c>
      <c r="AE34" s="7" t="str">
        <f t="shared" si="6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</row>
    <row r="35">
      <c r="A35" s="4"/>
      <c r="B35" s="4"/>
      <c r="C35" s="7" t="str">
        <f t="shared" si="1"/>
        <v/>
      </c>
      <c r="D35" s="4" t="str">
        <f t="shared" si="9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G35" s="4"/>
      <c r="H35" s="4"/>
      <c r="I35" s="7" t="str">
        <f t="shared" si="2"/>
        <v/>
      </c>
      <c r="J35" s="4" t="str">
        <f t="shared" si="10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1"/>
        <v/>
      </c>
      <c r="P35" s="4" t="str">
        <f t="array" ref="P35">XLOOKUP(L35,'Dados Funil'!A:A,'Dados Funil'!AM:AM,"")</f>
        <v/>
      </c>
      <c r="Q35" s="9" t="str">
        <f t="array" ref="Q35">XLOOKUP(L35,'Dados Funil'!A:A,'Dados Funil'!AN:AN,"")</f>
        <v/>
      </c>
      <c r="T35" s="7" t="str">
        <f t="shared" si="4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5"/>
        <v/>
      </c>
      <c r="AA35" s="4" t="str">
        <f t="shared" si="13"/>
        <v/>
      </c>
      <c r="AB35" s="4" t="str">
        <f t="array" ref="AB35">XLOOKUP(X35,'Dados Funil'!A:A,'Dados Funil'!O:O,"")</f>
        <v/>
      </c>
      <c r="AE35" s="7" t="str">
        <f t="shared" si="6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</row>
    <row r="36">
      <c r="A36" s="4"/>
      <c r="B36" s="4"/>
      <c r="C36" s="7" t="str">
        <f t="shared" si="1"/>
        <v/>
      </c>
      <c r="D36" s="4" t="str">
        <f t="shared" si="9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G36" s="4"/>
      <c r="H36" s="4"/>
      <c r="I36" s="7" t="str">
        <f t="shared" si="2"/>
        <v/>
      </c>
      <c r="J36" s="4" t="str">
        <f t="shared" si="10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1"/>
        <v/>
      </c>
      <c r="P36" s="4" t="str">
        <f t="array" ref="P36">XLOOKUP(L36,'Dados Funil'!A:A,'Dados Funil'!AM:AM,"")</f>
        <v/>
      </c>
      <c r="Q36" s="9" t="str">
        <f t="array" ref="Q36">XLOOKUP(L36,'Dados Funil'!A:A,'Dados Funil'!AN:AN,"")</f>
        <v/>
      </c>
      <c r="T36" s="7" t="str">
        <f t="shared" si="4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5"/>
        <v/>
      </c>
      <c r="AA36" s="4" t="str">
        <f t="shared" si="13"/>
        <v/>
      </c>
      <c r="AB36" s="4" t="str">
        <f t="array" ref="AB36">XLOOKUP(X36,'Dados Funil'!A:A,'Dados Funil'!O:O,"")</f>
        <v/>
      </c>
      <c r="AE36" s="7" t="str">
        <f t="shared" si="6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9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G37" s="4"/>
      <c r="H37" s="4"/>
      <c r="I37" s="7" t="str">
        <f t="shared" si="2"/>
        <v/>
      </c>
      <c r="J37" s="4" t="str">
        <f t="shared" si="10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1"/>
        <v/>
      </c>
      <c r="P37" s="4" t="str">
        <f t="array" ref="P37">XLOOKUP(L37,'Dados Funil'!A:A,'Dados Funil'!AM:AM,"")</f>
        <v/>
      </c>
      <c r="Q37" s="9" t="str">
        <f t="array" ref="Q37">XLOOKUP(L37,'Dados Funil'!A:A,'Dados Funil'!AN:AN,"")</f>
        <v/>
      </c>
      <c r="T37" s="7" t="str">
        <f t="shared" si="4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5"/>
        <v/>
      </c>
      <c r="AA37" s="4" t="str">
        <f t="shared" si="13"/>
        <v/>
      </c>
      <c r="AB37" s="4" t="str">
        <f t="array" ref="AB37">XLOOKUP(X37,'Dados Funil'!A:A,'Dados Funil'!O:O,"")</f>
        <v/>
      </c>
      <c r="AE37" s="7" t="str">
        <f t="shared" si="6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9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G38" s="4"/>
      <c r="H38" s="4"/>
      <c r="I38" s="7" t="str">
        <f t="shared" si="2"/>
        <v/>
      </c>
      <c r="J38" s="4" t="str">
        <f t="shared" si="10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1"/>
        <v/>
      </c>
      <c r="P38" s="4" t="str">
        <f t="array" ref="P38">XLOOKUP(L38,'Dados Funil'!A:A,'Dados Funil'!AM:AM,"")</f>
        <v/>
      </c>
      <c r="Q38" s="9" t="str">
        <f t="array" ref="Q38">XLOOKUP(L38,'Dados Funil'!A:A,'Dados Funil'!AN:AN,"")</f>
        <v/>
      </c>
      <c r="T38" s="7" t="str">
        <f t="shared" si="4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5"/>
        <v/>
      </c>
      <c r="AA38" s="4" t="str">
        <f t="shared" si="13"/>
        <v/>
      </c>
      <c r="AB38" s="4" t="str">
        <f t="array" ref="AB38">XLOOKUP(X38,'Dados Funil'!A:A,'Dados Funil'!O:O,"")</f>
        <v/>
      </c>
      <c r="AE38" s="7" t="str">
        <f t="shared" si="6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9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G39" s="4"/>
      <c r="H39" s="4"/>
      <c r="I39" s="7" t="str">
        <f t="shared" si="2"/>
        <v/>
      </c>
      <c r="J39" s="4" t="str">
        <f t="shared" si="10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1"/>
        <v/>
      </c>
      <c r="P39" s="4" t="str">
        <f t="array" ref="P39">XLOOKUP(L39,'Dados Funil'!A:A,'Dados Funil'!AM:AM,"")</f>
        <v/>
      </c>
      <c r="Q39" s="9" t="str">
        <f t="array" ref="Q39">XLOOKUP(L39,'Dados Funil'!A:A,'Dados Funil'!AN:AN,"")</f>
        <v/>
      </c>
      <c r="T39" s="7" t="str">
        <f t="shared" si="4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5"/>
        <v/>
      </c>
      <c r="AA39" s="4" t="str">
        <f t="shared" si="13"/>
        <v/>
      </c>
      <c r="AB39" s="4" t="str">
        <f t="array" ref="AB39">XLOOKUP(X39,'Dados Funil'!A:A,'Dados Funil'!O:O,"")</f>
        <v/>
      </c>
      <c r="AE39" s="7" t="str">
        <f t="shared" si="6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9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G40" s="4"/>
      <c r="H40" s="4"/>
      <c r="I40" s="7" t="str">
        <f t="shared" si="2"/>
        <v/>
      </c>
      <c r="J40" s="4" t="str">
        <f t="shared" si="10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1"/>
        <v/>
      </c>
      <c r="P40" s="4" t="str">
        <f t="array" ref="P40">XLOOKUP(L40,'Dados Funil'!A:A,'Dados Funil'!AM:AM,"")</f>
        <v/>
      </c>
      <c r="Q40" s="9" t="str">
        <f t="array" ref="Q40">XLOOKUP(L40,'Dados Funil'!A:A,'Dados Funil'!AN:AN,"")</f>
        <v/>
      </c>
      <c r="T40" s="7" t="str">
        <f t="shared" si="4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5"/>
        <v/>
      </c>
      <c r="AA40" s="4" t="str">
        <f t="shared" si="13"/>
        <v/>
      </c>
      <c r="AB40" s="4" t="str">
        <f t="array" ref="AB40">XLOOKUP(X40,'Dados Funil'!A:A,'Dados Funil'!O:O,"")</f>
        <v/>
      </c>
      <c r="AE40" s="7" t="str">
        <f t="shared" si="6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9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G41" s="4"/>
      <c r="H41" s="4"/>
      <c r="I41" s="7" t="str">
        <f t="shared" si="2"/>
        <v/>
      </c>
      <c r="J41" s="4" t="str">
        <f t="shared" si="10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1"/>
        <v/>
      </c>
      <c r="P41" s="4" t="str">
        <f t="array" ref="P41">XLOOKUP(L41,'Dados Funil'!A:A,'Dados Funil'!AM:AM,"")</f>
        <v/>
      </c>
      <c r="Q41" s="9" t="str">
        <f t="array" ref="Q41">XLOOKUP(L41,'Dados Funil'!A:A,'Dados Funil'!AN:AN,"")</f>
        <v/>
      </c>
      <c r="T41" s="7" t="str">
        <f t="shared" si="4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5"/>
        <v/>
      </c>
      <c r="AA41" s="4" t="str">
        <f t="shared" si="13"/>
        <v/>
      </c>
      <c r="AB41" s="4" t="str">
        <f t="array" ref="AB41">XLOOKUP(X41,'Dados Funil'!A:A,'Dados Funil'!O:O,"")</f>
        <v/>
      </c>
      <c r="AE41" s="7" t="str">
        <f t="shared" si="6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9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G42" s="4"/>
      <c r="H42" s="4"/>
      <c r="I42" s="7" t="str">
        <f t="shared" si="2"/>
        <v/>
      </c>
      <c r="J42" s="4" t="str">
        <f t="shared" si="10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1"/>
        <v/>
      </c>
      <c r="P42" s="4" t="str">
        <f t="array" ref="P42">XLOOKUP(L42,'Dados Funil'!A:A,'Dados Funil'!AM:AM,"")</f>
        <v/>
      </c>
      <c r="Q42" s="9" t="str">
        <f t="array" ref="Q42">XLOOKUP(L42,'Dados Funil'!A:A,'Dados Funil'!AN:AN,"")</f>
        <v/>
      </c>
      <c r="T42" s="7" t="str">
        <f t="shared" si="4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5"/>
        <v/>
      </c>
      <c r="AA42" s="4" t="str">
        <f t="shared" si="13"/>
        <v/>
      </c>
      <c r="AB42" s="4" t="str">
        <f t="array" ref="AB42">XLOOKUP(X42,'Dados Funil'!A:A,'Dados Funil'!O:O,"")</f>
        <v/>
      </c>
      <c r="AE42" s="7" t="str">
        <f t="shared" si="6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9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G43" s="4"/>
      <c r="H43" s="4"/>
      <c r="I43" s="7" t="str">
        <f t="shared" si="2"/>
        <v/>
      </c>
      <c r="J43" s="4" t="str">
        <f t="shared" si="10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1"/>
        <v/>
      </c>
      <c r="P43" s="4" t="str">
        <f t="array" ref="P43">XLOOKUP(L43,'Dados Funil'!A:A,'Dados Funil'!AM:AM,"")</f>
        <v/>
      </c>
      <c r="Q43" s="9" t="str">
        <f t="array" ref="Q43">XLOOKUP(L43,'Dados Funil'!A:A,'Dados Funil'!AN:AN,"")</f>
        <v/>
      </c>
      <c r="T43" s="7" t="str">
        <f t="shared" si="4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5"/>
        <v/>
      </c>
      <c r="AA43" s="4" t="str">
        <f t="shared" si="13"/>
        <v/>
      </c>
      <c r="AB43" s="4" t="str">
        <f t="array" ref="AB43">XLOOKUP(X43,'Dados Funil'!A:A,'Dados Funil'!O:O,"")</f>
        <v/>
      </c>
      <c r="AE43" s="7" t="str">
        <f t="shared" si="6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9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G44" s="4"/>
      <c r="H44" s="4"/>
      <c r="I44" s="7" t="str">
        <f t="shared" si="2"/>
        <v/>
      </c>
      <c r="J44" s="4" t="str">
        <f t="shared" si="10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1"/>
        <v/>
      </c>
      <c r="P44" s="4" t="str">
        <f t="array" ref="P44">XLOOKUP(L44,'Dados Funil'!A:A,'Dados Funil'!AM:AM,"")</f>
        <v/>
      </c>
      <c r="Q44" s="9" t="str">
        <f t="array" ref="Q44">XLOOKUP(L44,'Dados Funil'!A:A,'Dados Funil'!AN:AN,"")</f>
        <v/>
      </c>
      <c r="T44" s="7" t="str">
        <f t="shared" si="4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5"/>
        <v/>
      </c>
      <c r="AA44" s="4" t="str">
        <f t="shared" si="13"/>
        <v/>
      </c>
      <c r="AB44" s="4" t="str">
        <f t="array" ref="AB44">XLOOKUP(X44,'Dados Funil'!A:A,'Dados Funil'!O:O,"")</f>
        <v/>
      </c>
      <c r="AE44" s="7" t="str">
        <f t="shared" si="6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9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G45" s="4"/>
      <c r="H45" s="4"/>
      <c r="I45" s="7" t="str">
        <f t="shared" si="2"/>
        <v/>
      </c>
      <c r="J45" s="4" t="str">
        <f t="shared" si="10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1"/>
        <v/>
      </c>
      <c r="P45" s="4" t="str">
        <f t="array" ref="P45">XLOOKUP(L45,'Dados Funil'!A:A,'Dados Funil'!AM:AM,"")</f>
        <v/>
      </c>
      <c r="Q45" s="9" t="str">
        <f t="array" ref="Q45">XLOOKUP(L45,'Dados Funil'!A:A,'Dados Funil'!AN:AN,"")</f>
        <v/>
      </c>
      <c r="T45" s="7" t="str">
        <f t="shared" si="4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5"/>
        <v/>
      </c>
      <c r="AA45" s="4" t="str">
        <f t="shared" si="13"/>
        <v/>
      </c>
      <c r="AB45" s="4" t="str">
        <f t="array" ref="AB45">XLOOKUP(X45,'Dados Funil'!A:A,'Dados Funil'!O:O,"")</f>
        <v/>
      </c>
      <c r="AE45" s="7" t="str">
        <f t="shared" si="6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9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G46" s="4"/>
      <c r="H46" s="4"/>
      <c r="I46" s="7" t="str">
        <f t="shared" si="2"/>
        <v/>
      </c>
      <c r="J46" s="4" t="str">
        <f t="shared" si="10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1"/>
        <v/>
      </c>
      <c r="P46" s="4" t="str">
        <f t="array" ref="P46">XLOOKUP(L46,'Dados Funil'!A:A,'Dados Funil'!AM:AM,"")</f>
        <v/>
      </c>
      <c r="Q46" s="9" t="str">
        <f t="array" ref="Q46">XLOOKUP(L46,'Dados Funil'!A:A,'Dados Funil'!AN:AN,"")</f>
        <v/>
      </c>
      <c r="T46" s="7" t="str">
        <f t="shared" si="4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5"/>
        <v/>
      </c>
      <c r="AA46" s="4" t="str">
        <f t="shared" si="13"/>
        <v/>
      </c>
      <c r="AB46" s="4" t="str">
        <f t="array" ref="AB46">XLOOKUP(X46,'Dados Funil'!A:A,'Dados Funil'!O:O,"")</f>
        <v/>
      </c>
      <c r="AE46" s="7" t="str">
        <f t="shared" si="6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9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G47" s="4"/>
      <c r="H47" s="4"/>
      <c r="I47" s="7" t="str">
        <f t="shared" si="2"/>
        <v/>
      </c>
      <c r="J47" s="4" t="str">
        <f t="shared" si="10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1"/>
        <v/>
      </c>
      <c r="P47" s="4" t="str">
        <f t="array" ref="P47">XLOOKUP(L47,'Dados Funil'!A:A,'Dados Funil'!AM:AM,"")</f>
        <v/>
      </c>
      <c r="Q47" s="9" t="str">
        <f t="array" ref="Q47">XLOOKUP(L47,'Dados Funil'!A:A,'Dados Funil'!AN:AN,"")</f>
        <v/>
      </c>
      <c r="T47" s="7" t="str">
        <f t="shared" si="4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5"/>
        <v/>
      </c>
      <c r="AA47" s="4" t="str">
        <f t="shared" si="13"/>
        <v/>
      </c>
      <c r="AB47" s="4" t="str">
        <f t="array" ref="AB47">XLOOKUP(X47,'Dados Funil'!A:A,'Dados Funil'!O:O,"")</f>
        <v/>
      </c>
      <c r="AE47" s="7" t="str">
        <f t="shared" si="6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9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G48" s="4"/>
      <c r="H48" s="4"/>
      <c r="I48" s="7" t="str">
        <f t="shared" si="2"/>
        <v/>
      </c>
      <c r="J48" s="4" t="str">
        <f t="shared" si="10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1"/>
        <v/>
      </c>
      <c r="P48" s="4" t="str">
        <f t="array" ref="P48">XLOOKUP(L48,'Dados Funil'!A:A,'Dados Funil'!AM:AM,"")</f>
        <v/>
      </c>
      <c r="Q48" s="9" t="str">
        <f t="array" ref="Q48">XLOOKUP(L48,'Dados Funil'!A:A,'Dados Funil'!AN:AN,"")</f>
        <v/>
      </c>
      <c r="T48" s="7" t="str">
        <f t="shared" si="4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5"/>
        <v/>
      </c>
      <c r="AA48" s="4" t="str">
        <f t="shared" si="13"/>
        <v/>
      </c>
      <c r="AB48" s="4" t="str">
        <f t="array" ref="AB48">XLOOKUP(X48,'Dados Funil'!A:A,'Dados Funil'!O:O,"")</f>
        <v/>
      </c>
      <c r="AE48" s="7" t="str">
        <f t="shared" si="6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9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G49" s="4"/>
      <c r="H49" s="4"/>
      <c r="I49" s="7" t="str">
        <f t="shared" si="2"/>
        <v/>
      </c>
      <c r="J49" s="4" t="str">
        <f t="shared" si="10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1"/>
        <v/>
      </c>
      <c r="P49" s="4" t="str">
        <f t="array" ref="P49">XLOOKUP(L49,'Dados Funil'!A:A,'Dados Funil'!AM:AM,"")</f>
        <v/>
      </c>
      <c r="Q49" s="9" t="str">
        <f t="array" ref="Q49">XLOOKUP(L49,'Dados Funil'!A:A,'Dados Funil'!AN:AN,"")</f>
        <v/>
      </c>
      <c r="T49" s="7" t="str">
        <f t="shared" si="4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5"/>
        <v/>
      </c>
      <c r="AA49" s="4" t="str">
        <f t="shared" si="13"/>
        <v/>
      </c>
      <c r="AB49" s="4" t="str">
        <f t="array" ref="AB49">XLOOKUP(X49,'Dados Funil'!A:A,'Dados Funil'!O:O,"")</f>
        <v/>
      </c>
      <c r="AE49" s="7" t="str">
        <f t="shared" si="6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9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G50" s="4"/>
      <c r="H50" s="4"/>
      <c r="I50" s="7" t="str">
        <f t="shared" si="2"/>
        <v/>
      </c>
      <c r="J50" s="4" t="str">
        <f t="shared" si="10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1"/>
        <v/>
      </c>
      <c r="P50" s="4" t="str">
        <f t="array" ref="P50">XLOOKUP(L50,'Dados Funil'!A:A,'Dados Funil'!AM:AM,"")</f>
        <v/>
      </c>
      <c r="Q50" s="9" t="str">
        <f t="array" ref="Q50">XLOOKUP(L50,'Dados Funil'!A:A,'Dados Funil'!AN:AN,"")</f>
        <v/>
      </c>
      <c r="T50" s="7" t="str">
        <f t="shared" si="4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5"/>
        <v/>
      </c>
      <c r="AA50" s="4" t="str">
        <f t="shared" si="13"/>
        <v/>
      </c>
      <c r="AB50" s="4" t="str">
        <f t="array" ref="AB50">XLOOKUP(X50,'Dados Funil'!A:A,'Dados Funil'!O:O,"")</f>
        <v/>
      </c>
      <c r="AE50" s="7" t="str">
        <f t="shared" si="6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9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G51" s="4"/>
      <c r="H51" s="4"/>
      <c r="I51" s="7" t="str">
        <f t="shared" si="2"/>
        <v/>
      </c>
      <c r="J51" s="4" t="str">
        <f t="shared" si="10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1"/>
        <v/>
      </c>
      <c r="P51" s="4" t="str">
        <f t="array" ref="P51">XLOOKUP(L51,'Dados Funil'!A:A,'Dados Funil'!AM:AM,"")</f>
        <v/>
      </c>
      <c r="Q51" s="9" t="str">
        <f t="array" ref="Q51">XLOOKUP(L51,'Dados Funil'!A:A,'Dados Funil'!AN:AN,"")</f>
        <v/>
      </c>
      <c r="T51" s="7" t="str">
        <f t="shared" si="4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5"/>
        <v/>
      </c>
      <c r="AA51" s="4" t="str">
        <f t="shared" si="13"/>
        <v/>
      </c>
      <c r="AB51" s="4" t="str">
        <f t="array" ref="AB51">XLOOKUP(X51,'Dados Funil'!A:A,'Dados Funil'!O:O,"")</f>
        <v/>
      </c>
      <c r="AE51" s="7" t="str">
        <f t="shared" si="6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9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G52" s="4"/>
      <c r="H52" s="4"/>
      <c r="I52" s="7" t="str">
        <f t="shared" si="2"/>
        <v/>
      </c>
      <c r="J52" s="4" t="str">
        <f t="shared" si="10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1"/>
        <v/>
      </c>
      <c r="P52" s="4" t="str">
        <f t="array" ref="P52">XLOOKUP(L52,'Dados Funil'!A:A,'Dados Funil'!AM:AM,"")</f>
        <v/>
      </c>
      <c r="Q52" s="9" t="str">
        <f t="array" ref="Q52">XLOOKUP(L52,'Dados Funil'!A:A,'Dados Funil'!AN:AN,"")</f>
        <v/>
      </c>
      <c r="T52" s="7" t="str">
        <f t="shared" si="4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5"/>
        <v/>
      </c>
      <c r="AA52" s="4" t="str">
        <f t="shared" si="13"/>
        <v/>
      </c>
      <c r="AB52" s="4" t="str">
        <f t="array" ref="AB52">XLOOKUP(X52,'Dados Funil'!A:A,'Dados Funil'!O:O,"")</f>
        <v/>
      </c>
      <c r="AE52" s="7" t="str">
        <f t="shared" si="6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9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G53" s="4"/>
      <c r="H53" s="4"/>
      <c r="I53" s="7" t="str">
        <f t="shared" si="2"/>
        <v/>
      </c>
      <c r="J53" s="4" t="str">
        <f t="shared" si="10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1"/>
        <v/>
      </c>
      <c r="P53" s="4" t="str">
        <f t="array" ref="P53">XLOOKUP(L53,'Dados Funil'!A:A,'Dados Funil'!AM:AM,"")</f>
        <v/>
      </c>
      <c r="Q53" s="9" t="str">
        <f t="array" ref="Q53">XLOOKUP(L53,'Dados Funil'!A:A,'Dados Funil'!AN:AN,"")</f>
        <v/>
      </c>
      <c r="T53" s="7" t="str">
        <f t="shared" si="4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5"/>
        <v/>
      </c>
      <c r="AA53" s="4" t="str">
        <f t="shared" si="13"/>
        <v/>
      </c>
      <c r="AB53" s="4" t="str">
        <f t="array" ref="AB53">XLOOKUP(X53,'Dados Funil'!A:A,'Dados Funil'!O:O,"")</f>
        <v/>
      </c>
      <c r="AE53" s="7" t="str">
        <f t="shared" si="6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9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G54" s="4"/>
      <c r="H54" s="4"/>
      <c r="I54" s="7" t="str">
        <f t="shared" si="2"/>
        <v/>
      </c>
      <c r="J54" s="4" t="str">
        <f t="shared" si="10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1"/>
        <v/>
      </c>
      <c r="P54" s="4" t="str">
        <f t="array" ref="P54">XLOOKUP(L54,'Dados Funil'!A:A,'Dados Funil'!AM:AM,"")</f>
        <v/>
      </c>
      <c r="Q54" s="9" t="str">
        <f t="array" ref="Q54">XLOOKUP(L54,'Dados Funil'!A:A,'Dados Funil'!AN:AN,"")</f>
        <v/>
      </c>
      <c r="T54" s="7" t="str">
        <f t="shared" si="4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5"/>
        <v/>
      </c>
      <c r="AA54" s="4" t="str">
        <f t="shared" si="13"/>
        <v/>
      </c>
      <c r="AB54" s="4" t="str">
        <f t="array" ref="AB54">XLOOKUP(X54,'Dados Funil'!A:A,'Dados Funil'!O:O,"")</f>
        <v/>
      </c>
      <c r="AE54" s="7" t="str">
        <f t="shared" si="6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9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G55" s="4"/>
      <c r="H55" s="4"/>
      <c r="I55" s="7" t="str">
        <f t="shared" si="2"/>
        <v/>
      </c>
      <c r="J55" s="4" t="str">
        <f t="shared" si="10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1"/>
        <v/>
      </c>
      <c r="P55" s="4" t="str">
        <f t="array" ref="P55">XLOOKUP(L55,'Dados Funil'!A:A,'Dados Funil'!AM:AM,"")</f>
        <v/>
      </c>
      <c r="Q55" s="9" t="str">
        <f t="array" ref="Q55">XLOOKUP(L55,'Dados Funil'!A:A,'Dados Funil'!AN:AN,"")</f>
        <v/>
      </c>
      <c r="T55" s="7" t="str">
        <f t="shared" si="4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5"/>
        <v/>
      </c>
      <c r="AA55" s="4" t="str">
        <f t="shared" si="13"/>
        <v/>
      </c>
      <c r="AB55" s="4" t="str">
        <f t="array" ref="AB55">XLOOKUP(X55,'Dados Funil'!A:A,'Dados Funil'!O:O,"")</f>
        <v/>
      </c>
      <c r="AE55" s="7" t="str">
        <f t="shared" si="6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9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G56" s="4"/>
      <c r="H56" s="4"/>
      <c r="I56" s="7" t="str">
        <f t="shared" si="2"/>
        <v/>
      </c>
      <c r="J56" s="4" t="str">
        <f t="shared" si="10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1"/>
        <v/>
      </c>
      <c r="P56" s="4" t="str">
        <f t="array" ref="P56">XLOOKUP(L56,'Dados Funil'!A:A,'Dados Funil'!AM:AM,"")</f>
        <v/>
      </c>
      <c r="Q56" s="9" t="str">
        <f t="array" ref="Q56">XLOOKUP(L56,'Dados Funil'!A:A,'Dados Funil'!AN:AN,"")</f>
        <v/>
      </c>
      <c r="T56" s="7" t="str">
        <f t="shared" si="4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5"/>
        <v/>
      </c>
      <c r="AA56" s="4" t="str">
        <f t="shared" si="13"/>
        <v/>
      </c>
      <c r="AB56" s="4" t="str">
        <f t="array" ref="AB56">XLOOKUP(X56,'Dados Funil'!A:A,'Dados Funil'!O:O,"")</f>
        <v/>
      </c>
      <c r="AE56" s="7" t="str">
        <f t="shared" si="6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9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G57" s="4"/>
      <c r="H57" s="4"/>
      <c r="I57" s="7" t="str">
        <f t="shared" si="2"/>
        <v/>
      </c>
      <c r="J57" s="4" t="str">
        <f t="shared" si="10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1"/>
        <v/>
      </c>
      <c r="P57" s="4" t="str">
        <f t="array" ref="P57">XLOOKUP(L57,'Dados Funil'!A:A,'Dados Funil'!AM:AM,"")</f>
        <v/>
      </c>
      <c r="Q57" s="9" t="str">
        <f t="array" ref="Q57">XLOOKUP(L57,'Dados Funil'!A:A,'Dados Funil'!AN:AN,"")</f>
        <v/>
      </c>
      <c r="T57" s="7" t="str">
        <f t="shared" si="4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5"/>
        <v/>
      </c>
      <c r="AA57" s="4" t="str">
        <f t="shared" si="13"/>
        <v/>
      </c>
      <c r="AB57" s="4" t="str">
        <f t="array" ref="AB57">XLOOKUP(X57,'Dados Funil'!A:A,'Dados Funil'!O:O,"")</f>
        <v/>
      </c>
      <c r="AE57" s="7" t="str">
        <f t="shared" si="6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9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G58" s="4"/>
      <c r="H58" s="4"/>
      <c r="I58" s="7" t="str">
        <f t="shared" si="2"/>
        <v/>
      </c>
      <c r="J58" s="4" t="str">
        <f t="shared" si="10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1"/>
        <v/>
      </c>
      <c r="P58" s="4" t="str">
        <f t="array" ref="P58">XLOOKUP(L58,'Dados Funil'!A:A,'Dados Funil'!AM:AM,"")</f>
        <v/>
      </c>
      <c r="Q58" s="9" t="str">
        <f t="array" ref="Q58">XLOOKUP(L58,'Dados Funil'!A:A,'Dados Funil'!AN:AN,"")</f>
        <v/>
      </c>
      <c r="T58" s="7" t="str">
        <f t="shared" si="4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5"/>
        <v/>
      </c>
      <c r="AA58" s="4" t="str">
        <f t="shared" si="13"/>
        <v/>
      </c>
      <c r="AB58" s="4" t="str">
        <f t="array" ref="AB58">XLOOKUP(X58,'Dados Funil'!A:A,'Dados Funil'!O:O,"")</f>
        <v/>
      </c>
      <c r="AE58" s="7" t="str">
        <f t="shared" si="6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9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G59" s="4"/>
      <c r="H59" s="4"/>
      <c r="I59" s="7" t="str">
        <f t="shared" si="2"/>
        <v/>
      </c>
      <c r="J59" s="4" t="str">
        <f t="shared" si="10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1"/>
        <v/>
      </c>
      <c r="P59" s="4" t="str">
        <f t="array" ref="P59">XLOOKUP(L59,'Dados Funil'!A:A,'Dados Funil'!AM:AM,"")</f>
        <v/>
      </c>
      <c r="Q59" s="9" t="str">
        <f t="array" ref="Q59">XLOOKUP(L59,'Dados Funil'!A:A,'Dados Funil'!AN:AN,"")</f>
        <v/>
      </c>
      <c r="T59" s="7" t="str">
        <f t="shared" si="4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5"/>
        <v/>
      </c>
      <c r="AA59" s="4" t="str">
        <f t="shared" si="13"/>
        <v/>
      </c>
      <c r="AB59" s="4" t="str">
        <f t="array" ref="AB59">XLOOKUP(X59,'Dados Funil'!A:A,'Dados Funil'!O:O,"")</f>
        <v/>
      </c>
      <c r="AE59" s="7" t="str">
        <f t="shared" si="6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9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G60" s="4"/>
      <c r="H60" s="4"/>
      <c r="I60" s="7" t="str">
        <f t="shared" si="2"/>
        <v/>
      </c>
      <c r="J60" s="4" t="str">
        <f t="shared" si="10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1"/>
        <v/>
      </c>
      <c r="P60" s="4" t="str">
        <f t="array" ref="P60">XLOOKUP(L60,'Dados Funil'!A:A,'Dados Funil'!AM:AM,"")</f>
        <v/>
      </c>
      <c r="Q60" s="9" t="str">
        <f t="array" ref="Q60">XLOOKUP(L60,'Dados Funil'!A:A,'Dados Funil'!AN:AN,"")</f>
        <v/>
      </c>
      <c r="T60" s="7" t="str">
        <f t="shared" si="4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5"/>
        <v/>
      </c>
      <c r="AA60" s="4" t="str">
        <f t="shared" si="13"/>
        <v/>
      </c>
      <c r="AB60" s="4" t="str">
        <f t="array" ref="AB60">XLOOKUP(X60,'Dados Funil'!A:A,'Dados Funil'!O:O,"")</f>
        <v/>
      </c>
      <c r="AE60" s="7" t="str">
        <f t="shared" si="6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9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G61" s="4"/>
      <c r="H61" s="4"/>
      <c r="I61" s="7" t="str">
        <f t="shared" si="2"/>
        <v/>
      </c>
      <c r="J61" s="4" t="str">
        <f t="shared" si="10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1"/>
        <v/>
      </c>
      <c r="P61" s="4" t="str">
        <f t="array" ref="P61">XLOOKUP(L61,'Dados Funil'!A:A,'Dados Funil'!AM:AM,"")</f>
        <v/>
      </c>
      <c r="Q61" s="9" t="str">
        <f t="array" ref="Q61">XLOOKUP(L61,'Dados Funil'!A:A,'Dados Funil'!AN:AN,"")</f>
        <v/>
      </c>
      <c r="T61" s="7" t="str">
        <f t="shared" si="4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5"/>
        <v/>
      </c>
      <c r="AA61" s="4" t="str">
        <f t="shared" si="13"/>
        <v/>
      </c>
      <c r="AB61" s="4" t="str">
        <f t="array" ref="AB61">XLOOKUP(X61,'Dados Funil'!A:A,'Dados Funil'!O:O,"")</f>
        <v/>
      </c>
      <c r="AE61" s="7" t="str">
        <f t="shared" si="6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9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G62" s="4"/>
      <c r="H62" s="4"/>
      <c r="I62" s="7" t="str">
        <f t="shared" si="2"/>
        <v/>
      </c>
      <c r="J62" s="4" t="str">
        <f t="shared" si="10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1"/>
        <v/>
      </c>
      <c r="P62" s="4" t="str">
        <f t="array" ref="P62">XLOOKUP(L62,'Dados Funil'!A:A,'Dados Funil'!AM:AM,"")</f>
        <v/>
      </c>
      <c r="Q62" s="9" t="str">
        <f t="array" ref="Q62">XLOOKUP(L62,'Dados Funil'!A:A,'Dados Funil'!AN:AN,"")</f>
        <v/>
      </c>
      <c r="T62" s="7" t="str">
        <f t="shared" si="4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5"/>
        <v/>
      </c>
      <c r="AA62" s="4" t="str">
        <f t="shared" si="13"/>
        <v/>
      </c>
      <c r="AB62" s="4" t="str">
        <f t="array" ref="AB62">XLOOKUP(X62,'Dados Funil'!A:A,'Dados Funil'!O:O,"")</f>
        <v/>
      </c>
      <c r="AE62" s="7" t="str">
        <f t="shared" si="6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9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G63" s="4"/>
      <c r="H63" s="4"/>
      <c r="I63" s="7" t="str">
        <f t="shared" si="2"/>
        <v/>
      </c>
      <c r="J63" s="4" t="str">
        <f t="shared" si="10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1"/>
        <v/>
      </c>
      <c r="P63" s="4" t="str">
        <f t="array" ref="P63">XLOOKUP(L63,'Dados Funil'!A:A,'Dados Funil'!AM:AM,"")</f>
        <v/>
      </c>
      <c r="Q63" s="9" t="str">
        <f t="array" ref="Q63">XLOOKUP(L63,'Dados Funil'!A:A,'Dados Funil'!AN:AN,"")</f>
        <v/>
      </c>
      <c r="T63" s="7" t="str">
        <f t="shared" si="4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5"/>
        <v/>
      </c>
      <c r="AA63" s="4" t="str">
        <f t="shared" si="13"/>
        <v/>
      </c>
      <c r="AB63" s="4" t="str">
        <f t="array" ref="AB63">XLOOKUP(X63,'Dados Funil'!A:A,'Dados Funil'!O:O,"")</f>
        <v/>
      </c>
      <c r="AE63" s="7" t="str">
        <f t="shared" si="6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9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G64" s="4"/>
      <c r="H64" s="4"/>
      <c r="I64" s="7" t="str">
        <f t="shared" si="2"/>
        <v/>
      </c>
      <c r="J64" s="4" t="str">
        <f t="shared" si="10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1"/>
        <v/>
      </c>
      <c r="P64" s="4" t="str">
        <f t="array" ref="P64">XLOOKUP(L64,'Dados Funil'!A:A,'Dados Funil'!AM:AM,"")</f>
        <v/>
      </c>
      <c r="Q64" s="9" t="str">
        <f t="array" ref="Q64">XLOOKUP(L64,'Dados Funil'!A:A,'Dados Funil'!AN:AN,"")</f>
        <v/>
      </c>
      <c r="T64" s="7" t="str">
        <f t="shared" si="4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5"/>
        <v/>
      </c>
      <c r="AA64" s="4" t="str">
        <f t="shared" si="13"/>
        <v/>
      </c>
      <c r="AB64" s="4" t="str">
        <f t="array" ref="AB64">XLOOKUP(X64,'Dados Funil'!A:A,'Dados Funil'!O:O,"")</f>
        <v/>
      </c>
      <c r="AE64" s="7" t="str">
        <f t="shared" si="6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9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G65" s="4"/>
      <c r="H65" s="4"/>
      <c r="I65" s="7" t="str">
        <f t="shared" si="2"/>
        <v/>
      </c>
      <c r="J65" s="4" t="str">
        <f t="shared" si="10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1"/>
        <v/>
      </c>
      <c r="P65" s="4" t="str">
        <f t="array" ref="P65">XLOOKUP(L65,'Dados Funil'!A:A,'Dados Funil'!AM:AM,"")</f>
        <v/>
      </c>
      <c r="Q65" s="9" t="str">
        <f t="array" ref="Q65">XLOOKUP(L65,'Dados Funil'!A:A,'Dados Funil'!AN:AN,"")</f>
        <v/>
      </c>
      <c r="T65" s="7" t="str">
        <f t="shared" si="4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5"/>
        <v/>
      </c>
      <c r="AA65" s="4" t="str">
        <f t="shared" si="13"/>
        <v/>
      </c>
      <c r="AB65" s="4" t="str">
        <f t="array" ref="AB65">XLOOKUP(X65,'Dados Funil'!A:A,'Dados Funil'!O:O,"")</f>
        <v/>
      </c>
      <c r="AE65" s="7" t="str">
        <f t="shared" si="6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9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G66" s="4"/>
      <c r="H66" s="4"/>
      <c r="I66" s="7" t="str">
        <f t="shared" si="2"/>
        <v/>
      </c>
      <c r="J66" s="4" t="str">
        <f t="shared" si="10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1"/>
        <v/>
      </c>
      <c r="P66" s="4" t="str">
        <f t="array" ref="P66">XLOOKUP(L66,'Dados Funil'!A:A,'Dados Funil'!AM:AM,"")</f>
        <v/>
      </c>
      <c r="Q66" s="9" t="str">
        <f t="array" ref="Q66">XLOOKUP(L66,'Dados Funil'!A:A,'Dados Funil'!AN:AN,"")</f>
        <v/>
      </c>
      <c r="T66" s="7" t="str">
        <f t="shared" si="4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5"/>
        <v/>
      </c>
      <c r="AA66" s="4" t="str">
        <f t="shared" si="13"/>
        <v/>
      </c>
      <c r="AB66" s="4" t="str">
        <f t="array" ref="AB66">XLOOKUP(X66,'Dados Funil'!A:A,'Dados Funil'!O:O,"")</f>
        <v/>
      </c>
      <c r="AE66" s="7" t="str">
        <f t="shared" si="6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9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G67" s="4"/>
      <c r="H67" s="4"/>
      <c r="I67" s="7" t="str">
        <f t="shared" si="2"/>
        <v/>
      </c>
      <c r="J67" s="4" t="str">
        <f t="shared" si="10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1"/>
        <v/>
      </c>
      <c r="P67" s="4" t="str">
        <f t="array" ref="P67">XLOOKUP(L67,'Dados Funil'!A:A,'Dados Funil'!AM:AM,"")</f>
        <v/>
      </c>
      <c r="Q67" s="9" t="str">
        <f t="array" ref="Q67">XLOOKUP(L67,'Dados Funil'!A:A,'Dados Funil'!AN:AN,"")</f>
        <v/>
      </c>
      <c r="T67" s="7" t="str">
        <f t="shared" si="4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5"/>
        <v/>
      </c>
      <c r="AA67" s="4" t="str">
        <f t="shared" si="13"/>
        <v/>
      </c>
      <c r="AB67" s="4" t="str">
        <f t="array" ref="AB67">XLOOKUP(X67,'Dados Funil'!A:A,'Dados Funil'!O:O,"")</f>
        <v/>
      </c>
      <c r="AE67" s="7" t="str">
        <f t="shared" si="6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9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G68" s="4"/>
      <c r="H68" s="4"/>
      <c r="I68" s="7" t="str">
        <f t="shared" si="2"/>
        <v/>
      </c>
      <c r="J68" s="4" t="str">
        <f t="shared" si="10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1"/>
        <v/>
      </c>
      <c r="P68" s="4" t="str">
        <f t="array" ref="P68">XLOOKUP(L68,'Dados Funil'!A:A,'Dados Funil'!AM:AM,"")</f>
        <v/>
      </c>
      <c r="Q68" s="9" t="str">
        <f t="array" ref="Q68">XLOOKUP(L68,'Dados Funil'!A:A,'Dados Funil'!AN:AN,"")</f>
        <v/>
      </c>
      <c r="T68" s="7" t="str">
        <f t="shared" si="4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5"/>
        <v/>
      </c>
      <c r="AA68" s="4" t="str">
        <f t="shared" si="13"/>
        <v/>
      </c>
      <c r="AB68" s="4" t="str">
        <f t="array" ref="AB68">XLOOKUP(X68,'Dados Funil'!A:A,'Dados Funil'!O:O,"")</f>
        <v/>
      </c>
      <c r="AE68" s="7" t="str">
        <f t="shared" si="6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9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G69" s="4"/>
      <c r="H69" s="4"/>
      <c r="I69" s="7" t="str">
        <f t="shared" si="2"/>
        <v/>
      </c>
      <c r="J69" s="4" t="str">
        <f t="shared" si="10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1"/>
        <v/>
      </c>
      <c r="P69" s="4" t="str">
        <f t="array" ref="P69">XLOOKUP(L69,'Dados Funil'!A:A,'Dados Funil'!AM:AM,"")</f>
        <v/>
      </c>
      <c r="Q69" s="9" t="str">
        <f t="array" ref="Q69">XLOOKUP(L69,'Dados Funil'!A:A,'Dados Funil'!AN:AN,"")</f>
        <v/>
      </c>
      <c r="T69" s="7" t="str">
        <f t="shared" si="4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5"/>
        <v/>
      </c>
      <c r="AA69" s="4" t="str">
        <f t="shared" si="13"/>
        <v/>
      </c>
      <c r="AB69" s="4" t="str">
        <f t="array" ref="AB69">XLOOKUP(X69,'Dados Funil'!A:A,'Dados Funil'!O:O,"")</f>
        <v/>
      </c>
      <c r="AE69" s="7" t="str">
        <f t="shared" si="6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9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G70" s="4"/>
      <c r="H70" s="4"/>
      <c r="I70" s="7" t="str">
        <f t="shared" si="2"/>
        <v/>
      </c>
      <c r="J70" s="4" t="str">
        <f t="shared" si="10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1"/>
        <v/>
      </c>
      <c r="P70" s="4" t="str">
        <f t="array" ref="P70">XLOOKUP(L70,'Dados Funil'!A:A,'Dados Funil'!AM:AM,"")</f>
        <v/>
      </c>
      <c r="Q70" s="9" t="str">
        <f t="array" ref="Q70">XLOOKUP(L70,'Dados Funil'!A:A,'Dados Funil'!AN:AN,"")</f>
        <v/>
      </c>
      <c r="T70" s="7" t="str">
        <f t="shared" si="4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5"/>
        <v/>
      </c>
      <c r="AA70" s="4" t="str">
        <f t="shared" si="13"/>
        <v/>
      </c>
      <c r="AB70" s="4" t="str">
        <f t="array" ref="AB70">XLOOKUP(X70,'Dados Funil'!A:A,'Dados Funil'!O:O,"")</f>
        <v/>
      </c>
      <c r="AE70" s="7" t="str">
        <f t="shared" si="6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9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G71" s="4"/>
      <c r="H71" s="4"/>
      <c r="I71" s="7" t="str">
        <f t="shared" si="2"/>
        <v/>
      </c>
      <c r="J71" s="4" t="str">
        <f t="shared" si="10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1"/>
        <v/>
      </c>
      <c r="P71" s="4" t="str">
        <f t="array" ref="P71">XLOOKUP(L71,'Dados Funil'!A:A,'Dados Funil'!AM:AM,"")</f>
        <v/>
      </c>
      <c r="Q71" s="9" t="str">
        <f t="array" ref="Q71">XLOOKUP(L71,'Dados Funil'!A:A,'Dados Funil'!AN:AN,"")</f>
        <v/>
      </c>
      <c r="T71" s="7" t="str">
        <f t="shared" si="4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5"/>
        <v/>
      </c>
      <c r="AA71" s="4" t="str">
        <f t="shared" si="13"/>
        <v/>
      </c>
      <c r="AB71" s="4" t="str">
        <f t="array" ref="AB71">XLOOKUP(X71,'Dados Funil'!A:A,'Dados Funil'!O:O,"")</f>
        <v/>
      </c>
      <c r="AE71" s="7" t="str">
        <f t="shared" si="6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9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G72" s="4"/>
      <c r="H72" s="4"/>
      <c r="I72" s="7" t="str">
        <f t="shared" si="2"/>
        <v/>
      </c>
      <c r="J72" s="4" t="str">
        <f t="shared" si="10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1"/>
        <v/>
      </c>
      <c r="P72" s="4" t="str">
        <f t="array" ref="P72">XLOOKUP(L72,'Dados Funil'!A:A,'Dados Funil'!AM:AM,"")</f>
        <v/>
      </c>
      <c r="Q72" s="9" t="str">
        <f t="array" ref="Q72">XLOOKUP(L72,'Dados Funil'!A:A,'Dados Funil'!AN:AN,"")</f>
        <v/>
      </c>
      <c r="T72" s="7" t="str">
        <f t="shared" si="4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5"/>
        <v/>
      </c>
      <c r="AA72" s="4" t="str">
        <f t="shared" si="13"/>
        <v/>
      </c>
      <c r="AB72" s="4" t="str">
        <f t="array" ref="AB72">XLOOKUP(X72,'Dados Funil'!A:A,'Dados Funil'!O:O,"")</f>
        <v/>
      </c>
      <c r="AE72" s="7" t="str">
        <f t="shared" si="6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9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G73" s="4"/>
      <c r="H73" s="4"/>
      <c r="I73" s="7" t="str">
        <f t="shared" si="2"/>
        <v/>
      </c>
      <c r="J73" s="4" t="str">
        <f t="shared" si="10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1"/>
        <v/>
      </c>
      <c r="P73" s="4" t="str">
        <f t="array" ref="P73">XLOOKUP(L73,'Dados Funil'!A:A,'Dados Funil'!AM:AM,"")</f>
        <v/>
      </c>
      <c r="Q73" s="9" t="str">
        <f t="array" ref="Q73">XLOOKUP(L73,'Dados Funil'!A:A,'Dados Funil'!AN:AN,"")</f>
        <v/>
      </c>
      <c r="T73" s="7" t="str">
        <f t="shared" si="4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5"/>
        <v/>
      </c>
      <c r="AA73" s="4" t="str">
        <f t="shared" si="13"/>
        <v/>
      </c>
      <c r="AB73" s="4" t="str">
        <f t="array" ref="AB73">XLOOKUP(X73,'Dados Funil'!A:A,'Dados Funil'!O:O,"")</f>
        <v/>
      </c>
      <c r="AE73" s="7" t="str">
        <f t="shared" si="6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9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G74" s="4"/>
      <c r="H74" s="4"/>
      <c r="I74" s="7" t="str">
        <f t="shared" si="2"/>
        <v/>
      </c>
      <c r="J74" s="4" t="str">
        <f t="shared" si="10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1"/>
        <v/>
      </c>
      <c r="P74" s="4" t="str">
        <f t="array" ref="P74">XLOOKUP(L74,'Dados Funil'!A:A,'Dados Funil'!AM:AM,"")</f>
        <v/>
      </c>
      <c r="Q74" s="9" t="str">
        <f t="array" ref="Q74">XLOOKUP(L74,'Dados Funil'!A:A,'Dados Funil'!AN:AN,"")</f>
        <v/>
      </c>
      <c r="T74" s="7" t="str">
        <f t="shared" si="4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5"/>
        <v/>
      </c>
      <c r="AA74" s="4" t="str">
        <f t="shared" si="13"/>
        <v/>
      </c>
      <c r="AB74" s="4" t="str">
        <f t="array" ref="AB74">XLOOKUP(X74,'Dados Funil'!A:A,'Dados Funil'!O:O,"")</f>
        <v/>
      </c>
      <c r="AE74" s="7" t="str">
        <f t="shared" si="6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9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G75" s="4"/>
      <c r="H75" s="4"/>
      <c r="I75" s="7" t="str">
        <f t="shared" si="2"/>
        <v/>
      </c>
      <c r="J75" s="4" t="str">
        <f t="shared" si="10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1"/>
        <v/>
      </c>
      <c r="P75" s="4" t="str">
        <f t="array" ref="P75">XLOOKUP(L75,'Dados Funil'!A:A,'Dados Funil'!AM:AM,"")</f>
        <v/>
      </c>
      <c r="Q75" s="9" t="str">
        <f t="array" ref="Q75">XLOOKUP(L75,'Dados Funil'!A:A,'Dados Funil'!AN:AN,"")</f>
        <v/>
      </c>
      <c r="T75" s="7" t="str">
        <f t="shared" si="4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5"/>
        <v/>
      </c>
      <c r="AA75" s="4" t="str">
        <f t="shared" si="13"/>
        <v/>
      </c>
      <c r="AB75" s="4" t="str">
        <f t="array" ref="AB75">XLOOKUP(X75,'Dados Funil'!A:A,'Dados Funil'!O:O,"")</f>
        <v/>
      </c>
      <c r="AE75" s="7" t="str">
        <f t="shared" si="6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9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G76" s="4"/>
      <c r="H76" s="4"/>
      <c r="I76" s="7" t="str">
        <f t="shared" si="2"/>
        <v/>
      </c>
      <c r="J76" s="4" t="str">
        <f t="shared" si="10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1"/>
        <v/>
      </c>
      <c r="P76" s="4" t="str">
        <f t="array" ref="P76">XLOOKUP(L76,'Dados Funil'!A:A,'Dados Funil'!AM:AM,"")</f>
        <v/>
      </c>
      <c r="Q76" s="9" t="str">
        <f t="array" ref="Q76">XLOOKUP(L76,'Dados Funil'!A:A,'Dados Funil'!AN:AN,"")</f>
        <v/>
      </c>
      <c r="T76" s="7" t="str">
        <f t="shared" si="4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5"/>
        <v/>
      </c>
      <c r="AA76" s="4" t="str">
        <f t="shared" si="13"/>
        <v/>
      </c>
      <c r="AB76" s="4" t="str">
        <f t="array" ref="AB76">XLOOKUP(X76,'Dados Funil'!A:A,'Dados Funil'!O:O,"")</f>
        <v/>
      </c>
      <c r="AE76" s="7" t="str">
        <f t="shared" si="6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9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G77" s="4"/>
      <c r="H77" s="4"/>
      <c r="I77" s="7" t="str">
        <f t="shared" si="2"/>
        <v/>
      </c>
      <c r="J77" s="4" t="str">
        <f t="shared" si="10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1"/>
        <v/>
      </c>
      <c r="P77" s="4" t="str">
        <f t="array" ref="P77">XLOOKUP(L77,'Dados Funil'!A:A,'Dados Funil'!AM:AM,"")</f>
        <v/>
      </c>
      <c r="Q77" s="9" t="str">
        <f t="array" ref="Q77">XLOOKUP(L77,'Dados Funil'!A:A,'Dados Funil'!AN:AN,"")</f>
        <v/>
      </c>
      <c r="T77" s="7" t="str">
        <f t="shared" si="4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5"/>
        <v/>
      </c>
      <c r="AA77" s="4" t="str">
        <f t="shared" si="13"/>
        <v/>
      </c>
      <c r="AB77" s="4" t="str">
        <f t="array" ref="AB77">XLOOKUP(X77,'Dados Funil'!A:A,'Dados Funil'!O:O,"")</f>
        <v/>
      </c>
      <c r="AE77" s="7" t="str">
        <f t="shared" si="6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9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G78" s="4"/>
      <c r="H78" s="4"/>
      <c r="I78" s="7" t="str">
        <f t="shared" si="2"/>
        <v/>
      </c>
      <c r="J78" s="4" t="str">
        <f t="shared" si="10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1"/>
        <v/>
      </c>
      <c r="P78" s="4" t="str">
        <f t="array" ref="P78">XLOOKUP(L78,'Dados Funil'!A:A,'Dados Funil'!AM:AM,"")</f>
        <v/>
      </c>
      <c r="Q78" s="9" t="str">
        <f t="array" ref="Q78">XLOOKUP(L78,'Dados Funil'!A:A,'Dados Funil'!AN:AN,"")</f>
        <v/>
      </c>
      <c r="T78" s="7" t="str">
        <f t="shared" si="4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5"/>
        <v/>
      </c>
      <c r="AA78" s="4" t="str">
        <f t="shared" si="13"/>
        <v/>
      </c>
      <c r="AB78" s="4" t="str">
        <f t="array" ref="AB78">XLOOKUP(X78,'Dados Funil'!A:A,'Dados Funil'!O:O,"")</f>
        <v/>
      </c>
      <c r="AE78" s="7" t="str">
        <f t="shared" si="6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9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G79" s="4"/>
      <c r="H79" s="4"/>
      <c r="I79" s="7" t="str">
        <f t="shared" si="2"/>
        <v/>
      </c>
      <c r="J79" s="4" t="str">
        <f t="shared" si="10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1"/>
        <v/>
      </c>
      <c r="P79" s="4" t="str">
        <f t="array" ref="P79">XLOOKUP(L79,'Dados Funil'!A:A,'Dados Funil'!AM:AM,"")</f>
        <v/>
      </c>
      <c r="Q79" s="9" t="str">
        <f t="array" ref="Q79">XLOOKUP(L79,'Dados Funil'!A:A,'Dados Funil'!AN:AN,"")</f>
        <v/>
      </c>
      <c r="T79" s="7" t="str">
        <f t="shared" si="4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5"/>
        <v/>
      </c>
      <c r="AA79" s="4" t="str">
        <f t="shared" si="13"/>
        <v/>
      </c>
      <c r="AB79" s="4" t="str">
        <f t="array" ref="AB79">XLOOKUP(X79,'Dados Funil'!A:A,'Dados Funil'!O:O,"")</f>
        <v/>
      </c>
      <c r="AE79" s="7" t="str">
        <f t="shared" si="6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9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G80" s="4"/>
      <c r="H80" s="4"/>
      <c r="I80" s="7" t="str">
        <f t="shared" si="2"/>
        <v/>
      </c>
      <c r="J80" s="4" t="str">
        <f t="shared" si="10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1"/>
        <v/>
      </c>
      <c r="P80" s="4" t="str">
        <f t="array" ref="P80">XLOOKUP(L80,'Dados Funil'!A:A,'Dados Funil'!AM:AM,"")</f>
        <v/>
      </c>
      <c r="Q80" s="9" t="str">
        <f t="array" ref="Q80">XLOOKUP(L80,'Dados Funil'!A:A,'Dados Funil'!AN:AN,"")</f>
        <v/>
      </c>
      <c r="T80" s="7" t="str">
        <f t="shared" si="4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5"/>
        <v/>
      </c>
      <c r="AA80" s="4" t="str">
        <f t="shared" si="13"/>
        <v/>
      </c>
      <c r="AB80" s="4" t="str">
        <f t="array" ref="AB80">XLOOKUP(X80,'Dados Funil'!A:A,'Dados Funil'!O:O,"")</f>
        <v/>
      </c>
      <c r="AE80" s="7" t="str">
        <f t="shared" si="6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9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G81" s="4"/>
      <c r="H81" s="4"/>
      <c r="I81" s="7" t="str">
        <f t="shared" si="2"/>
        <v/>
      </c>
      <c r="J81" s="4" t="str">
        <f t="shared" si="10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1"/>
        <v/>
      </c>
      <c r="P81" s="4" t="str">
        <f t="array" ref="P81">XLOOKUP(L81,'Dados Funil'!A:A,'Dados Funil'!AM:AM,"")</f>
        <v/>
      </c>
      <c r="Q81" s="9" t="str">
        <f t="array" ref="Q81">XLOOKUP(L81,'Dados Funil'!A:A,'Dados Funil'!AN:AN,"")</f>
        <v/>
      </c>
      <c r="T81" s="7" t="str">
        <f t="shared" si="4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5"/>
        <v/>
      </c>
      <c r="AA81" s="4" t="str">
        <f t="shared" si="13"/>
        <v/>
      </c>
      <c r="AB81" s="4" t="str">
        <f t="array" ref="AB81">XLOOKUP(X81,'Dados Funil'!A:A,'Dados Funil'!O:O,"")</f>
        <v/>
      </c>
      <c r="AE81" s="7" t="str">
        <f t="shared" si="6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9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G82" s="4"/>
      <c r="H82" s="4"/>
      <c r="I82" s="7" t="str">
        <f t="shared" si="2"/>
        <v/>
      </c>
      <c r="J82" s="4" t="str">
        <f t="shared" si="10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1"/>
        <v/>
      </c>
      <c r="P82" s="4" t="str">
        <f t="array" ref="P82">XLOOKUP(L82,'Dados Funil'!A:A,'Dados Funil'!AM:AM,"")</f>
        <v/>
      </c>
      <c r="Q82" s="9" t="str">
        <f t="array" ref="Q82">XLOOKUP(L82,'Dados Funil'!A:A,'Dados Funil'!AN:AN,"")</f>
        <v/>
      </c>
      <c r="T82" s="7" t="str">
        <f t="shared" si="4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5"/>
        <v/>
      </c>
      <c r="AA82" s="4" t="str">
        <f t="shared" si="13"/>
        <v/>
      </c>
      <c r="AB82" s="4" t="str">
        <f t="array" ref="AB82">XLOOKUP(X82,'Dados Funil'!A:A,'Dados Funil'!O:O,"")</f>
        <v/>
      </c>
      <c r="AE82" s="7" t="str">
        <f t="shared" si="6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9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G83" s="4"/>
      <c r="H83" s="4"/>
      <c r="I83" s="7" t="str">
        <f t="shared" si="2"/>
        <v/>
      </c>
      <c r="J83" s="4" t="str">
        <f t="shared" si="10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1"/>
        <v/>
      </c>
      <c r="P83" s="4" t="str">
        <f t="array" ref="P83">XLOOKUP(L83,'Dados Funil'!A:A,'Dados Funil'!AM:AM,"")</f>
        <v/>
      </c>
      <c r="Q83" s="9" t="str">
        <f t="array" ref="Q83">XLOOKUP(L83,'Dados Funil'!A:A,'Dados Funil'!AN:AN,"")</f>
        <v/>
      </c>
      <c r="T83" s="7" t="str">
        <f t="shared" si="4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5"/>
        <v/>
      </c>
      <c r="AA83" s="4" t="str">
        <f t="shared" si="13"/>
        <v/>
      </c>
      <c r="AB83" s="4" t="str">
        <f t="array" ref="AB83">XLOOKUP(X83,'Dados Funil'!A:A,'Dados Funil'!O:O,"")</f>
        <v/>
      </c>
      <c r="AE83" s="7" t="str">
        <f t="shared" si="6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9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G84" s="4"/>
      <c r="H84" s="4"/>
      <c r="I84" s="7" t="str">
        <f t="shared" si="2"/>
        <v/>
      </c>
      <c r="J84" s="4" t="str">
        <f t="shared" si="10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1"/>
        <v/>
      </c>
      <c r="P84" s="4" t="str">
        <f t="array" ref="P84">XLOOKUP(L84,'Dados Funil'!A:A,'Dados Funil'!AM:AM,"")</f>
        <v/>
      </c>
      <c r="Q84" s="9" t="str">
        <f t="array" ref="Q84">XLOOKUP(L84,'Dados Funil'!A:A,'Dados Funil'!AN:AN,"")</f>
        <v/>
      </c>
      <c r="T84" s="7" t="str">
        <f t="shared" si="4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5"/>
        <v/>
      </c>
      <c r="AA84" s="4" t="str">
        <f t="shared" si="13"/>
        <v/>
      </c>
      <c r="AB84" s="4" t="str">
        <f t="array" ref="AB84">XLOOKUP(X84,'Dados Funil'!A:A,'Dados Funil'!O:O,"")</f>
        <v/>
      </c>
      <c r="AE84" s="7" t="str">
        <f t="shared" si="6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9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G85" s="4"/>
      <c r="H85" s="4"/>
      <c r="I85" s="7" t="str">
        <f t="shared" si="2"/>
        <v/>
      </c>
      <c r="J85" s="4" t="str">
        <f t="shared" si="10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1"/>
        <v/>
      </c>
      <c r="P85" s="4" t="str">
        <f t="array" ref="P85">XLOOKUP(L85,'Dados Funil'!A:A,'Dados Funil'!AM:AM,"")</f>
        <v/>
      </c>
      <c r="Q85" s="9" t="str">
        <f t="array" ref="Q85">XLOOKUP(L85,'Dados Funil'!A:A,'Dados Funil'!AN:AN,"")</f>
        <v/>
      </c>
      <c r="T85" s="7" t="str">
        <f t="shared" si="4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5"/>
        <v/>
      </c>
      <c r="AA85" s="4" t="str">
        <f t="shared" si="13"/>
        <v/>
      </c>
      <c r="AB85" s="4" t="str">
        <f t="array" ref="AB85">XLOOKUP(X85,'Dados Funil'!A:A,'Dados Funil'!O:O,"")</f>
        <v/>
      </c>
      <c r="AE85" s="7" t="str">
        <f t="shared" si="6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9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G86" s="4"/>
      <c r="H86" s="4"/>
      <c r="I86" s="7" t="str">
        <f t="shared" si="2"/>
        <v/>
      </c>
      <c r="J86" s="4" t="str">
        <f t="shared" si="10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1"/>
        <v/>
      </c>
      <c r="P86" s="4" t="str">
        <f t="array" ref="P86">XLOOKUP(L86,'Dados Funil'!A:A,'Dados Funil'!AM:AM,"")</f>
        <v/>
      </c>
      <c r="Q86" s="9" t="str">
        <f t="array" ref="Q86">XLOOKUP(L86,'Dados Funil'!A:A,'Dados Funil'!AN:AN,"")</f>
        <v/>
      </c>
      <c r="T86" s="7" t="str">
        <f t="shared" si="4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5"/>
        <v/>
      </c>
      <c r="AA86" s="4" t="str">
        <f t="shared" si="13"/>
        <v/>
      </c>
      <c r="AB86" s="4" t="str">
        <f t="array" ref="AB86">XLOOKUP(X86,'Dados Funil'!A:A,'Dados Funil'!O:O,"")</f>
        <v/>
      </c>
      <c r="AE86" s="7" t="str">
        <f t="shared" si="6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9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G87" s="4"/>
      <c r="H87" s="4"/>
      <c r="I87" s="7" t="str">
        <f t="shared" si="2"/>
        <v/>
      </c>
      <c r="J87" s="4" t="str">
        <f t="shared" si="10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1"/>
        <v/>
      </c>
      <c r="P87" s="4" t="str">
        <f t="array" ref="P87">XLOOKUP(L87,'Dados Funil'!A:A,'Dados Funil'!AM:AM,"")</f>
        <v/>
      </c>
      <c r="Q87" s="9" t="str">
        <f t="array" ref="Q87">XLOOKUP(L87,'Dados Funil'!A:A,'Dados Funil'!AN:AN,"")</f>
        <v/>
      </c>
      <c r="T87" s="7" t="str">
        <f t="shared" si="4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5"/>
        <v/>
      </c>
      <c r="AA87" s="4" t="str">
        <f t="shared" si="13"/>
        <v/>
      </c>
      <c r="AB87" s="4" t="str">
        <f t="array" ref="AB87">XLOOKUP(X87,'Dados Funil'!A:A,'Dados Funil'!O:O,"")</f>
        <v/>
      </c>
      <c r="AE87" s="7" t="str">
        <f t="shared" si="6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9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G88" s="4"/>
      <c r="H88" s="4"/>
      <c r="I88" s="7" t="str">
        <f t="shared" si="2"/>
        <v/>
      </c>
      <c r="J88" s="4" t="str">
        <f t="shared" si="10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1"/>
        <v/>
      </c>
      <c r="P88" s="4" t="str">
        <f t="array" ref="P88">XLOOKUP(L88,'Dados Funil'!A:A,'Dados Funil'!AM:AM,"")</f>
        <v/>
      </c>
      <c r="Q88" s="9" t="str">
        <f t="array" ref="Q88">XLOOKUP(L88,'Dados Funil'!A:A,'Dados Funil'!AN:AN,"")</f>
        <v/>
      </c>
      <c r="T88" s="7" t="str">
        <f t="shared" si="4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5"/>
        <v/>
      </c>
      <c r="AA88" s="4" t="str">
        <f t="shared" si="13"/>
        <v/>
      </c>
      <c r="AB88" s="4" t="str">
        <f t="array" ref="AB88">XLOOKUP(X88,'Dados Funil'!A:A,'Dados Funil'!O:O,"")</f>
        <v/>
      </c>
      <c r="AE88" s="7" t="str">
        <f t="shared" si="6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9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G89" s="4"/>
      <c r="H89" s="4"/>
      <c r="I89" s="7" t="str">
        <f t="shared" si="2"/>
        <v/>
      </c>
      <c r="J89" s="4" t="str">
        <f t="shared" si="10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1"/>
        <v/>
      </c>
      <c r="P89" s="4" t="str">
        <f t="array" ref="P89">XLOOKUP(L89,'Dados Funil'!A:A,'Dados Funil'!AM:AM,"")</f>
        <v/>
      </c>
      <c r="Q89" s="9" t="str">
        <f t="array" ref="Q89">XLOOKUP(L89,'Dados Funil'!A:A,'Dados Funil'!AN:AN,"")</f>
        <v/>
      </c>
      <c r="T89" s="7" t="str">
        <f t="shared" si="4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5"/>
        <v/>
      </c>
      <c r="AA89" s="4" t="str">
        <f t="shared" si="13"/>
        <v/>
      </c>
      <c r="AB89" s="4" t="str">
        <f t="array" ref="AB89">XLOOKUP(X89,'Dados Funil'!A:A,'Dados Funil'!O:O,"")</f>
        <v/>
      </c>
      <c r="AE89" s="7" t="str">
        <f t="shared" si="6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9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G90" s="4"/>
      <c r="H90" s="4"/>
      <c r="I90" s="7" t="str">
        <f t="shared" si="2"/>
        <v/>
      </c>
      <c r="J90" s="4" t="str">
        <f t="shared" si="10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1"/>
        <v/>
      </c>
      <c r="P90" s="4" t="str">
        <f t="array" ref="P90">XLOOKUP(L90,'Dados Funil'!A:A,'Dados Funil'!AM:AM,"")</f>
        <v/>
      </c>
      <c r="Q90" s="9" t="str">
        <f t="array" ref="Q90">XLOOKUP(L90,'Dados Funil'!A:A,'Dados Funil'!AN:AN,"")</f>
        <v/>
      </c>
      <c r="T90" s="7" t="str">
        <f t="shared" si="4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5"/>
        <v/>
      </c>
      <c r="AA90" s="4" t="str">
        <f t="shared" si="13"/>
        <v/>
      </c>
      <c r="AB90" s="4" t="str">
        <f t="array" ref="AB90">XLOOKUP(X90,'Dados Funil'!A:A,'Dados Funil'!O:O,"")</f>
        <v/>
      </c>
      <c r="AE90" s="7" t="str">
        <f t="shared" si="6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9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G91" s="4"/>
      <c r="H91" s="4"/>
      <c r="I91" s="7" t="str">
        <f t="shared" si="2"/>
        <v/>
      </c>
      <c r="J91" s="4" t="str">
        <f t="shared" si="10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1"/>
        <v/>
      </c>
      <c r="P91" s="4" t="str">
        <f t="array" ref="P91">XLOOKUP(L91,'Dados Funil'!A:A,'Dados Funil'!AM:AM,"")</f>
        <v/>
      </c>
      <c r="Q91" s="9" t="str">
        <f t="array" ref="Q91">XLOOKUP(L91,'Dados Funil'!A:A,'Dados Funil'!AN:AN,"")</f>
        <v/>
      </c>
      <c r="T91" s="7" t="str">
        <f t="shared" si="4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5"/>
        <v/>
      </c>
      <c r="AA91" s="4" t="str">
        <f t="shared" si="13"/>
        <v/>
      </c>
      <c r="AB91" s="4" t="str">
        <f t="array" ref="AB91">XLOOKUP(X91,'Dados Funil'!A:A,'Dados Funil'!O:O,"")</f>
        <v/>
      </c>
      <c r="AE91" s="7" t="str">
        <f t="shared" si="6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9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G92" s="4"/>
      <c r="H92" s="4"/>
      <c r="I92" s="7" t="str">
        <f t="shared" si="2"/>
        <v/>
      </c>
      <c r="J92" s="4" t="str">
        <f t="shared" si="10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1"/>
        <v/>
      </c>
      <c r="P92" s="4" t="str">
        <f t="array" ref="P92">XLOOKUP(L92,'Dados Funil'!A:A,'Dados Funil'!AM:AM,"")</f>
        <v/>
      </c>
      <c r="Q92" s="9" t="str">
        <f t="array" ref="Q92">XLOOKUP(L92,'Dados Funil'!A:A,'Dados Funil'!AN:AN,"")</f>
        <v/>
      </c>
      <c r="T92" s="7" t="str">
        <f t="shared" si="4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5"/>
        <v/>
      </c>
      <c r="AA92" s="4" t="str">
        <f t="shared" si="13"/>
        <v/>
      </c>
      <c r="AB92" s="4" t="str">
        <f t="array" ref="AB92">XLOOKUP(X92,'Dados Funil'!A:A,'Dados Funil'!O:O,"")</f>
        <v/>
      </c>
      <c r="AE92" s="7" t="str">
        <f t="shared" si="6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9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G93" s="4"/>
      <c r="H93" s="4"/>
      <c r="I93" s="7" t="str">
        <f t="shared" si="2"/>
        <v/>
      </c>
      <c r="J93" s="4" t="str">
        <f t="shared" si="10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1"/>
        <v/>
      </c>
      <c r="P93" s="4" t="str">
        <f t="array" ref="P93">XLOOKUP(L93,'Dados Funil'!A:A,'Dados Funil'!AM:AM,"")</f>
        <v/>
      </c>
      <c r="Q93" s="9" t="str">
        <f t="array" ref="Q93">XLOOKUP(L93,'Dados Funil'!A:A,'Dados Funil'!AN:AN,"")</f>
        <v/>
      </c>
      <c r="T93" s="7" t="str">
        <f t="shared" si="4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5"/>
        <v/>
      </c>
      <c r="AA93" s="4" t="str">
        <f t="shared" si="13"/>
        <v/>
      </c>
      <c r="AB93" s="4" t="str">
        <f t="array" ref="AB93">XLOOKUP(X93,'Dados Funil'!A:A,'Dados Funil'!O:O,"")</f>
        <v/>
      </c>
      <c r="AE93" s="7" t="str">
        <f t="shared" si="6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9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G94" s="4"/>
      <c r="H94" s="4"/>
      <c r="I94" s="7" t="str">
        <f t="shared" si="2"/>
        <v/>
      </c>
      <c r="J94" s="4" t="str">
        <f t="shared" si="10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1"/>
        <v/>
      </c>
      <c r="P94" s="4" t="str">
        <f t="array" ref="P94">XLOOKUP(L94,'Dados Funil'!A:A,'Dados Funil'!AM:AM,"")</f>
        <v/>
      </c>
      <c r="Q94" s="9" t="str">
        <f t="array" ref="Q94">XLOOKUP(L94,'Dados Funil'!A:A,'Dados Funil'!AN:AN,"")</f>
        <v/>
      </c>
      <c r="T94" s="7" t="str">
        <f t="shared" si="4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5"/>
        <v/>
      </c>
      <c r="AA94" s="4" t="str">
        <f t="shared" si="13"/>
        <v/>
      </c>
      <c r="AB94" s="4" t="str">
        <f t="array" ref="AB94">XLOOKUP(X94,'Dados Funil'!A:A,'Dados Funil'!O:O,"")</f>
        <v/>
      </c>
      <c r="AE94" s="7" t="str">
        <f t="shared" si="6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9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G95" s="4"/>
      <c r="H95" s="4"/>
      <c r="I95" s="7" t="str">
        <f t="shared" si="2"/>
        <v/>
      </c>
      <c r="J95" s="4" t="str">
        <f t="shared" si="10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1"/>
        <v/>
      </c>
      <c r="P95" s="4" t="str">
        <f t="array" ref="P95">XLOOKUP(L95,'Dados Funil'!A:A,'Dados Funil'!AM:AM,"")</f>
        <v/>
      </c>
      <c r="Q95" s="9" t="str">
        <f t="array" ref="Q95">XLOOKUP(L95,'Dados Funil'!A:A,'Dados Funil'!AN:AN,"")</f>
        <v/>
      </c>
      <c r="T95" s="7" t="str">
        <f t="shared" si="4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5"/>
        <v/>
      </c>
      <c r="AA95" s="4" t="str">
        <f t="shared" si="13"/>
        <v/>
      </c>
      <c r="AB95" s="4" t="str">
        <f t="array" ref="AB95">XLOOKUP(X95,'Dados Funil'!A:A,'Dados Funil'!O:O,"")</f>
        <v/>
      </c>
      <c r="AE95" s="7" t="str">
        <f t="shared" si="6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9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G96" s="4"/>
      <c r="H96" s="4"/>
      <c r="I96" s="7" t="str">
        <f t="shared" si="2"/>
        <v/>
      </c>
      <c r="J96" s="4" t="str">
        <f t="shared" si="10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1"/>
        <v/>
      </c>
      <c r="P96" s="4" t="str">
        <f t="array" ref="P96">XLOOKUP(L96,'Dados Funil'!A:A,'Dados Funil'!AM:AM,"")</f>
        <v/>
      </c>
      <c r="Q96" s="9" t="str">
        <f t="array" ref="Q96">XLOOKUP(L96,'Dados Funil'!A:A,'Dados Funil'!AN:AN,"")</f>
        <v/>
      </c>
      <c r="T96" s="7" t="str">
        <f t="shared" si="4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5"/>
        <v/>
      </c>
      <c r="AA96" s="4" t="str">
        <f t="shared" si="13"/>
        <v/>
      </c>
      <c r="AB96" s="4" t="str">
        <f t="array" ref="AB96">XLOOKUP(X96,'Dados Funil'!A:A,'Dados Funil'!O:O,"")</f>
        <v/>
      </c>
      <c r="AE96" s="7" t="str">
        <f t="shared" si="6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9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G97" s="4"/>
      <c r="H97" s="4"/>
      <c r="I97" s="7" t="str">
        <f t="shared" si="2"/>
        <v/>
      </c>
      <c r="J97" s="4" t="str">
        <f t="shared" si="10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1"/>
        <v/>
      </c>
      <c r="P97" s="4" t="str">
        <f t="array" ref="P97">XLOOKUP(L97,'Dados Funil'!A:A,'Dados Funil'!AM:AM,"")</f>
        <v/>
      </c>
      <c r="Q97" s="9" t="str">
        <f t="array" ref="Q97">XLOOKUP(L97,'Dados Funil'!A:A,'Dados Funil'!AN:AN,"")</f>
        <v/>
      </c>
      <c r="T97" s="7" t="str">
        <f t="shared" si="4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5"/>
        <v/>
      </c>
      <c r="AA97" s="4" t="str">
        <f t="shared" si="13"/>
        <v/>
      </c>
      <c r="AB97" s="4" t="str">
        <f t="array" ref="AB97">XLOOKUP(X97,'Dados Funil'!A:A,'Dados Funil'!O:O,"")</f>
        <v/>
      </c>
      <c r="AE97" s="7" t="str">
        <f t="shared" si="6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9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G98" s="4"/>
      <c r="H98" s="4"/>
      <c r="I98" s="7" t="str">
        <f t="shared" si="2"/>
        <v/>
      </c>
      <c r="J98" s="4" t="str">
        <f t="shared" si="10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1"/>
        <v/>
      </c>
      <c r="P98" s="4" t="str">
        <f t="array" ref="P98">XLOOKUP(L98,'Dados Funil'!A:A,'Dados Funil'!AM:AM,"")</f>
        <v/>
      </c>
      <c r="Q98" s="9" t="str">
        <f t="array" ref="Q98">XLOOKUP(L98,'Dados Funil'!A:A,'Dados Funil'!AN:AN,"")</f>
        <v/>
      </c>
      <c r="T98" s="7" t="str">
        <f t="shared" si="4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5"/>
        <v/>
      </c>
      <c r="AA98" s="4" t="str">
        <f t="shared" si="13"/>
        <v/>
      </c>
      <c r="AB98" s="4" t="str">
        <f t="array" ref="AB98">XLOOKUP(X98,'Dados Funil'!A:A,'Dados Funil'!O:O,"")</f>
        <v/>
      </c>
      <c r="AE98" s="7" t="str">
        <f t="shared" si="6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9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G99" s="4"/>
      <c r="H99" s="4"/>
      <c r="I99" s="7" t="str">
        <f t="shared" si="2"/>
        <v/>
      </c>
      <c r="J99" s="4" t="str">
        <f t="shared" si="10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1"/>
        <v/>
      </c>
      <c r="P99" s="4" t="str">
        <f t="array" ref="P99">XLOOKUP(L99,'Dados Funil'!A:A,'Dados Funil'!AM:AM,"")</f>
        <v/>
      </c>
      <c r="Q99" s="9" t="str">
        <f t="array" ref="Q99">XLOOKUP(L99,'Dados Funil'!A:A,'Dados Funil'!AN:AN,"")</f>
        <v/>
      </c>
      <c r="T99" s="7" t="str">
        <f t="shared" si="4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5"/>
        <v/>
      </c>
      <c r="AA99" s="4" t="str">
        <f t="shared" si="13"/>
        <v/>
      </c>
      <c r="AB99" s="4" t="str">
        <f t="array" ref="AB99">XLOOKUP(X99,'Dados Funil'!A:A,'Dados Funil'!O:O,"")</f>
        <v/>
      </c>
      <c r="AE99" s="7" t="str">
        <f t="shared" si="6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9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G100" s="4"/>
      <c r="H100" s="4"/>
      <c r="I100" s="7" t="str">
        <f t="shared" si="2"/>
        <v/>
      </c>
      <c r="J100" s="4" t="str">
        <f t="shared" si="10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1"/>
        <v/>
      </c>
      <c r="P100" s="4" t="str">
        <f t="array" ref="P100">XLOOKUP(L100,'Dados Funil'!A:A,'Dados Funil'!AM:AM,"")</f>
        <v/>
      </c>
      <c r="Q100" s="9" t="str">
        <f t="array" ref="Q100">XLOOKUP(L100,'Dados Funil'!A:A,'Dados Funil'!AN:AN,"")</f>
        <v/>
      </c>
      <c r="T100" s="7" t="str">
        <f t="shared" si="4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5"/>
        <v/>
      </c>
      <c r="AA100" s="4" t="str">
        <f t="shared" si="13"/>
        <v/>
      </c>
      <c r="AB100" s="4" t="str">
        <f t="array" ref="AB100">XLOOKUP(X100,'Dados Funil'!A:A,'Dados Funil'!O:O,"")</f>
        <v/>
      </c>
      <c r="AE100" s="7" t="str">
        <f t="shared" si="6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9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G101" s="4"/>
      <c r="H101" s="4"/>
      <c r="I101" s="7" t="str">
        <f t="shared" si="2"/>
        <v/>
      </c>
      <c r="J101" s="4" t="str">
        <f t="shared" si="10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1"/>
        <v/>
      </c>
      <c r="P101" s="4" t="str">
        <f t="array" ref="P101">XLOOKUP(L101,'Dados Funil'!A:A,'Dados Funil'!AM:AM,"")</f>
        <v/>
      </c>
      <c r="Q101" s="9" t="str">
        <f t="array" ref="Q101">XLOOKUP(L101,'Dados Funil'!A:A,'Dados Funil'!AN:AN,"")</f>
        <v/>
      </c>
      <c r="T101" s="7" t="str">
        <f t="shared" si="4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5"/>
        <v/>
      </c>
      <c r="AA101" s="4" t="str">
        <f t="shared" si="13"/>
        <v/>
      </c>
      <c r="AB101" s="4" t="str">
        <f t="array" ref="AB101">XLOOKUP(X101,'Dados Funil'!A:A,'Dados Funil'!O:O,"")</f>
        <v/>
      </c>
      <c r="AE101" s="7" t="str">
        <f t="shared" si="6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9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G102" s="4"/>
      <c r="H102" s="4"/>
      <c r="I102" s="7" t="str">
        <f t="shared" si="2"/>
        <v/>
      </c>
      <c r="J102" s="4" t="str">
        <f t="shared" si="10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1"/>
        <v/>
      </c>
      <c r="P102" s="4" t="str">
        <f t="array" ref="P102">XLOOKUP(L102,'Dados Funil'!A:A,'Dados Funil'!AM:AM,"")</f>
        <v/>
      </c>
      <c r="Q102" s="9" t="str">
        <f t="array" ref="Q102">XLOOKUP(L102,'Dados Funil'!A:A,'Dados Funil'!AN:AN,"")</f>
        <v/>
      </c>
      <c r="T102" s="7" t="str">
        <f t="shared" si="4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5"/>
        <v/>
      </c>
      <c r="AA102" s="4" t="str">
        <f t="shared" si="13"/>
        <v/>
      </c>
      <c r="AB102" s="4" t="str">
        <f t="array" ref="AB102">XLOOKUP(X102,'Dados Funil'!A:A,'Dados Funil'!O:O,"")</f>
        <v/>
      </c>
      <c r="AE102" s="7" t="str">
        <f t="shared" si="6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9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G103" s="4"/>
      <c r="H103" s="4"/>
      <c r="I103" s="7" t="str">
        <f t="shared" si="2"/>
        <v/>
      </c>
      <c r="J103" s="4" t="str">
        <f t="shared" si="10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1"/>
        <v/>
      </c>
      <c r="P103" s="4" t="str">
        <f t="array" ref="P103">XLOOKUP(L103,'Dados Funil'!A:A,'Dados Funil'!AM:AM,"")</f>
        <v/>
      </c>
      <c r="Q103" s="9" t="str">
        <f t="array" ref="Q103">XLOOKUP(L103,'Dados Funil'!A:A,'Dados Funil'!AN:AN,"")</f>
        <v/>
      </c>
      <c r="T103" s="7" t="str">
        <f t="shared" si="4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5"/>
        <v/>
      </c>
      <c r="AA103" s="4" t="str">
        <f t="shared" si="13"/>
        <v/>
      </c>
      <c r="AB103" s="4" t="str">
        <f t="array" ref="AB103">XLOOKUP(X103,'Dados Funil'!A:A,'Dados Funil'!O:O,"")</f>
        <v/>
      </c>
      <c r="AE103" s="7" t="str">
        <f t="shared" si="6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9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G104" s="4"/>
      <c r="H104" s="4"/>
      <c r="I104" s="7" t="str">
        <f t="shared" si="2"/>
        <v/>
      </c>
      <c r="J104" s="4" t="str">
        <f t="shared" si="10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1"/>
        <v/>
      </c>
      <c r="P104" s="4" t="str">
        <f t="array" ref="P104">XLOOKUP(L104,'Dados Funil'!A:A,'Dados Funil'!AM:AM,"")</f>
        <v/>
      </c>
      <c r="Q104" s="9" t="str">
        <f t="array" ref="Q104">XLOOKUP(L104,'Dados Funil'!A:A,'Dados Funil'!AN:AN,"")</f>
        <v/>
      </c>
      <c r="T104" s="7" t="str">
        <f t="shared" si="4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5"/>
        <v/>
      </c>
      <c r="AA104" s="4" t="str">
        <f t="shared" si="13"/>
        <v/>
      </c>
      <c r="AB104" s="4" t="str">
        <f t="array" ref="AB104">XLOOKUP(X104,'Dados Funil'!A:A,'Dados Funil'!O:O,"")</f>
        <v/>
      </c>
      <c r="AE104" s="7" t="str">
        <f t="shared" si="6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9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G105" s="4"/>
      <c r="H105" s="4"/>
      <c r="I105" s="7" t="str">
        <f t="shared" si="2"/>
        <v/>
      </c>
      <c r="J105" s="4" t="str">
        <f t="shared" si="10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1"/>
        <v/>
      </c>
      <c r="P105" s="4" t="str">
        <f t="array" ref="P105">XLOOKUP(L105,'Dados Funil'!A:A,'Dados Funil'!AM:AM,"")</f>
        <v/>
      </c>
      <c r="Q105" s="9" t="str">
        <f t="array" ref="Q105">XLOOKUP(L105,'Dados Funil'!A:A,'Dados Funil'!AN:AN,"")</f>
        <v/>
      </c>
      <c r="T105" s="7" t="str">
        <f t="shared" si="4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5"/>
        <v/>
      </c>
      <c r="AA105" s="4" t="str">
        <f t="shared" si="13"/>
        <v/>
      </c>
      <c r="AB105" s="4" t="str">
        <f t="array" ref="AB105">XLOOKUP(X105,'Dados Funil'!A:A,'Dados Funil'!O:O,"")</f>
        <v/>
      </c>
      <c r="AE105" s="7" t="str">
        <f t="shared" si="6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9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G106" s="4"/>
      <c r="H106" s="4"/>
      <c r="I106" s="7" t="str">
        <f t="shared" si="2"/>
        <v/>
      </c>
      <c r="J106" s="4" t="str">
        <f t="shared" si="10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1"/>
        <v/>
      </c>
      <c r="P106" s="4" t="str">
        <f t="array" ref="P106">XLOOKUP(L106,'Dados Funil'!A:A,'Dados Funil'!AM:AM,"")</f>
        <v/>
      </c>
      <c r="Q106" s="9" t="str">
        <f t="array" ref="Q106">XLOOKUP(L106,'Dados Funil'!A:A,'Dados Funil'!AN:AN,"")</f>
        <v/>
      </c>
      <c r="T106" s="7" t="str">
        <f t="shared" si="4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5"/>
        <v/>
      </c>
      <c r="AA106" s="4" t="str">
        <f t="shared" si="13"/>
        <v/>
      </c>
      <c r="AB106" s="4" t="str">
        <f t="array" ref="AB106">XLOOKUP(X106,'Dados Funil'!A:A,'Dados Funil'!O:O,"")</f>
        <v/>
      </c>
      <c r="AE106" s="7" t="str">
        <f t="shared" si="6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9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G107" s="4"/>
      <c r="H107" s="4"/>
      <c r="I107" s="7" t="str">
        <f t="shared" si="2"/>
        <v/>
      </c>
      <c r="J107" s="4" t="str">
        <f t="shared" si="10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1"/>
        <v/>
      </c>
      <c r="P107" s="4" t="str">
        <f t="array" ref="P107">XLOOKUP(L107,'Dados Funil'!A:A,'Dados Funil'!AM:AM,"")</f>
        <v/>
      </c>
      <c r="Q107" s="9" t="str">
        <f t="array" ref="Q107">XLOOKUP(L107,'Dados Funil'!A:A,'Dados Funil'!AN:AN,"")</f>
        <v/>
      </c>
      <c r="T107" s="7" t="str">
        <f t="shared" si="4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5"/>
        <v/>
      </c>
      <c r="AA107" s="4" t="str">
        <f t="shared" si="13"/>
        <v/>
      </c>
      <c r="AB107" s="4" t="str">
        <f t="array" ref="AB107">XLOOKUP(X107,'Dados Funil'!A:A,'Dados Funil'!O:O,"")</f>
        <v/>
      </c>
      <c r="AE107" s="7" t="str">
        <f t="shared" si="6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9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G108" s="4"/>
      <c r="H108" s="4"/>
      <c r="I108" s="7" t="str">
        <f t="shared" si="2"/>
        <v/>
      </c>
      <c r="J108" s="4" t="str">
        <f t="shared" si="10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1"/>
        <v/>
      </c>
      <c r="P108" s="4" t="str">
        <f t="array" ref="P108">XLOOKUP(L108,'Dados Funil'!A:A,'Dados Funil'!AM:AM,"")</f>
        <v/>
      </c>
      <c r="Q108" s="9" t="str">
        <f t="array" ref="Q108">XLOOKUP(L108,'Dados Funil'!A:A,'Dados Funil'!AN:AN,"")</f>
        <v/>
      </c>
      <c r="T108" s="7" t="str">
        <f t="shared" si="4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5"/>
        <v/>
      </c>
      <c r="AA108" s="4" t="str">
        <f t="shared" si="13"/>
        <v/>
      </c>
      <c r="AB108" s="4" t="str">
        <f t="array" ref="AB108">XLOOKUP(X108,'Dados Funil'!A:A,'Dados Funil'!O:O,"")</f>
        <v/>
      </c>
      <c r="AE108" s="7" t="str">
        <f t="shared" si="6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9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G109" s="4"/>
      <c r="H109" s="4"/>
      <c r="I109" s="7" t="str">
        <f t="shared" si="2"/>
        <v/>
      </c>
      <c r="J109" s="4" t="str">
        <f t="shared" si="10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1"/>
        <v/>
      </c>
      <c r="P109" s="4" t="str">
        <f t="array" ref="P109">XLOOKUP(L109,'Dados Funil'!A:A,'Dados Funil'!AM:AM,"")</f>
        <v/>
      </c>
      <c r="Q109" s="9" t="str">
        <f t="array" ref="Q109">XLOOKUP(L109,'Dados Funil'!A:A,'Dados Funil'!AN:AN,"")</f>
        <v/>
      </c>
      <c r="T109" s="7" t="str">
        <f t="shared" si="4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5"/>
        <v/>
      </c>
      <c r="AA109" s="4" t="str">
        <f t="shared" si="13"/>
        <v/>
      </c>
      <c r="AB109" s="4" t="str">
        <f t="array" ref="AB109">XLOOKUP(X109,'Dados Funil'!A:A,'Dados Funil'!O:O,"")</f>
        <v/>
      </c>
      <c r="AE109" s="7" t="str">
        <f t="shared" si="6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9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G110" s="4"/>
      <c r="H110" s="4"/>
      <c r="I110" s="7" t="str">
        <f t="shared" si="2"/>
        <v/>
      </c>
      <c r="J110" s="4" t="str">
        <f t="shared" si="10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1"/>
        <v/>
      </c>
      <c r="P110" s="4" t="str">
        <f t="array" ref="P110">XLOOKUP(L110,'Dados Funil'!A:A,'Dados Funil'!AM:AM,"")</f>
        <v/>
      </c>
      <c r="Q110" s="9" t="str">
        <f t="array" ref="Q110">XLOOKUP(L110,'Dados Funil'!A:A,'Dados Funil'!AN:AN,"")</f>
        <v/>
      </c>
      <c r="T110" s="7" t="str">
        <f t="shared" si="4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5"/>
        <v/>
      </c>
      <c r="AA110" s="4" t="str">
        <f t="shared" si="13"/>
        <v/>
      </c>
      <c r="AB110" s="4" t="str">
        <f t="array" ref="AB110">XLOOKUP(X110,'Dados Funil'!A:A,'Dados Funil'!O:O,"")</f>
        <v/>
      </c>
      <c r="AE110" s="7" t="str">
        <f t="shared" si="6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9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G111" s="4"/>
      <c r="H111" s="4"/>
      <c r="I111" s="7" t="str">
        <f t="shared" si="2"/>
        <v/>
      </c>
      <c r="J111" s="4" t="str">
        <f t="shared" si="10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1"/>
        <v/>
      </c>
      <c r="P111" s="4" t="str">
        <f t="array" ref="P111">XLOOKUP(L111,'Dados Funil'!A:A,'Dados Funil'!AM:AM,"")</f>
        <v/>
      </c>
      <c r="Q111" s="9" t="str">
        <f t="array" ref="Q111">XLOOKUP(L111,'Dados Funil'!A:A,'Dados Funil'!AN:AN,"")</f>
        <v/>
      </c>
      <c r="T111" s="7" t="str">
        <f t="shared" si="4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5"/>
        <v/>
      </c>
      <c r="AA111" s="4" t="str">
        <f t="shared" si="13"/>
        <v/>
      </c>
      <c r="AB111" s="4" t="str">
        <f t="array" ref="AB111">XLOOKUP(X111,'Dados Funil'!A:A,'Dados Funil'!O:O,"")</f>
        <v/>
      </c>
      <c r="AE111" s="7" t="str">
        <f t="shared" si="6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9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G112" s="4"/>
      <c r="H112" s="4"/>
      <c r="I112" s="7" t="str">
        <f t="shared" si="2"/>
        <v/>
      </c>
      <c r="J112" s="4" t="str">
        <f t="shared" si="10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1"/>
        <v/>
      </c>
      <c r="P112" s="4" t="str">
        <f t="array" ref="P112">XLOOKUP(L112,'Dados Funil'!A:A,'Dados Funil'!AM:AM,"")</f>
        <v/>
      </c>
      <c r="Q112" s="9" t="str">
        <f t="array" ref="Q112">XLOOKUP(L112,'Dados Funil'!A:A,'Dados Funil'!AN:AN,"")</f>
        <v/>
      </c>
      <c r="T112" s="7" t="str">
        <f t="shared" si="4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5"/>
        <v/>
      </c>
      <c r="AA112" s="4" t="str">
        <f t="shared" si="13"/>
        <v/>
      </c>
      <c r="AB112" s="4" t="str">
        <f t="array" ref="AB112">XLOOKUP(X112,'Dados Funil'!A:A,'Dados Funil'!O:O,"")</f>
        <v/>
      </c>
      <c r="AE112" s="7" t="str">
        <f t="shared" si="6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9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G113" s="4"/>
      <c r="H113" s="4"/>
      <c r="I113" s="7" t="str">
        <f t="shared" si="2"/>
        <v/>
      </c>
      <c r="J113" s="4" t="str">
        <f t="shared" si="10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1"/>
        <v/>
      </c>
      <c r="P113" s="4" t="str">
        <f t="array" ref="P113">XLOOKUP(L113,'Dados Funil'!A:A,'Dados Funil'!AM:AM,"")</f>
        <v/>
      </c>
      <c r="Q113" s="9" t="str">
        <f t="array" ref="Q113">XLOOKUP(L113,'Dados Funil'!A:A,'Dados Funil'!AN:AN,"")</f>
        <v/>
      </c>
      <c r="T113" s="7" t="str">
        <f t="shared" si="4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5"/>
        <v/>
      </c>
      <c r="AA113" s="4" t="str">
        <f t="shared" si="13"/>
        <v/>
      </c>
      <c r="AB113" s="4" t="str">
        <f t="array" ref="AB113">XLOOKUP(X113,'Dados Funil'!A:A,'Dados Funil'!O:O,"")</f>
        <v/>
      </c>
      <c r="AE113" s="7" t="str">
        <f t="shared" si="6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9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G114" s="4"/>
      <c r="H114" s="4"/>
      <c r="I114" s="7" t="str">
        <f t="shared" si="2"/>
        <v/>
      </c>
      <c r="J114" s="4" t="str">
        <f t="shared" si="10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1"/>
        <v/>
      </c>
      <c r="P114" s="4" t="str">
        <f t="array" ref="P114">XLOOKUP(L114,'Dados Funil'!A:A,'Dados Funil'!AM:AM,"")</f>
        <v/>
      </c>
      <c r="Q114" s="9" t="str">
        <f t="array" ref="Q114">XLOOKUP(L114,'Dados Funil'!A:A,'Dados Funil'!AN:AN,"")</f>
        <v/>
      </c>
      <c r="T114" s="7" t="str">
        <f t="shared" si="4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5"/>
        <v/>
      </c>
      <c r="AA114" s="4" t="str">
        <f t="shared" si="13"/>
        <v/>
      </c>
      <c r="AB114" s="4" t="str">
        <f t="array" ref="AB114">XLOOKUP(X114,'Dados Funil'!A:A,'Dados Funil'!O:O,"")</f>
        <v/>
      </c>
      <c r="AE114" s="7" t="str">
        <f t="shared" si="6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9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G115" s="4"/>
      <c r="H115" s="4"/>
      <c r="I115" s="7" t="str">
        <f t="shared" si="2"/>
        <v/>
      </c>
      <c r="J115" s="4" t="str">
        <f t="shared" si="10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1"/>
        <v/>
      </c>
      <c r="P115" s="4" t="str">
        <f t="array" ref="P115">XLOOKUP(L115,'Dados Funil'!A:A,'Dados Funil'!AM:AM,"")</f>
        <v/>
      </c>
      <c r="Q115" s="9" t="str">
        <f t="array" ref="Q115">XLOOKUP(L115,'Dados Funil'!A:A,'Dados Funil'!AN:AN,"")</f>
        <v/>
      </c>
      <c r="T115" s="7" t="str">
        <f t="shared" si="4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5"/>
        <v/>
      </c>
      <c r="AA115" s="4" t="str">
        <f t="shared" si="13"/>
        <v/>
      </c>
      <c r="AB115" s="4" t="str">
        <f t="array" ref="AB115">XLOOKUP(X115,'Dados Funil'!A:A,'Dados Funil'!O:O,"")</f>
        <v/>
      </c>
      <c r="AE115" s="7" t="str">
        <f t="shared" si="6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9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G116" s="4"/>
      <c r="H116" s="4"/>
      <c r="I116" s="7" t="str">
        <f t="shared" si="2"/>
        <v/>
      </c>
      <c r="J116" s="4" t="str">
        <f t="shared" si="10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1"/>
        <v/>
      </c>
      <c r="P116" s="4" t="str">
        <f t="array" ref="P116">XLOOKUP(L116,'Dados Funil'!A:A,'Dados Funil'!AM:AM,"")</f>
        <v/>
      </c>
      <c r="Q116" s="9" t="str">
        <f t="array" ref="Q116">XLOOKUP(L116,'Dados Funil'!A:A,'Dados Funil'!AN:AN,"")</f>
        <v/>
      </c>
      <c r="T116" s="7" t="str">
        <f t="shared" si="4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5"/>
        <v/>
      </c>
      <c r="AA116" s="4" t="str">
        <f t="shared" si="13"/>
        <v/>
      </c>
      <c r="AB116" s="4" t="str">
        <f t="array" ref="AB116">XLOOKUP(X116,'Dados Funil'!A:A,'Dados Funil'!O:O,"")</f>
        <v/>
      </c>
      <c r="AE116" s="7" t="str">
        <f t="shared" si="6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9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G117" s="4"/>
      <c r="H117" s="4"/>
      <c r="I117" s="7" t="str">
        <f t="shared" si="2"/>
        <v/>
      </c>
      <c r="J117" s="4" t="str">
        <f t="shared" si="10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1"/>
        <v/>
      </c>
      <c r="P117" s="4" t="str">
        <f t="array" ref="P117">XLOOKUP(L117,'Dados Funil'!A:A,'Dados Funil'!AM:AM,"")</f>
        <v/>
      </c>
      <c r="Q117" s="9" t="str">
        <f t="array" ref="Q117">XLOOKUP(L117,'Dados Funil'!A:A,'Dados Funil'!AN:AN,"")</f>
        <v/>
      </c>
      <c r="T117" s="7" t="str">
        <f t="shared" si="4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5"/>
        <v/>
      </c>
      <c r="AA117" s="4" t="str">
        <f t="shared" si="13"/>
        <v/>
      </c>
      <c r="AB117" s="4" t="str">
        <f t="array" ref="AB117">XLOOKUP(X117,'Dados Funil'!A:A,'Dados Funil'!O:O,"")</f>
        <v/>
      </c>
      <c r="AE117" s="7" t="str">
        <f t="shared" si="6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9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G118" s="4"/>
      <c r="H118" s="4"/>
      <c r="I118" s="7" t="str">
        <f t="shared" si="2"/>
        <v/>
      </c>
      <c r="J118" s="4" t="str">
        <f t="shared" si="10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1"/>
        <v/>
      </c>
      <c r="P118" s="4" t="str">
        <f t="array" ref="P118">XLOOKUP(L118,'Dados Funil'!A:A,'Dados Funil'!AM:AM,"")</f>
        <v/>
      </c>
      <c r="Q118" s="9" t="str">
        <f t="array" ref="Q118">XLOOKUP(L118,'Dados Funil'!A:A,'Dados Funil'!AN:AN,"")</f>
        <v/>
      </c>
      <c r="T118" s="7" t="str">
        <f t="shared" si="4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5"/>
        <v/>
      </c>
      <c r="AA118" s="4" t="str">
        <f t="shared" si="13"/>
        <v/>
      </c>
      <c r="AB118" s="4" t="str">
        <f t="array" ref="AB118">XLOOKUP(X118,'Dados Funil'!A:A,'Dados Funil'!O:O,"")</f>
        <v/>
      </c>
      <c r="AE118" s="7" t="str">
        <f t="shared" si="6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9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G119" s="4"/>
      <c r="H119" s="4"/>
      <c r="I119" s="7" t="str">
        <f t="shared" si="2"/>
        <v/>
      </c>
      <c r="J119" s="4" t="str">
        <f t="shared" si="10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1"/>
        <v/>
      </c>
      <c r="P119" s="4" t="str">
        <f t="array" ref="P119">XLOOKUP(L119,'Dados Funil'!A:A,'Dados Funil'!AM:AM,"")</f>
        <v/>
      </c>
      <c r="Q119" s="9" t="str">
        <f t="array" ref="Q119">XLOOKUP(L119,'Dados Funil'!A:A,'Dados Funil'!AN:AN,"")</f>
        <v/>
      </c>
      <c r="T119" s="7" t="str">
        <f t="shared" si="4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5"/>
        <v/>
      </c>
      <c r="AA119" s="4" t="str">
        <f t="shared" si="13"/>
        <v/>
      </c>
      <c r="AB119" s="4" t="str">
        <f t="array" ref="AB119">XLOOKUP(X119,'Dados Funil'!A:A,'Dados Funil'!O:O,"")</f>
        <v/>
      </c>
      <c r="AE119" s="7" t="str">
        <f t="shared" si="6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9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G120" s="4"/>
      <c r="H120" s="4"/>
      <c r="I120" s="7" t="str">
        <f t="shared" si="2"/>
        <v/>
      </c>
      <c r="J120" s="4" t="str">
        <f t="shared" si="10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1"/>
        <v/>
      </c>
      <c r="P120" s="4" t="str">
        <f t="array" ref="P120">XLOOKUP(L120,'Dados Funil'!A:A,'Dados Funil'!AM:AM,"")</f>
        <v/>
      </c>
      <c r="Q120" s="9" t="str">
        <f t="array" ref="Q120">XLOOKUP(L120,'Dados Funil'!A:A,'Dados Funil'!AN:AN,"")</f>
        <v/>
      </c>
      <c r="T120" s="7" t="str">
        <f t="shared" si="4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5"/>
        <v/>
      </c>
      <c r="AA120" s="4" t="str">
        <f t="shared" si="13"/>
        <v/>
      </c>
      <c r="AB120" s="4" t="str">
        <f t="array" ref="AB120">XLOOKUP(X120,'Dados Funil'!A:A,'Dados Funil'!O:O,"")</f>
        <v/>
      </c>
      <c r="AE120" s="7" t="str">
        <f t="shared" si="6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9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G121" s="4"/>
      <c r="H121" s="4"/>
      <c r="I121" s="7" t="str">
        <f t="shared" si="2"/>
        <v/>
      </c>
      <c r="J121" s="4" t="str">
        <f t="shared" si="10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1"/>
        <v/>
      </c>
      <c r="P121" s="4" t="str">
        <f t="array" ref="P121">XLOOKUP(L121,'Dados Funil'!A:A,'Dados Funil'!AM:AM,"")</f>
        <v/>
      </c>
      <c r="Q121" s="9" t="str">
        <f t="array" ref="Q121">XLOOKUP(L121,'Dados Funil'!A:A,'Dados Funil'!AN:AN,"")</f>
        <v/>
      </c>
      <c r="T121" s="7" t="str">
        <f t="shared" si="4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5"/>
        <v/>
      </c>
      <c r="AA121" s="4" t="str">
        <f t="shared" si="13"/>
        <v/>
      </c>
      <c r="AB121" s="4" t="str">
        <f t="array" ref="AB121">XLOOKUP(X121,'Dados Funil'!A:A,'Dados Funil'!O:O,"")</f>
        <v/>
      </c>
      <c r="AE121" s="7" t="str">
        <f t="shared" si="6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9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G122" s="4"/>
      <c r="H122" s="4"/>
      <c r="I122" s="7" t="str">
        <f t="shared" si="2"/>
        <v/>
      </c>
      <c r="J122" s="4" t="str">
        <f t="shared" si="10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1"/>
        <v/>
      </c>
      <c r="P122" s="4" t="str">
        <f t="array" ref="P122">XLOOKUP(L122,'Dados Funil'!A:A,'Dados Funil'!AM:AM,"")</f>
        <v/>
      </c>
      <c r="Q122" s="9" t="str">
        <f t="array" ref="Q122">XLOOKUP(L122,'Dados Funil'!A:A,'Dados Funil'!AN:AN,"")</f>
        <v/>
      </c>
      <c r="T122" s="7" t="str">
        <f t="shared" si="4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5"/>
        <v/>
      </c>
      <c r="AA122" s="4" t="str">
        <f t="shared" si="13"/>
        <v/>
      </c>
      <c r="AB122" s="4" t="str">
        <f t="array" ref="AB122">XLOOKUP(X122,'Dados Funil'!A:A,'Dados Funil'!O:O,"")</f>
        <v/>
      </c>
      <c r="AE122" s="7" t="str">
        <f t="shared" si="6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9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G123" s="4"/>
      <c r="H123" s="4"/>
      <c r="I123" s="7" t="str">
        <f t="shared" si="2"/>
        <v/>
      </c>
      <c r="J123" s="4" t="str">
        <f t="shared" si="10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1"/>
        <v/>
      </c>
      <c r="P123" s="4" t="str">
        <f t="array" ref="P123">XLOOKUP(L123,'Dados Funil'!A:A,'Dados Funil'!AM:AM,"")</f>
        <v/>
      </c>
      <c r="Q123" s="9" t="str">
        <f t="array" ref="Q123">XLOOKUP(L123,'Dados Funil'!A:A,'Dados Funil'!AN:AN,"")</f>
        <v/>
      </c>
      <c r="T123" s="7" t="str">
        <f t="shared" si="4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5"/>
        <v/>
      </c>
      <c r="AA123" s="4" t="str">
        <f t="shared" si="13"/>
        <v/>
      </c>
      <c r="AB123" s="4" t="str">
        <f t="array" ref="AB123">XLOOKUP(X123,'Dados Funil'!A:A,'Dados Funil'!O:O,"")</f>
        <v/>
      </c>
      <c r="AE123" s="7" t="str">
        <f t="shared" si="6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9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G124" s="4"/>
      <c r="H124" s="4"/>
      <c r="I124" s="7" t="str">
        <f t="shared" si="2"/>
        <v/>
      </c>
      <c r="J124" s="4" t="str">
        <f t="shared" si="10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1"/>
        <v/>
      </c>
      <c r="P124" s="4" t="str">
        <f t="array" ref="P124">XLOOKUP(L124,'Dados Funil'!A:A,'Dados Funil'!AM:AM,"")</f>
        <v/>
      </c>
      <c r="Q124" s="9" t="str">
        <f t="array" ref="Q124">XLOOKUP(L124,'Dados Funil'!A:A,'Dados Funil'!AN:AN,"")</f>
        <v/>
      </c>
      <c r="T124" s="7" t="str">
        <f t="shared" si="4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5"/>
        <v/>
      </c>
      <c r="AA124" s="4" t="str">
        <f t="shared" si="13"/>
        <v/>
      </c>
      <c r="AB124" s="4" t="str">
        <f t="array" ref="AB124">XLOOKUP(X124,'Dados Funil'!A:A,'Dados Funil'!O:O,"")</f>
        <v/>
      </c>
      <c r="AE124" s="7" t="str">
        <f t="shared" si="6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9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G125" s="4"/>
      <c r="H125" s="4"/>
      <c r="I125" s="7" t="str">
        <f t="shared" si="2"/>
        <v/>
      </c>
      <c r="J125" s="4" t="str">
        <f t="shared" si="10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1"/>
        <v/>
      </c>
      <c r="P125" s="4" t="str">
        <f t="array" ref="P125">XLOOKUP(L125,'Dados Funil'!A:A,'Dados Funil'!AM:AM,"")</f>
        <v/>
      </c>
      <c r="Q125" s="9" t="str">
        <f t="array" ref="Q125">XLOOKUP(L125,'Dados Funil'!A:A,'Dados Funil'!AN:AN,"")</f>
        <v/>
      </c>
      <c r="T125" s="7" t="str">
        <f t="shared" si="4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5"/>
        <v/>
      </c>
      <c r="AA125" s="4" t="str">
        <f t="shared" si="13"/>
        <v/>
      </c>
      <c r="AB125" s="4" t="str">
        <f t="array" ref="AB125">XLOOKUP(X125,'Dados Funil'!A:A,'Dados Funil'!O:O,"")</f>
        <v/>
      </c>
      <c r="AE125" s="7" t="str">
        <f t="shared" si="6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9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G126" s="4"/>
      <c r="H126" s="4"/>
      <c r="I126" s="7" t="str">
        <f t="shared" si="2"/>
        <v/>
      </c>
      <c r="J126" s="4" t="str">
        <f t="shared" si="10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1"/>
        <v/>
      </c>
      <c r="P126" s="4" t="str">
        <f t="array" ref="P126">XLOOKUP(L126,'Dados Funil'!A:A,'Dados Funil'!AM:AM,"")</f>
        <v/>
      </c>
      <c r="Q126" s="9" t="str">
        <f t="array" ref="Q126">XLOOKUP(L126,'Dados Funil'!A:A,'Dados Funil'!AN:AN,"")</f>
        <v/>
      </c>
      <c r="T126" s="7" t="str">
        <f t="shared" si="4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5"/>
        <v/>
      </c>
      <c r="AA126" s="4" t="str">
        <f t="shared" si="13"/>
        <v/>
      </c>
      <c r="AB126" s="4" t="str">
        <f t="array" ref="AB126">XLOOKUP(X126,'Dados Funil'!A:A,'Dados Funil'!O:O,"")</f>
        <v/>
      </c>
      <c r="AE126" s="7" t="str">
        <f t="shared" si="6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9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G127" s="4"/>
      <c r="H127" s="4"/>
      <c r="I127" s="7" t="str">
        <f t="shared" si="2"/>
        <v/>
      </c>
      <c r="J127" s="4" t="str">
        <f t="shared" si="10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1"/>
        <v/>
      </c>
      <c r="P127" s="4" t="str">
        <f t="array" ref="P127">XLOOKUP(L127,'Dados Funil'!A:A,'Dados Funil'!AM:AM,"")</f>
        <v/>
      </c>
      <c r="Q127" s="9" t="str">
        <f t="array" ref="Q127">XLOOKUP(L127,'Dados Funil'!A:A,'Dados Funil'!AN:AN,"")</f>
        <v/>
      </c>
      <c r="T127" s="7" t="str">
        <f t="shared" si="4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5"/>
        <v/>
      </c>
      <c r="AA127" s="4" t="str">
        <f t="shared" si="13"/>
        <v/>
      </c>
      <c r="AB127" s="4" t="str">
        <f t="array" ref="AB127">XLOOKUP(X127,'Dados Funil'!A:A,'Dados Funil'!O:O,"")</f>
        <v/>
      </c>
      <c r="AE127" s="7" t="str">
        <f t="shared" si="6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9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G128" s="4"/>
      <c r="H128" s="4"/>
      <c r="I128" s="7" t="str">
        <f t="shared" si="2"/>
        <v/>
      </c>
      <c r="J128" s="4" t="str">
        <f t="shared" si="10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1"/>
        <v/>
      </c>
      <c r="P128" s="4" t="str">
        <f t="array" ref="P128">XLOOKUP(L128,'Dados Funil'!A:A,'Dados Funil'!AM:AM,"")</f>
        <v/>
      </c>
      <c r="Q128" s="9" t="str">
        <f t="array" ref="Q128">XLOOKUP(L128,'Dados Funil'!A:A,'Dados Funil'!AN:AN,"")</f>
        <v/>
      </c>
      <c r="T128" s="7" t="str">
        <f t="shared" si="4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5"/>
        <v/>
      </c>
      <c r="AA128" s="4" t="str">
        <f t="shared" si="13"/>
        <v/>
      </c>
      <c r="AB128" s="4" t="str">
        <f t="array" ref="AB128">XLOOKUP(X128,'Dados Funil'!A:A,'Dados Funil'!O:O,"")</f>
        <v/>
      </c>
      <c r="AE128" s="7" t="str">
        <f t="shared" si="6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9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G129" s="4"/>
      <c r="H129" s="4"/>
      <c r="I129" s="7" t="str">
        <f t="shared" si="2"/>
        <v/>
      </c>
      <c r="J129" s="4" t="str">
        <f t="shared" si="10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1"/>
        <v/>
      </c>
      <c r="P129" s="4" t="str">
        <f t="array" ref="P129">XLOOKUP(L129,'Dados Funil'!A:A,'Dados Funil'!AM:AM,"")</f>
        <v/>
      </c>
      <c r="Q129" s="9" t="str">
        <f t="array" ref="Q129">XLOOKUP(L129,'Dados Funil'!A:A,'Dados Funil'!AN:AN,"")</f>
        <v/>
      </c>
      <c r="T129" s="7" t="str">
        <f t="shared" si="4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5"/>
        <v/>
      </c>
      <c r="AA129" s="4" t="str">
        <f t="shared" si="13"/>
        <v/>
      </c>
      <c r="AB129" s="4" t="str">
        <f t="array" ref="AB129">XLOOKUP(X129,'Dados Funil'!A:A,'Dados Funil'!O:O,"")</f>
        <v/>
      </c>
      <c r="AE129" s="7" t="str">
        <f t="shared" si="6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9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G130" s="4"/>
      <c r="H130" s="4"/>
      <c r="I130" s="7" t="str">
        <f t="shared" si="2"/>
        <v/>
      </c>
      <c r="J130" s="4" t="str">
        <f t="shared" si="10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1"/>
        <v/>
      </c>
      <c r="P130" s="4" t="str">
        <f t="array" ref="P130">XLOOKUP(L130,'Dados Funil'!A:A,'Dados Funil'!AM:AM,"")</f>
        <v/>
      </c>
      <c r="Q130" s="9" t="str">
        <f t="array" ref="Q130">XLOOKUP(L130,'Dados Funil'!A:A,'Dados Funil'!AN:AN,"")</f>
        <v/>
      </c>
      <c r="T130" s="7" t="str">
        <f t="shared" si="4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5"/>
        <v/>
      </c>
      <c r="AA130" s="4" t="str">
        <f t="shared" si="13"/>
        <v/>
      </c>
      <c r="AB130" s="4" t="str">
        <f t="array" ref="AB130">XLOOKUP(X130,'Dados Funil'!A:A,'Dados Funil'!O:O,"")</f>
        <v/>
      </c>
      <c r="AE130" s="7" t="str">
        <f t="shared" si="6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9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G131" s="4"/>
      <c r="H131" s="4"/>
      <c r="I131" s="7" t="str">
        <f t="shared" si="2"/>
        <v/>
      </c>
      <c r="J131" s="4" t="str">
        <f t="shared" si="10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1"/>
        <v/>
      </c>
      <c r="P131" s="4" t="str">
        <f t="array" ref="P131">XLOOKUP(L131,'Dados Funil'!A:A,'Dados Funil'!AM:AM,"")</f>
        <v/>
      </c>
      <c r="Q131" s="9" t="str">
        <f t="array" ref="Q131">XLOOKUP(L131,'Dados Funil'!A:A,'Dados Funil'!AN:AN,"")</f>
        <v/>
      </c>
      <c r="T131" s="7" t="str">
        <f t="shared" si="4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5"/>
        <v/>
      </c>
      <c r="AA131" s="4" t="str">
        <f t="shared" si="13"/>
        <v/>
      </c>
      <c r="AB131" s="4" t="str">
        <f t="array" ref="AB131">XLOOKUP(X131,'Dados Funil'!A:A,'Dados Funil'!O:O,"")</f>
        <v/>
      </c>
      <c r="AE131" s="7" t="str">
        <f t="shared" si="6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9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G132" s="4"/>
      <c r="H132" s="4"/>
      <c r="I132" s="7" t="str">
        <f t="shared" si="2"/>
        <v/>
      </c>
      <c r="J132" s="4" t="str">
        <f t="shared" si="10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1"/>
        <v/>
      </c>
      <c r="P132" s="4" t="str">
        <f t="array" ref="P132">XLOOKUP(L132,'Dados Funil'!A:A,'Dados Funil'!AM:AM,"")</f>
        <v/>
      </c>
      <c r="Q132" s="9" t="str">
        <f t="array" ref="Q132">XLOOKUP(L132,'Dados Funil'!A:A,'Dados Funil'!AN:AN,"")</f>
        <v/>
      </c>
      <c r="T132" s="7" t="str">
        <f t="shared" si="4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5"/>
        <v/>
      </c>
      <c r="AA132" s="4" t="str">
        <f t="shared" si="13"/>
        <v/>
      </c>
      <c r="AB132" s="4" t="str">
        <f t="array" ref="AB132">XLOOKUP(X132,'Dados Funil'!A:A,'Dados Funil'!O:O,"")</f>
        <v/>
      </c>
      <c r="AE132" s="7" t="str">
        <f t="shared" si="6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9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G133" s="4"/>
      <c r="H133" s="4"/>
      <c r="I133" s="7" t="str">
        <f t="shared" si="2"/>
        <v/>
      </c>
      <c r="J133" s="4" t="str">
        <f t="shared" si="10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1"/>
        <v/>
      </c>
      <c r="P133" s="4" t="str">
        <f t="array" ref="P133">XLOOKUP(L133,'Dados Funil'!A:A,'Dados Funil'!AM:AM,"")</f>
        <v/>
      </c>
      <c r="Q133" s="9" t="str">
        <f t="array" ref="Q133">XLOOKUP(L133,'Dados Funil'!A:A,'Dados Funil'!AN:AN,"")</f>
        <v/>
      </c>
      <c r="T133" s="7" t="str">
        <f t="shared" si="4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5"/>
        <v/>
      </c>
      <c r="AA133" s="4" t="str">
        <f t="shared" si="13"/>
        <v/>
      </c>
      <c r="AB133" s="4" t="str">
        <f t="array" ref="AB133">XLOOKUP(X133,'Dados Funil'!A:A,'Dados Funil'!O:O,"")</f>
        <v/>
      </c>
      <c r="AE133" s="7" t="str">
        <f t="shared" si="6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9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G134" s="4"/>
      <c r="H134" s="4"/>
      <c r="I134" s="7" t="str">
        <f t="shared" si="2"/>
        <v/>
      </c>
      <c r="J134" s="4" t="str">
        <f t="shared" si="10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1"/>
        <v/>
      </c>
      <c r="P134" s="4" t="str">
        <f t="array" ref="P134">XLOOKUP(L134,'Dados Funil'!A:A,'Dados Funil'!AM:AM,"")</f>
        <v/>
      </c>
      <c r="Q134" s="9" t="str">
        <f t="array" ref="Q134">XLOOKUP(L134,'Dados Funil'!A:A,'Dados Funil'!AN:AN,"")</f>
        <v/>
      </c>
      <c r="T134" s="7" t="str">
        <f t="shared" si="4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5"/>
        <v/>
      </c>
      <c r="AA134" s="4" t="str">
        <f t="shared" si="13"/>
        <v/>
      </c>
      <c r="AB134" s="4" t="str">
        <f t="array" ref="AB134">XLOOKUP(X134,'Dados Funil'!A:A,'Dados Funil'!O:O,"")</f>
        <v/>
      </c>
      <c r="AE134" s="7" t="str">
        <f t="shared" si="6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9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G135" s="4"/>
      <c r="H135" s="4"/>
      <c r="I135" s="7" t="str">
        <f t="shared" si="2"/>
        <v/>
      </c>
      <c r="J135" s="4" t="str">
        <f t="shared" si="10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1"/>
        <v/>
      </c>
      <c r="P135" s="4" t="str">
        <f t="array" ref="P135">XLOOKUP(L135,'Dados Funil'!A:A,'Dados Funil'!AM:AM,"")</f>
        <v/>
      </c>
      <c r="Q135" s="9" t="str">
        <f t="array" ref="Q135">XLOOKUP(L135,'Dados Funil'!A:A,'Dados Funil'!AN:AN,"")</f>
        <v/>
      </c>
      <c r="T135" s="7" t="str">
        <f t="shared" si="4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5"/>
        <v/>
      </c>
      <c r="AA135" s="4" t="str">
        <f t="shared" si="13"/>
        <v/>
      </c>
      <c r="AB135" s="4" t="str">
        <f t="array" ref="AB135">XLOOKUP(X135,'Dados Funil'!A:A,'Dados Funil'!O:O,"")</f>
        <v/>
      </c>
      <c r="AE135" s="7" t="str">
        <f t="shared" si="6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9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G136" s="4"/>
      <c r="H136" s="4"/>
      <c r="I136" s="7" t="str">
        <f t="shared" si="2"/>
        <v/>
      </c>
      <c r="J136" s="4" t="str">
        <f t="shared" si="10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1"/>
        <v/>
      </c>
      <c r="P136" s="4" t="str">
        <f t="array" ref="P136">XLOOKUP(L136,'Dados Funil'!A:A,'Dados Funil'!AM:AM,"")</f>
        <v/>
      </c>
      <c r="Q136" s="9" t="str">
        <f t="array" ref="Q136">XLOOKUP(L136,'Dados Funil'!A:A,'Dados Funil'!AN:AN,"")</f>
        <v/>
      </c>
      <c r="T136" s="7" t="str">
        <f t="shared" si="4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5"/>
        <v/>
      </c>
      <c r="AA136" s="4" t="str">
        <f t="shared" si="13"/>
        <v/>
      </c>
      <c r="AB136" s="4" t="str">
        <f t="array" ref="AB136">XLOOKUP(X136,'Dados Funil'!A:A,'Dados Funil'!O:O,"")</f>
        <v/>
      </c>
      <c r="AE136" s="7" t="str">
        <f t="shared" si="6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9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G137" s="4"/>
      <c r="H137" s="4"/>
      <c r="I137" s="7" t="str">
        <f t="shared" si="2"/>
        <v/>
      </c>
      <c r="J137" s="4" t="str">
        <f t="shared" si="10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1"/>
        <v/>
      </c>
      <c r="P137" s="4" t="str">
        <f t="array" ref="P137">XLOOKUP(L137,'Dados Funil'!A:A,'Dados Funil'!AM:AM,"")</f>
        <v/>
      </c>
      <c r="Q137" s="9" t="str">
        <f t="array" ref="Q137">XLOOKUP(L137,'Dados Funil'!A:A,'Dados Funil'!AN:AN,"")</f>
        <v/>
      </c>
      <c r="T137" s="7" t="str">
        <f t="shared" si="4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5"/>
        <v/>
      </c>
      <c r="AA137" s="4" t="str">
        <f t="shared" si="13"/>
        <v/>
      </c>
      <c r="AB137" s="4" t="str">
        <f t="array" ref="AB137">XLOOKUP(X137,'Dados Funil'!A:A,'Dados Funil'!O:O,"")</f>
        <v/>
      </c>
      <c r="AE137" s="7" t="str">
        <f t="shared" si="6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9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G138" s="4"/>
      <c r="H138" s="4"/>
      <c r="I138" s="7" t="str">
        <f t="shared" si="2"/>
        <v/>
      </c>
      <c r="J138" s="4" t="str">
        <f t="shared" si="10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1"/>
        <v/>
      </c>
      <c r="P138" s="4" t="str">
        <f t="array" ref="P138">XLOOKUP(L138,'Dados Funil'!A:A,'Dados Funil'!AM:AM,"")</f>
        <v/>
      </c>
      <c r="Q138" s="9" t="str">
        <f t="array" ref="Q138">XLOOKUP(L138,'Dados Funil'!A:A,'Dados Funil'!AN:AN,"")</f>
        <v/>
      </c>
      <c r="T138" s="7" t="str">
        <f t="shared" si="4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5"/>
        <v/>
      </c>
      <c r="AA138" s="4" t="str">
        <f t="shared" si="13"/>
        <v/>
      </c>
      <c r="AB138" s="4" t="str">
        <f t="array" ref="AB138">XLOOKUP(X138,'Dados Funil'!A:A,'Dados Funil'!O:O,"")</f>
        <v/>
      </c>
      <c r="AE138" s="7" t="str">
        <f t="shared" si="6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9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G139" s="4"/>
      <c r="H139" s="4"/>
      <c r="I139" s="7" t="str">
        <f t="shared" si="2"/>
        <v/>
      </c>
      <c r="J139" s="4" t="str">
        <f t="shared" si="10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1"/>
        <v/>
      </c>
      <c r="P139" s="4" t="str">
        <f t="array" ref="P139">XLOOKUP(L139,'Dados Funil'!A:A,'Dados Funil'!AM:AM,"")</f>
        <v/>
      </c>
      <c r="Q139" s="9" t="str">
        <f t="array" ref="Q139">XLOOKUP(L139,'Dados Funil'!A:A,'Dados Funil'!AN:AN,"")</f>
        <v/>
      </c>
      <c r="T139" s="7" t="str">
        <f t="shared" si="4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5"/>
        <v/>
      </c>
      <c r="AA139" s="4" t="str">
        <f t="shared" si="13"/>
        <v/>
      </c>
      <c r="AB139" s="4" t="str">
        <f t="array" ref="AB139">XLOOKUP(X139,'Dados Funil'!A:A,'Dados Funil'!O:O,"")</f>
        <v/>
      </c>
      <c r="AE139" s="7" t="str">
        <f t="shared" si="6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9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G140" s="4"/>
      <c r="H140" s="4"/>
      <c r="I140" s="7" t="str">
        <f t="shared" si="2"/>
        <v/>
      </c>
      <c r="J140" s="4" t="str">
        <f t="shared" si="10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1"/>
        <v/>
      </c>
      <c r="P140" s="4" t="str">
        <f t="array" ref="P140">XLOOKUP(L140,'Dados Funil'!A:A,'Dados Funil'!AM:AM,"")</f>
        <v/>
      </c>
      <c r="Q140" s="9" t="str">
        <f t="array" ref="Q140">XLOOKUP(L140,'Dados Funil'!A:A,'Dados Funil'!AN:AN,"")</f>
        <v/>
      </c>
      <c r="T140" s="7" t="str">
        <f t="shared" si="4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5"/>
        <v/>
      </c>
      <c r="AA140" s="4" t="str">
        <f t="shared" si="13"/>
        <v/>
      </c>
      <c r="AB140" s="4" t="str">
        <f t="array" ref="AB140">XLOOKUP(X140,'Dados Funil'!A:A,'Dados Funil'!O:O,"")</f>
        <v/>
      </c>
      <c r="AE140" s="7" t="str">
        <f t="shared" si="6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9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G141" s="4"/>
      <c r="H141" s="4"/>
      <c r="I141" s="7" t="str">
        <f t="shared" si="2"/>
        <v/>
      </c>
      <c r="J141" s="4" t="str">
        <f t="shared" si="10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1"/>
        <v/>
      </c>
      <c r="P141" s="4" t="str">
        <f t="array" ref="P141">XLOOKUP(L141,'Dados Funil'!A:A,'Dados Funil'!AM:AM,"")</f>
        <v/>
      </c>
      <c r="Q141" s="9" t="str">
        <f t="array" ref="Q141">XLOOKUP(L141,'Dados Funil'!A:A,'Dados Funil'!AN:AN,"")</f>
        <v/>
      </c>
      <c r="T141" s="7" t="str">
        <f t="shared" si="4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5"/>
        <v/>
      </c>
      <c r="AA141" s="4" t="str">
        <f t="shared" si="13"/>
        <v/>
      </c>
      <c r="AB141" s="4" t="str">
        <f t="array" ref="AB141">XLOOKUP(X141,'Dados Funil'!A:A,'Dados Funil'!O:O,"")</f>
        <v/>
      </c>
      <c r="AE141" s="7" t="str">
        <f t="shared" si="6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9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G142" s="4"/>
      <c r="H142" s="4"/>
      <c r="I142" s="7" t="str">
        <f t="shared" si="2"/>
        <v/>
      </c>
      <c r="J142" s="4" t="str">
        <f t="shared" si="10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1"/>
        <v/>
      </c>
      <c r="P142" s="4" t="str">
        <f t="array" ref="P142">XLOOKUP(L142,'Dados Funil'!A:A,'Dados Funil'!AM:AM,"")</f>
        <v/>
      </c>
      <c r="Q142" s="9" t="str">
        <f t="array" ref="Q142">XLOOKUP(L142,'Dados Funil'!A:A,'Dados Funil'!AN:AN,"")</f>
        <v/>
      </c>
      <c r="T142" s="7" t="str">
        <f t="shared" si="4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5"/>
        <v/>
      </c>
      <c r="AA142" s="4" t="str">
        <f t="shared" si="13"/>
        <v/>
      </c>
      <c r="AB142" s="4" t="str">
        <f t="array" ref="AB142">XLOOKUP(X142,'Dados Funil'!A:A,'Dados Funil'!O:O,"")</f>
        <v/>
      </c>
      <c r="AE142" s="7" t="str">
        <f t="shared" si="6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9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G143" s="4"/>
      <c r="H143" s="4"/>
      <c r="I143" s="7" t="str">
        <f t="shared" si="2"/>
        <v/>
      </c>
      <c r="J143" s="4" t="str">
        <f t="shared" si="10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1"/>
        <v/>
      </c>
      <c r="P143" s="4" t="str">
        <f t="array" ref="P143">XLOOKUP(L143,'Dados Funil'!A:A,'Dados Funil'!AM:AM,"")</f>
        <v/>
      </c>
      <c r="Q143" s="9" t="str">
        <f t="array" ref="Q143">XLOOKUP(L143,'Dados Funil'!A:A,'Dados Funil'!AN:AN,"")</f>
        <v/>
      </c>
      <c r="T143" s="7" t="str">
        <f t="shared" si="4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5"/>
        <v/>
      </c>
      <c r="AA143" s="4" t="str">
        <f t="shared" si="13"/>
        <v/>
      </c>
      <c r="AB143" s="4" t="str">
        <f t="array" ref="AB143">XLOOKUP(X143,'Dados Funil'!A:A,'Dados Funil'!O:O,"")</f>
        <v/>
      </c>
      <c r="AE143" s="7" t="str">
        <f t="shared" si="6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9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G144" s="4"/>
      <c r="H144" s="4"/>
      <c r="I144" s="7" t="str">
        <f t="shared" si="2"/>
        <v/>
      </c>
      <c r="J144" s="4" t="str">
        <f t="shared" si="10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1"/>
        <v/>
      </c>
      <c r="P144" s="4" t="str">
        <f t="array" ref="P144">XLOOKUP(L144,'Dados Funil'!A:A,'Dados Funil'!AM:AM,"")</f>
        <v/>
      </c>
      <c r="Q144" s="9" t="str">
        <f t="array" ref="Q144">XLOOKUP(L144,'Dados Funil'!A:A,'Dados Funil'!AN:AN,"")</f>
        <v/>
      </c>
      <c r="T144" s="7" t="str">
        <f t="shared" si="4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5"/>
        <v/>
      </c>
      <c r="AA144" s="4" t="str">
        <f t="shared" si="13"/>
        <v/>
      </c>
      <c r="AB144" s="4" t="str">
        <f t="array" ref="AB144">XLOOKUP(X144,'Dados Funil'!A:A,'Dados Funil'!O:O,"")</f>
        <v/>
      </c>
      <c r="AE144" s="7" t="str">
        <f t="shared" si="6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9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G145" s="4"/>
      <c r="H145" s="4"/>
      <c r="I145" s="7" t="str">
        <f t="shared" si="2"/>
        <v/>
      </c>
      <c r="J145" s="4" t="str">
        <f t="shared" si="10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1"/>
        <v/>
      </c>
      <c r="P145" s="4" t="str">
        <f t="array" ref="P145">XLOOKUP(L145,'Dados Funil'!A:A,'Dados Funil'!AM:AM,"")</f>
        <v/>
      </c>
      <c r="Q145" s="9" t="str">
        <f t="array" ref="Q145">XLOOKUP(L145,'Dados Funil'!A:A,'Dados Funil'!AN:AN,"")</f>
        <v/>
      </c>
      <c r="T145" s="7" t="str">
        <f t="shared" si="4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5"/>
        <v/>
      </c>
      <c r="AA145" s="4" t="str">
        <f t="shared" si="13"/>
        <v/>
      </c>
      <c r="AB145" s="4" t="str">
        <f t="array" ref="AB145">XLOOKUP(X145,'Dados Funil'!A:A,'Dados Funil'!O:O,"")</f>
        <v/>
      </c>
      <c r="AE145" s="7" t="str">
        <f t="shared" si="6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9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G146" s="4"/>
      <c r="H146" s="4"/>
      <c r="I146" s="7" t="str">
        <f t="shared" si="2"/>
        <v/>
      </c>
      <c r="J146" s="4" t="str">
        <f t="shared" si="10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1"/>
        <v/>
      </c>
      <c r="P146" s="4" t="str">
        <f t="array" ref="P146">XLOOKUP(L146,'Dados Funil'!A:A,'Dados Funil'!AM:AM,"")</f>
        <v/>
      </c>
      <c r="Q146" s="9" t="str">
        <f t="array" ref="Q146">XLOOKUP(L146,'Dados Funil'!A:A,'Dados Funil'!AN:AN,"")</f>
        <v/>
      </c>
      <c r="T146" s="7" t="str">
        <f t="shared" si="4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5"/>
        <v/>
      </c>
      <c r="AA146" s="4" t="str">
        <f t="shared" si="13"/>
        <v/>
      </c>
      <c r="AB146" s="4" t="str">
        <f t="array" ref="AB146">XLOOKUP(X146,'Dados Funil'!A:A,'Dados Funil'!O:O,"")</f>
        <v/>
      </c>
      <c r="AE146" s="7" t="str">
        <f t="shared" si="6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9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G147" s="4"/>
      <c r="H147" s="4"/>
      <c r="I147" s="7" t="str">
        <f t="shared" si="2"/>
        <v/>
      </c>
      <c r="J147" s="4" t="str">
        <f t="shared" si="10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1"/>
        <v/>
      </c>
      <c r="P147" s="4" t="str">
        <f t="array" ref="P147">XLOOKUP(L147,'Dados Funil'!A:A,'Dados Funil'!AM:AM,"")</f>
        <v/>
      </c>
      <c r="Q147" s="9" t="str">
        <f t="array" ref="Q147">XLOOKUP(L147,'Dados Funil'!A:A,'Dados Funil'!AN:AN,"")</f>
        <v/>
      </c>
      <c r="T147" s="7" t="str">
        <f t="shared" si="4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5"/>
        <v/>
      </c>
      <c r="AA147" s="4" t="str">
        <f t="shared" si="13"/>
        <v/>
      </c>
      <c r="AB147" s="4" t="str">
        <f t="array" ref="AB147">XLOOKUP(X147,'Dados Funil'!A:A,'Dados Funil'!O:O,"")</f>
        <v/>
      </c>
      <c r="AE147" s="7" t="str">
        <f t="shared" si="6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9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G148" s="4"/>
      <c r="H148" s="4"/>
      <c r="I148" s="7" t="str">
        <f t="shared" si="2"/>
        <v/>
      </c>
      <c r="J148" s="4" t="str">
        <f t="shared" si="10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1"/>
        <v/>
      </c>
      <c r="P148" s="4" t="str">
        <f t="array" ref="P148">XLOOKUP(L148,'Dados Funil'!A:A,'Dados Funil'!AM:AM,"")</f>
        <v/>
      </c>
      <c r="Q148" s="9" t="str">
        <f t="array" ref="Q148">XLOOKUP(L148,'Dados Funil'!A:A,'Dados Funil'!AN:AN,"")</f>
        <v/>
      </c>
      <c r="T148" s="7" t="str">
        <f t="shared" si="4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5"/>
        <v/>
      </c>
      <c r="AA148" s="4" t="str">
        <f t="shared" si="13"/>
        <v/>
      </c>
      <c r="AB148" s="4" t="str">
        <f t="array" ref="AB148">XLOOKUP(X148,'Dados Funil'!A:A,'Dados Funil'!O:O,"")</f>
        <v/>
      </c>
      <c r="AE148" s="7" t="str">
        <f t="shared" si="6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9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G149" s="4"/>
      <c r="H149" s="4"/>
      <c r="I149" s="7" t="str">
        <f t="shared" si="2"/>
        <v/>
      </c>
      <c r="J149" s="4" t="str">
        <f t="shared" si="10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1"/>
        <v/>
      </c>
      <c r="P149" s="4" t="str">
        <f t="array" ref="P149">XLOOKUP(L149,'Dados Funil'!A:A,'Dados Funil'!AM:AM,"")</f>
        <v/>
      </c>
      <c r="Q149" s="9" t="str">
        <f t="array" ref="Q149">XLOOKUP(L149,'Dados Funil'!A:A,'Dados Funil'!AN:AN,"")</f>
        <v/>
      </c>
      <c r="T149" s="7" t="str">
        <f t="shared" si="4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5"/>
        <v/>
      </c>
      <c r="AA149" s="4" t="str">
        <f t="shared" si="13"/>
        <v/>
      </c>
      <c r="AB149" s="4" t="str">
        <f t="array" ref="AB149">XLOOKUP(X149,'Dados Funil'!A:A,'Dados Funil'!O:O,"")</f>
        <v/>
      </c>
      <c r="AE149" s="7" t="str">
        <f t="shared" si="6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9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G150" s="4"/>
      <c r="H150" s="4"/>
      <c r="I150" s="7" t="str">
        <f t="shared" si="2"/>
        <v/>
      </c>
      <c r="J150" s="4" t="str">
        <f t="shared" si="10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1"/>
        <v/>
      </c>
      <c r="P150" s="4" t="str">
        <f t="array" ref="P150">XLOOKUP(L150,'Dados Funil'!A:A,'Dados Funil'!AM:AM,"")</f>
        <v/>
      </c>
      <c r="Q150" s="9" t="str">
        <f t="array" ref="Q150">XLOOKUP(L150,'Dados Funil'!A:A,'Dados Funil'!AN:AN,"")</f>
        <v/>
      </c>
      <c r="T150" s="7" t="str">
        <f t="shared" si="4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5"/>
        <v/>
      </c>
      <c r="AA150" s="4" t="str">
        <f t="shared" si="13"/>
        <v/>
      </c>
      <c r="AB150" s="4" t="str">
        <f t="array" ref="AB150">XLOOKUP(X150,'Dados Funil'!A:A,'Dados Funil'!O:O,"")</f>
        <v/>
      </c>
      <c r="AE150" s="7" t="str">
        <f t="shared" si="6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9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G151" s="4"/>
      <c r="H151" s="4"/>
      <c r="I151" s="7" t="str">
        <f t="shared" si="2"/>
        <v/>
      </c>
      <c r="J151" s="4" t="str">
        <f t="shared" si="10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1"/>
        <v/>
      </c>
      <c r="P151" s="4" t="str">
        <f t="array" ref="P151">XLOOKUP(L151,'Dados Funil'!A:A,'Dados Funil'!AM:AM,"")</f>
        <v/>
      </c>
      <c r="Q151" s="9" t="str">
        <f t="array" ref="Q151">XLOOKUP(L151,'Dados Funil'!A:A,'Dados Funil'!AN:AN,"")</f>
        <v/>
      </c>
      <c r="T151" s="7" t="str">
        <f t="shared" si="4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5"/>
        <v/>
      </c>
      <c r="AA151" s="4" t="str">
        <f t="shared" si="13"/>
        <v/>
      </c>
      <c r="AB151" s="4" t="str">
        <f t="array" ref="AB151">XLOOKUP(X151,'Dados Funil'!A:A,'Dados Funil'!O:O,"")</f>
        <v/>
      </c>
      <c r="AE151" s="7" t="str">
        <f t="shared" si="6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9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G152" s="4"/>
      <c r="H152" s="4"/>
      <c r="I152" s="7" t="str">
        <f t="shared" si="2"/>
        <v/>
      </c>
      <c r="J152" s="4" t="str">
        <f t="shared" si="10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1"/>
        <v/>
      </c>
      <c r="P152" s="4" t="str">
        <f t="array" ref="P152">XLOOKUP(L152,'Dados Funil'!A:A,'Dados Funil'!AM:AM,"")</f>
        <v/>
      </c>
      <c r="Q152" s="9" t="str">
        <f t="array" ref="Q152">XLOOKUP(L152,'Dados Funil'!A:A,'Dados Funil'!AN:AN,"")</f>
        <v/>
      </c>
      <c r="T152" s="7" t="str">
        <f t="shared" si="4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5"/>
        <v/>
      </c>
      <c r="AA152" s="4" t="str">
        <f t="shared" si="13"/>
        <v/>
      </c>
      <c r="AB152" s="4" t="str">
        <f t="array" ref="AB152">XLOOKUP(X152,'Dados Funil'!A:A,'Dados Funil'!O:O,"")</f>
        <v/>
      </c>
      <c r="AE152" s="7" t="str">
        <f t="shared" si="6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9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G153" s="4"/>
      <c r="H153" s="4"/>
      <c r="I153" s="7" t="str">
        <f t="shared" si="2"/>
        <v/>
      </c>
      <c r="J153" s="4" t="str">
        <f t="shared" si="10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1"/>
        <v/>
      </c>
      <c r="P153" s="4" t="str">
        <f t="array" ref="P153">XLOOKUP(L153,'Dados Funil'!A:A,'Dados Funil'!AM:AM,"")</f>
        <v/>
      </c>
      <c r="Q153" s="9" t="str">
        <f t="array" ref="Q153">XLOOKUP(L153,'Dados Funil'!A:A,'Dados Funil'!AN:AN,"")</f>
        <v/>
      </c>
      <c r="T153" s="7" t="str">
        <f t="shared" si="4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5"/>
        <v/>
      </c>
      <c r="AA153" s="4" t="str">
        <f t="shared" si="13"/>
        <v/>
      </c>
      <c r="AB153" s="4" t="str">
        <f t="array" ref="AB153">XLOOKUP(X153,'Dados Funil'!A:A,'Dados Funil'!O:O,"")</f>
        <v/>
      </c>
      <c r="AE153" s="7" t="str">
        <f t="shared" si="6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9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G154" s="4"/>
      <c r="H154" s="4"/>
      <c r="I154" s="7" t="str">
        <f t="shared" si="2"/>
        <v/>
      </c>
      <c r="J154" s="4" t="str">
        <f t="shared" si="10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1"/>
        <v/>
      </c>
      <c r="P154" s="4" t="str">
        <f t="array" ref="P154">XLOOKUP(L154,'Dados Funil'!A:A,'Dados Funil'!AM:AM,"")</f>
        <v/>
      </c>
      <c r="Q154" s="9" t="str">
        <f t="array" ref="Q154">XLOOKUP(L154,'Dados Funil'!A:A,'Dados Funil'!AN:AN,"")</f>
        <v/>
      </c>
      <c r="T154" s="7" t="str">
        <f t="shared" si="4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5"/>
        <v/>
      </c>
      <c r="AA154" s="4" t="str">
        <f t="shared" si="13"/>
        <v/>
      </c>
      <c r="AB154" s="4" t="str">
        <f t="array" ref="AB154">XLOOKUP(X154,'Dados Funil'!A:A,'Dados Funil'!O:O,"")</f>
        <v/>
      </c>
      <c r="AE154" s="7" t="str">
        <f t="shared" si="6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9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G155" s="4"/>
      <c r="H155" s="4"/>
      <c r="I155" s="7" t="str">
        <f t="shared" si="2"/>
        <v/>
      </c>
      <c r="J155" s="4" t="str">
        <f t="shared" si="10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1"/>
        <v/>
      </c>
      <c r="P155" s="4" t="str">
        <f t="array" ref="P155">XLOOKUP(L155,'Dados Funil'!A:A,'Dados Funil'!AM:AM,"")</f>
        <v/>
      </c>
      <c r="Q155" s="9" t="str">
        <f t="array" ref="Q155">XLOOKUP(L155,'Dados Funil'!A:A,'Dados Funil'!AN:AN,"")</f>
        <v/>
      </c>
      <c r="T155" s="7" t="str">
        <f t="shared" si="4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5"/>
        <v/>
      </c>
      <c r="AA155" s="4" t="str">
        <f t="shared" si="13"/>
        <v/>
      </c>
      <c r="AB155" s="4" t="str">
        <f t="array" ref="AB155">XLOOKUP(X155,'Dados Funil'!A:A,'Dados Funil'!O:O,"")</f>
        <v/>
      </c>
      <c r="AE155" s="7" t="str">
        <f t="shared" si="6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9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G156" s="4"/>
      <c r="H156" s="4"/>
      <c r="I156" s="7" t="str">
        <f t="shared" si="2"/>
        <v/>
      </c>
      <c r="J156" s="4" t="str">
        <f t="shared" si="10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1"/>
        <v/>
      </c>
      <c r="P156" s="4" t="str">
        <f t="array" ref="P156">XLOOKUP(L156,'Dados Funil'!A:A,'Dados Funil'!AM:AM,"")</f>
        <v/>
      </c>
      <c r="Q156" s="9" t="str">
        <f t="array" ref="Q156">XLOOKUP(L156,'Dados Funil'!A:A,'Dados Funil'!AN:AN,"")</f>
        <v/>
      </c>
      <c r="T156" s="7" t="str">
        <f t="shared" si="4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5"/>
        <v/>
      </c>
      <c r="AA156" s="4" t="str">
        <f t="shared" si="13"/>
        <v/>
      </c>
      <c r="AB156" s="4" t="str">
        <f t="array" ref="AB156">XLOOKUP(X156,'Dados Funil'!A:A,'Dados Funil'!O:O,"")</f>
        <v/>
      </c>
      <c r="AE156" s="7" t="str">
        <f t="shared" si="6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9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G157" s="4"/>
      <c r="H157" s="4"/>
      <c r="I157" s="7" t="str">
        <f t="shared" si="2"/>
        <v/>
      </c>
      <c r="J157" s="4" t="str">
        <f t="shared" si="10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1"/>
        <v/>
      </c>
      <c r="P157" s="4" t="str">
        <f t="array" ref="P157">XLOOKUP(L157,'Dados Funil'!A:A,'Dados Funil'!AM:AM,"")</f>
        <v/>
      </c>
      <c r="Q157" s="9" t="str">
        <f t="array" ref="Q157">XLOOKUP(L157,'Dados Funil'!A:A,'Dados Funil'!AN:AN,"")</f>
        <v/>
      </c>
      <c r="T157" s="7" t="str">
        <f t="shared" si="4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5"/>
        <v/>
      </c>
      <c r="AA157" s="4" t="str">
        <f t="shared" si="13"/>
        <v/>
      </c>
      <c r="AB157" s="4" t="str">
        <f t="array" ref="AB157">XLOOKUP(X157,'Dados Funil'!A:A,'Dados Funil'!O:O,"")</f>
        <v/>
      </c>
      <c r="AE157" s="7" t="str">
        <f t="shared" si="6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9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G158" s="4"/>
      <c r="H158" s="4"/>
      <c r="I158" s="7" t="str">
        <f t="shared" si="2"/>
        <v/>
      </c>
      <c r="J158" s="4" t="str">
        <f t="shared" si="10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1"/>
        <v/>
      </c>
      <c r="P158" s="4" t="str">
        <f t="array" ref="P158">XLOOKUP(L158,'Dados Funil'!A:A,'Dados Funil'!AM:AM,"")</f>
        <v/>
      </c>
      <c r="Q158" s="9" t="str">
        <f t="array" ref="Q158">XLOOKUP(L158,'Dados Funil'!A:A,'Dados Funil'!AN:AN,"")</f>
        <v/>
      </c>
      <c r="T158" s="7" t="str">
        <f t="shared" si="4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5"/>
        <v/>
      </c>
      <c r="AA158" s="4" t="str">
        <f t="shared" si="13"/>
        <v/>
      </c>
      <c r="AB158" s="4" t="str">
        <f t="array" ref="AB158">XLOOKUP(X158,'Dados Funil'!A:A,'Dados Funil'!O:O,"")</f>
        <v/>
      </c>
      <c r="AE158" s="7" t="str">
        <f t="shared" si="6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9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G159" s="4"/>
      <c r="H159" s="4"/>
      <c r="I159" s="7" t="str">
        <f t="shared" si="2"/>
        <v/>
      </c>
      <c r="J159" s="4" t="str">
        <f t="shared" si="10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1"/>
        <v/>
      </c>
      <c r="P159" s="4" t="str">
        <f t="array" ref="P159">XLOOKUP(L159,'Dados Funil'!A:A,'Dados Funil'!AM:AM,"")</f>
        <v/>
      </c>
      <c r="Q159" s="9" t="str">
        <f t="array" ref="Q159">XLOOKUP(L159,'Dados Funil'!A:A,'Dados Funil'!AN:AN,"")</f>
        <v/>
      </c>
      <c r="T159" s="7" t="str">
        <f t="shared" si="4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5"/>
        <v/>
      </c>
      <c r="AA159" s="4" t="str">
        <f t="shared" si="13"/>
        <v/>
      </c>
      <c r="AB159" s="4" t="str">
        <f t="array" ref="AB159">XLOOKUP(X159,'Dados Funil'!A:A,'Dados Funil'!O:O,"")</f>
        <v/>
      </c>
      <c r="AE159" s="7" t="str">
        <f t="shared" si="6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9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G160" s="4"/>
      <c r="H160" s="4"/>
      <c r="I160" s="7" t="str">
        <f t="shared" si="2"/>
        <v/>
      </c>
      <c r="J160" s="4" t="str">
        <f t="shared" si="10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1"/>
        <v/>
      </c>
      <c r="P160" s="4" t="str">
        <f t="array" ref="P160">XLOOKUP(L160,'Dados Funil'!A:A,'Dados Funil'!AM:AM,"")</f>
        <v/>
      </c>
      <c r="Q160" s="9" t="str">
        <f t="array" ref="Q160">XLOOKUP(L160,'Dados Funil'!A:A,'Dados Funil'!AN:AN,"")</f>
        <v/>
      </c>
      <c r="T160" s="7" t="str">
        <f t="shared" si="4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5"/>
        <v/>
      </c>
      <c r="AA160" s="4" t="str">
        <f t="shared" si="13"/>
        <v/>
      </c>
      <c r="AB160" s="4" t="str">
        <f t="array" ref="AB160">XLOOKUP(X160,'Dados Funil'!A:A,'Dados Funil'!O:O,"")</f>
        <v/>
      </c>
      <c r="AE160" s="7" t="str">
        <f t="shared" si="6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9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G161" s="4"/>
      <c r="H161" s="4"/>
      <c r="I161" s="7" t="str">
        <f t="shared" si="2"/>
        <v/>
      </c>
      <c r="J161" s="4" t="str">
        <f t="shared" si="10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1"/>
        <v/>
      </c>
      <c r="P161" s="4" t="str">
        <f t="array" ref="P161">XLOOKUP(L161,'Dados Funil'!A:A,'Dados Funil'!AM:AM,"")</f>
        <v/>
      </c>
      <c r="Q161" s="9" t="str">
        <f t="array" ref="Q161">XLOOKUP(L161,'Dados Funil'!A:A,'Dados Funil'!AN:AN,"")</f>
        <v/>
      </c>
      <c r="T161" s="7" t="str">
        <f t="shared" si="4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5"/>
        <v/>
      </c>
      <c r="AA161" s="4" t="str">
        <f t="shared" si="13"/>
        <v/>
      </c>
      <c r="AB161" s="4" t="str">
        <f t="array" ref="AB161">XLOOKUP(X161,'Dados Funil'!A:A,'Dados Funil'!O:O,"")</f>
        <v/>
      </c>
      <c r="AE161" s="7" t="str">
        <f t="shared" si="6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9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G162" s="4"/>
      <c r="H162" s="4"/>
      <c r="I162" s="7" t="str">
        <f t="shared" si="2"/>
        <v/>
      </c>
      <c r="J162" s="4" t="str">
        <f t="shared" si="10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1"/>
        <v/>
      </c>
      <c r="P162" s="4" t="str">
        <f t="array" ref="P162">XLOOKUP(L162,'Dados Funil'!A:A,'Dados Funil'!AM:AM,"")</f>
        <v/>
      </c>
      <c r="Q162" s="9" t="str">
        <f t="array" ref="Q162">XLOOKUP(L162,'Dados Funil'!A:A,'Dados Funil'!AN:AN,"")</f>
        <v/>
      </c>
      <c r="T162" s="7" t="str">
        <f t="shared" si="4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5"/>
        <v/>
      </c>
      <c r="AA162" s="4" t="str">
        <f t="shared" si="13"/>
        <v/>
      </c>
      <c r="AB162" s="4" t="str">
        <f t="array" ref="AB162">XLOOKUP(X162,'Dados Funil'!A:A,'Dados Funil'!O:O,"")</f>
        <v/>
      </c>
      <c r="AE162" s="7" t="str">
        <f t="shared" si="6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9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G163" s="4"/>
      <c r="H163" s="4"/>
      <c r="I163" s="7" t="str">
        <f t="shared" si="2"/>
        <v/>
      </c>
      <c r="J163" s="4" t="str">
        <f t="shared" si="10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1"/>
        <v/>
      </c>
      <c r="P163" s="4" t="str">
        <f t="array" ref="P163">XLOOKUP(L163,'Dados Funil'!A:A,'Dados Funil'!AM:AM,"")</f>
        <v/>
      </c>
      <c r="Q163" s="9" t="str">
        <f t="array" ref="Q163">XLOOKUP(L163,'Dados Funil'!A:A,'Dados Funil'!AN:AN,"")</f>
        <v/>
      </c>
      <c r="T163" s="7" t="str">
        <f t="shared" si="4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5"/>
        <v/>
      </c>
      <c r="AA163" s="4" t="str">
        <f t="shared" si="13"/>
        <v/>
      </c>
      <c r="AB163" s="4" t="str">
        <f t="array" ref="AB163">XLOOKUP(X163,'Dados Funil'!A:A,'Dados Funil'!O:O,"")</f>
        <v/>
      </c>
      <c r="AE163" s="7" t="str">
        <f t="shared" si="6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9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G164" s="4"/>
      <c r="H164" s="4"/>
      <c r="I164" s="7" t="str">
        <f t="shared" si="2"/>
        <v/>
      </c>
      <c r="J164" s="4" t="str">
        <f t="shared" si="10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1"/>
        <v/>
      </c>
      <c r="P164" s="4" t="str">
        <f t="array" ref="P164">XLOOKUP(L164,'Dados Funil'!A:A,'Dados Funil'!AM:AM,"")</f>
        <v/>
      </c>
      <c r="Q164" s="9" t="str">
        <f t="array" ref="Q164">XLOOKUP(L164,'Dados Funil'!A:A,'Dados Funil'!AN:AN,"")</f>
        <v/>
      </c>
      <c r="T164" s="7" t="str">
        <f t="shared" si="4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5"/>
        <v/>
      </c>
      <c r="AA164" s="4" t="str">
        <f t="shared" si="13"/>
        <v/>
      </c>
      <c r="AB164" s="4" t="str">
        <f t="array" ref="AB164">XLOOKUP(X164,'Dados Funil'!A:A,'Dados Funil'!O:O,"")</f>
        <v/>
      </c>
      <c r="AE164" s="7" t="str">
        <f t="shared" si="6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9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G165" s="4"/>
      <c r="H165" s="4"/>
      <c r="I165" s="7" t="str">
        <f t="shared" si="2"/>
        <v/>
      </c>
      <c r="J165" s="4" t="str">
        <f t="shared" si="10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1"/>
        <v/>
      </c>
      <c r="P165" s="4" t="str">
        <f t="array" ref="P165">XLOOKUP(L165,'Dados Funil'!A:A,'Dados Funil'!AM:AM,"")</f>
        <v/>
      </c>
      <c r="Q165" s="9" t="str">
        <f t="array" ref="Q165">XLOOKUP(L165,'Dados Funil'!A:A,'Dados Funil'!AN:AN,"")</f>
        <v/>
      </c>
      <c r="T165" s="7" t="str">
        <f t="shared" si="4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5"/>
        <v/>
      </c>
      <c r="AA165" s="4" t="str">
        <f t="shared" si="13"/>
        <v/>
      </c>
      <c r="AB165" s="4" t="str">
        <f t="array" ref="AB165">XLOOKUP(X165,'Dados Funil'!A:A,'Dados Funil'!O:O,"")</f>
        <v/>
      </c>
      <c r="AE165" s="7" t="str">
        <f t="shared" si="6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9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G166" s="4"/>
      <c r="H166" s="4"/>
      <c r="I166" s="7" t="str">
        <f t="shared" si="2"/>
        <v/>
      </c>
      <c r="J166" s="4" t="str">
        <f t="shared" si="10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1"/>
        <v/>
      </c>
      <c r="P166" s="4" t="str">
        <f t="array" ref="P166">XLOOKUP(L166,'Dados Funil'!A:A,'Dados Funil'!AM:AM,"")</f>
        <v/>
      </c>
      <c r="Q166" s="9" t="str">
        <f t="array" ref="Q166">XLOOKUP(L166,'Dados Funil'!A:A,'Dados Funil'!AN:AN,"")</f>
        <v/>
      </c>
      <c r="T166" s="7" t="str">
        <f t="shared" si="4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5"/>
        <v/>
      </c>
      <c r="AA166" s="4" t="str">
        <f t="shared" si="13"/>
        <v/>
      </c>
      <c r="AB166" s="4" t="str">
        <f t="array" ref="AB166">XLOOKUP(X166,'Dados Funil'!A:A,'Dados Funil'!O:O,"")</f>
        <v/>
      </c>
      <c r="AE166" s="7" t="str">
        <f t="shared" si="6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9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G167" s="4"/>
      <c r="H167" s="4"/>
      <c r="I167" s="7" t="str">
        <f t="shared" si="2"/>
        <v/>
      </c>
      <c r="J167" s="4" t="str">
        <f t="shared" si="10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1"/>
        <v/>
      </c>
      <c r="P167" s="4" t="str">
        <f t="array" ref="P167">XLOOKUP(L167,'Dados Funil'!A:A,'Dados Funil'!AM:AM,"")</f>
        <v/>
      </c>
      <c r="Q167" s="9" t="str">
        <f t="array" ref="Q167">XLOOKUP(L167,'Dados Funil'!A:A,'Dados Funil'!AN:AN,"")</f>
        <v/>
      </c>
      <c r="T167" s="7" t="str">
        <f t="shared" si="4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5"/>
        <v/>
      </c>
      <c r="AA167" s="4" t="str">
        <f t="shared" si="13"/>
        <v/>
      </c>
      <c r="AB167" s="4" t="str">
        <f t="array" ref="AB167">XLOOKUP(X167,'Dados Funil'!A:A,'Dados Funil'!O:O,"")</f>
        <v/>
      </c>
      <c r="AE167" s="7" t="str">
        <f t="shared" si="6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9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G168" s="4"/>
      <c r="H168" s="4"/>
      <c r="I168" s="7" t="str">
        <f t="shared" si="2"/>
        <v/>
      </c>
      <c r="J168" s="4" t="str">
        <f t="shared" si="10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1"/>
        <v/>
      </c>
      <c r="P168" s="4" t="str">
        <f t="array" ref="P168">XLOOKUP(L168,'Dados Funil'!A:A,'Dados Funil'!AM:AM,"")</f>
        <v/>
      </c>
      <c r="Q168" s="9" t="str">
        <f t="array" ref="Q168">XLOOKUP(L168,'Dados Funil'!A:A,'Dados Funil'!AN:AN,"")</f>
        <v/>
      </c>
      <c r="T168" s="7" t="str">
        <f t="shared" si="4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5"/>
        <v/>
      </c>
      <c r="AA168" s="4" t="str">
        <f t="shared" si="13"/>
        <v/>
      </c>
      <c r="AB168" s="4" t="str">
        <f t="array" ref="AB168">XLOOKUP(X168,'Dados Funil'!A:A,'Dados Funil'!O:O,"")</f>
        <v/>
      </c>
      <c r="AE168" s="7" t="str">
        <f t="shared" si="6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9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G169" s="4"/>
      <c r="H169" s="4"/>
      <c r="I169" s="7" t="str">
        <f t="shared" si="2"/>
        <v/>
      </c>
      <c r="J169" s="4" t="str">
        <f t="shared" si="10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1"/>
        <v/>
      </c>
      <c r="P169" s="4" t="str">
        <f t="array" ref="P169">XLOOKUP(L169,'Dados Funil'!A:A,'Dados Funil'!AM:AM,"")</f>
        <v/>
      </c>
      <c r="Q169" s="9" t="str">
        <f t="array" ref="Q169">XLOOKUP(L169,'Dados Funil'!A:A,'Dados Funil'!AN:AN,"")</f>
        <v/>
      </c>
      <c r="T169" s="7" t="str">
        <f t="shared" si="4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5"/>
        <v/>
      </c>
      <c r="AA169" s="4" t="str">
        <f t="shared" si="13"/>
        <v/>
      </c>
      <c r="AB169" s="4" t="str">
        <f t="array" ref="AB169">XLOOKUP(X169,'Dados Funil'!A:A,'Dados Funil'!O:O,"")</f>
        <v/>
      </c>
      <c r="AE169" s="7" t="str">
        <f t="shared" si="6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9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G170" s="4"/>
      <c r="H170" s="4"/>
      <c r="I170" s="7" t="str">
        <f t="shared" si="2"/>
        <v/>
      </c>
      <c r="J170" s="4" t="str">
        <f t="shared" si="10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1"/>
        <v/>
      </c>
      <c r="P170" s="4" t="str">
        <f t="array" ref="P170">XLOOKUP(L170,'Dados Funil'!A:A,'Dados Funil'!AM:AM,"")</f>
        <v/>
      </c>
      <c r="Q170" s="9" t="str">
        <f t="array" ref="Q170">XLOOKUP(L170,'Dados Funil'!A:A,'Dados Funil'!AN:AN,"")</f>
        <v/>
      </c>
      <c r="T170" s="7" t="str">
        <f t="shared" si="4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5"/>
        <v/>
      </c>
      <c r="AA170" s="4" t="str">
        <f t="shared" si="13"/>
        <v/>
      </c>
      <c r="AB170" s="4" t="str">
        <f t="array" ref="AB170">XLOOKUP(X170,'Dados Funil'!A:A,'Dados Funil'!O:O,"")</f>
        <v/>
      </c>
      <c r="AE170" s="7" t="str">
        <f t="shared" si="6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9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G171" s="4"/>
      <c r="H171" s="4"/>
      <c r="I171" s="7" t="str">
        <f t="shared" si="2"/>
        <v/>
      </c>
      <c r="J171" s="4" t="str">
        <f t="shared" si="10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1"/>
        <v/>
      </c>
      <c r="P171" s="4" t="str">
        <f t="array" ref="P171">XLOOKUP(L171,'Dados Funil'!A:A,'Dados Funil'!AM:AM,"")</f>
        <v/>
      </c>
      <c r="Q171" s="9" t="str">
        <f t="array" ref="Q171">XLOOKUP(L171,'Dados Funil'!A:A,'Dados Funil'!AN:AN,"")</f>
        <v/>
      </c>
      <c r="T171" s="7" t="str">
        <f t="shared" si="4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5"/>
        <v/>
      </c>
      <c r="AA171" s="4" t="str">
        <f t="shared" si="13"/>
        <v/>
      </c>
      <c r="AB171" s="4" t="str">
        <f t="array" ref="AB171">XLOOKUP(X171,'Dados Funil'!A:A,'Dados Funil'!O:O,"")</f>
        <v/>
      </c>
      <c r="AE171" s="7" t="str">
        <f t="shared" si="6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9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G172" s="4"/>
      <c r="H172" s="4"/>
      <c r="I172" s="7" t="str">
        <f t="shared" si="2"/>
        <v/>
      </c>
      <c r="J172" s="4" t="str">
        <f t="shared" si="10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1"/>
        <v/>
      </c>
      <c r="P172" s="4" t="str">
        <f t="array" ref="P172">XLOOKUP(L172,'Dados Funil'!A:A,'Dados Funil'!AM:AM,"")</f>
        <v/>
      </c>
      <c r="Q172" s="9" t="str">
        <f t="array" ref="Q172">XLOOKUP(L172,'Dados Funil'!A:A,'Dados Funil'!AN:AN,"")</f>
        <v/>
      </c>
      <c r="T172" s="7" t="str">
        <f t="shared" si="4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5"/>
        <v/>
      </c>
      <c r="AA172" s="4" t="str">
        <f t="shared" si="13"/>
        <v/>
      </c>
      <c r="AB172" s="4" t="str">
        <f t="array" ref="AB172">XLOOKUP(X172,'Dados Funil'!A:A,'Dados Funil'!O:O,"")</f>
        <v/>
      </c>
      <c r="AE172" s="7" t="str">
        <f t="shared" si="6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9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G173" s="4"/>
      <c r="H173" s="4"/>
      <c r="I173" s="7" t="str">
        <f t="shared" si="2"/>
        <v/>
      </c>
      <c r="J173" s="4" t="str">
        <f t="shared" si="10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1"/>
        <v/>
      </c>
      <c r="P173" s="4" t="str">
        <f t="array" ref="P173">XLOOKUP(L173,'Dados Funil'!A:A,'Dados Funil'!AM:AM,"")</f>
        <v/>
      </c>
      <c r="Q173" s="9" t="str">
        <f t="array" ref="Q173">XLOOKUP(L173,'Dados Funil'!A:A,'Dados Funil'!AN:AN,"")</f>
        <v/>
      </c>
      <c r="T173" s="7" t="str">
        <f t="shared" si="4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5"/>
        <v/>
      </c>
      <c r="AA173" s="4" t="str">
        <f t="shared" si="13"/>
        <v/>
      </c>
      <c r="AB173" s="4" t="str">
        <f t="array" ref="AB173">XLOOKUP(X173,'Dados Funil'!A:A,'Dados Funil'!O:O,"")</f>
        <v/>
      </c>
      <c r="AE173" s="7" t="str">
        <f t="shared" si="6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9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G174" s="4"/>
      <c r="H174" s="4"/>
      <c r="I174" s="7" t="str">
        <f t="shared" si="2"/>
        <v/>
      </c>
      <c r="J174" s="4" t="str">
        <f t="shared" si="10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1"/>
        <v/>
      </c>
      <c r="P174" s="4" t="str">
        <f t="array" ref="P174">XLOOKUP(L174,'Dados Funil'!A:A,'Dados Funil'!AM:AM,"")</f>
        <v/>
      </c>
      <c r="Q174" s="9" t="str">
        <f t="array" ref="Q174">XLOOKUP(L174,'Dados Funil'!A:A,'Dados Funil'!AN:AN,"")</f>
        <v/>
      </c>
      <c r="T174" s="7" t="str">
        <f t="shared" si="4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5"/>
        <v/>
      </c>
      <c r="AA174" s="4" t="str">
        <f t="shared" si="13"/>
        <v/>
      </c>
      <c r="AB174" s="4" t="str">
        <f t="array" ref="AB174">XLOOKUP(X174,'Dados Funil'!A:A,'Dados Funil'!O:O,"")</f>
        <v/>
      </c>
      <c r="AE174" s="7" t="str">
        <f t="shared" si="6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9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G175" s="4"/>
      <c r="H175" s="4"/>
      <c r="I175" s="7" t="str">
        <f t="shared" si="2"/>
        <v/>
      </c>
      <c r="J175" s="4" t="str">
        <f t="shared" si="10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1"/>
        <v/>
      </c>
      <c r="P175" s="4" t="str">
        <f t="array" ref="P175">XLOOKUP(L175,'Dados Funil'!A:A,'Dados Funil'!AM:AM,"")</f>
        <v/>
      </c>
      <c r="Q175" s="9" t="str">
        <f t="array" ref="Q175">XLOOKUP(L175,'Dados Funil'!A:A,'Dados Funil'!AN:AN,"")</f>
        <v/>
      </c>
      <c r="T175" s="7" t="str">
        <f t="shared" si="4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5"/>
        <v/>
      </c>
      <c r="AA175" s="4" t="str">
        <f t="shared" si="13"/>
        <v/>
      </c>
      <c r="AB175" s="4" t="str">
        <f t="array" ref="AB175">XLOOKUP(X175,'Dados Funil'!A:A,'Dados Funil'!O:O,"")</f>
        <v/>
      </c>
      <c r="AE175" s="7" t="str">
        <f t="shared" si="6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9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G176" s="4"/>
      <c r="H176" s="4"/>
      <c r="I176" s="7" t="str">
        <f t="shared" si="2"/>
        <v/>
      </c>
      <c r="J176" s="4" t="str">
        <f t="shared" si="10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1"/>
        <v/>
      </c>
      <c r="P176" s="4" t="str">
        <f t="array" ref="P176">XLOOKUP(L176,'Dados Funil'!A:A,'Dados Funil'!AM:AM,"")</f>
        <v/>
      </c>
      <c r="Q176" s="9" t="str">
        <f t="array" ref="Q176">XLOOKUP(L176,'Dados Funil'!A:A,'Dados Funil'!AN:AN,"")</f>
        <v/>
      </c>
      <c r="T176" s="7" t="str">
        <f t="shared" si="4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5"/>
        <v/>
      </c>
      <c r="AA176" s="4" t="str">
        <f t="shared" si="13"/>
        <v/>
      </c>
      <c r="AB176" s="4" t="str">
        <f t="array" ref="AB176">XLOOKUP(X176,'Dados Funil'!A:A,'Dados Funil'!O:O,"")</f>
        <v/>
      </c>
      <c r="AE176" s="7" t="str">
        <f t="shared" si="6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9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G177" s="4"/>
      <c r="H177" s="4"/>
      <c r="I177" s="7" t="str">
        <f t="shared" si="2"/>
        <v/>
      </c>
      <c r="J177" s="4" t="str">
        <f t="shared" si="10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1"/>
        <v/>
      </c>
      <c r="P177" s="4" t="str">
        <f t="array" ref="P177">XLOOKUP(L177,'Dados Funil'!A:A,'Dados Funil'!AM:AM,"")</f>
        <v/>
      </c>
      <c r="Q177" s="9" t="str">
        <f t="array" ref="Q177">XLOOKUP(L177,'Dados Funil'!A:A,'Dados Funil'!AN:AN,"")</f>
        <v/>
      </c>
      <c r="T177" s="7" t="str">
        <f t="shared" si="4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5"/>
        <v/>
      </c>
      <c r="AA177" s="4" t="str">
        <f t="shared" si="13"/>
        <v/>
      </c>
      <c r="AB177" s="4" t="str">
        <f t="array" ref="AB177">XLOOKUP(X177,'Dados Funil'!A:A,'Dados Funil'!O:O,"")</f>
        <v/>
      </c>
      <c r="AE177" s="7" t="str">
        <f t="shared" si="6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9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G178" s="4"/>
      <c r="H178" s="4"/>
      <c r="I178" s="7" t="str">
        <f t="shared" si="2"/>
        <v/>
      </c>
      <c r="J178" s="4" t="str">
        <f t="shared" si="10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1"/>
        <v/>
      </c>
      <c r="P178" s="4" t="str">
        <f t="array" ref="P178">XLOOKUP(L178,'Dados Funil'!A:A,'Dados Funil'!AM:AM,"")</f>
        <v/>
      </c>
      <c r="Q178" s="9" t="str">
        <f t="array" ref="Q178">XLOOKUP(L178,'Dados Funil'!A:A,'Dados Funil'!AN:AN,"")</f>
        <v/>
      </c>
      <c r="T178" s="7" t="str">
        <f t="shared" si="4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5"/>
        <v/>
      </c>
      <c r="AA178" s="4" t="str">
        <f t="shared" si="13"/>
        <v/>
      </c>
      <c r="AB178" s="4" t="str">
        <f t="array" ref="AB178">XLOOKUP(X178,'Dados Funil'!A:A,'Dados Funil'!O:O,"")</f>
        <v/>
      </c>
      <c r="AE178" s="7" t="str">
        <f t="shared" si="6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9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G179" s="4"/>
      <c r="H179" s="4"/>
      <c r="I179" s="7" t="str">
        <f t="shared" si="2"/>
        <v/>
      </c>
      <c r="J179" s="4" t="str">
        <f t="shared" si="10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1"/>
        <v/>
      </c>
      <c r="P179" s="4" t="str">
        <f t="array" ref="P179">XLOOKUP(L179,'Dados Funil'!A:A,'Dados Funil'!AM:AM,"")</f>
        <v/>
      </c>
      <c r="Q179" s="9" t="str">
        <f t="array" ref="Q179">XLOOKUP(L179,'Dados Funil'!A:A,'Dados Funil'!AN:AN,"")</f>
        <v/>
      </c>
      <c r="T179" s="7" t="str">
        <f t="shared" si="4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5"/>
        <v/>
      </c>
      <c r="AA179" s="4" t="str">
        <f t="shared" si="13"/>
        <v/>
      </c>
      <c r="AB179" s="4" t="str">
        <f t="array" ref="AB179">XLOOKUP(X179,'Dados Funil'!A:A,'Dados Funil'!O:O,"")</f>
        <v/>
      </c>
      <c r="AE179" s="7" t="str">
        <f t="shared" si="6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9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G180" s="4"/>
      <c r="H180" s="4"/>
      <c r="I180" s="7" t="str">
        <f t="shared" si="2"/>
        <v/>
      </c>
      <c r="J180" s="4" t="str">
        <f t="shared" si="10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1"/>
        <v/>
      </c>
      <c r="P180" s="4" t="str">
        <f t="array" ref="P180">XLOOKUP(L180,'Dados Funil'!A:A,'Dados Funil'!AM:AM,"")</f>
        <v/>
      </c>
      <c r="Q180" s="9" t="str">
        <f t="array" ref="Q180">XLOOKUP(L180,'Dados Funil'!A:A,'Dados Funil'!AN:AN,"")</f>
        <v/>
      </c>
      <c r="T180" s="7" t="str">
        <f t="shared" si="4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5"/>
        <v/>
      </c>
      <c r="AA180" s="4" t="str">
        <f t="shared" si="13"/>
        <v/>
      </c>
      <c r="AB180" s="4" t="str">
        <f t="array" ref="AB180">XLOOKUP(X180,'Dados Funil'!A:A,'Dados Funil'!O:O,"")</f>
        <v/>
      </c>
      <c r="AE180" s="7" t="str">
        <f t="shared" si="6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9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G181" s="4"/>
      <c r="H181" s="4"/>
      <c r="I181" s="7" t="str">
        <f t="shared" si="2"/>
        <v/>
      </c>
      <c r="J181" s="4" t="str">
        <f t="shared" si="10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1"/>
        <v/>
      </c>
      <c r="P181" s="4" t="str">
        <f t="array" ref="P181">XLOOKUP(L181,'Dados Funil'!A:A,'Dados Funil'!AM:AM,"")</f>
        <v/>
      </c>
      <c r="Q181" s="9" t="str">
        <f t="array" ref="Q181">XLOOKUP(L181,'Dados Funil'!A:A,'Dados Funil'!AN:AN,"")</f>
        <v/>
      </c>
      <c r="T181" s="7" t="str">
        <f t="shared" si="4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5"/>
        <v/>
      </c>
      <c r="AA181" s="4" t="str">
        <f t="shared" si="13"/>
        <v/>
      </c>
      <c r="AB181" s="4" t="str">
        <f t="array" ref="AB181">XLOOKUP(X181,'Dados Funil'!A:A,'Dados Funil'!O:O,"")</f>
        <v/>
      </c>
      <c r="AE181" s="7" t="str">
        <f t="shared" si="6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9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G182" s="4"/>
      <c r="H182" s="4"/>
      <c r="I182" s="7" t="str">
        <f t="shared" si="2"/>
        <v/>
      </c>
      <c r="J182" s="4" t="str">
        <f t="shared" si="10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1"/>
        <v/>
      </c>
      <c r="P182" s="4" t="str">
        <f t="array" ref="P182">XLOOKUP(L182,'Dados Funil'!A:A,'Dados Funil'!AM:AM,"")</f>
        <v/>
      </c>
      <c r="Q182" s="9" t="str">
        <f t="array" ref="Q182">XLOOKUP(L182,'Dados Funil'!A:A,'Dados Funil'!AN:AN,"")</f>
        <v/>
      </c>
      <c r="T182" s="7" t="str">
        <f t="shared" si="4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5"/>
        <v/>
      </c>
      <c r="AA182" s="4" t="str">
        <f t="shared" si="13"/>
        <v/>
      </c>
      <c r="AB182" s="4" t="str">
        <f t="array" ref="AB182">XLOOKUP(X182,'Dados Funil'!A:A,'Dados Funil'!O:O,"")</f>
        <v/>
      </c>
      <c r="AE182" s="7" t="str">
        <f t="shared" si="6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9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G183" s="4"/>
      <c r="H183" s="4"/>
      <c r="I183" s="7" t="str">
        <f t="shared" si="2"/>
        <v/>
      </c>
      <c r="J183" s="4" t="str">
        <f t="shared" si="10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1"/>
        <v/>
      </c>
      <c r="P183" s="4" t="str">
        <f t="array" ref="P183">XLOOKUP(L183,'Dados Funil'!A:A,'Dados Funil'!AM:AM,"")</f>
        <v/>
      </c>
      <c r="Q183" s="9" t="str">
        <f t="array" ref="Q183">XLOOKUP(L183,'Dados Funil'!A:A,'Dados Funil'!AN:AN,"")</f>
        <v/>
      </c>
      <c r="T183" s="7" t="str">
        <f t="shared" si="4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5"/>
        <v/>
      </c>
      <c r="AA183" s="4" t="str">
        <f t="shared" si="13"/>
        <v/>
      </c>
      <c r="AB183" s="4" t="str">
        <f t="array" ref="AB183">XLOOKUP(X183,'Dados Funil'!A:A,'Dados Funil'!O:O,"")</f>
        <v/>
      </c>
      <c r="AE183" s="7" t="str">
        <f t="shared" si="6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9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G184" s="4"/>
      <c r="H184" s="4"/>
      <c r="I184" s="7" t="str">
        <f t="shared" si="2"/>
        <v/>
      </c>
      <c r="J184" s="4" t="str">
        <f t="shared" si="10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1"/>
        <v/>
      </c>
      <c r="P184" s="4" t="str">
        <f t="array" ref="P184">XLOOKUP(L184,'Dados Funil'!A:A,'Dados Funil'!AM:AM,"")</f>
        <v/>
      </c>
      <c r="Q184" s="9" t="str">
        <f t="array" ref="Q184">XLOOKUP(L184,'Dados Funil'!A:A,'Dados Funil'!AN:AN,"")</f>
        <v/>
      </c>
      <c r="T184" s="7" t="str">
        <f t="shared" si="4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5"/>
        <v/>
      </c>
      <c r="AA184" s="4" t="str">
        <f t="shared" si="13"/>
        <v/>
      </c>
      <c r="AB184" s="4" t="str">
        <f t="array" ref="AB184">XLOOKUP(X184,'Dados Funil'!A:A,'Dados Funil'!O:O,"")</f>
        <v/>
      </c>
      <c r="AE184" s="7" t="str">
        <f t="shared" si="6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9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G185" s="4"/>
      <c r="H185" s="4"/>
      <c r="I185" s="7" t="str">
        <f t="shared" si="2"/>
        <v/>
      </c>
      <c r="J185" s="4" t="str">
        <f t="shared" si="10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1"/>
        <v/>
      </c>
      <c r="P185" s="4" t="str">
        <f t="array" ref="P185">XLOOKUP(L185,'Dados Funil'!A:A,'Dados Funil'!AM:AM,"")</f>
        <v/>
      </c>
      <c r="Q185" s="9" t="str">
        <f t="array" ref="Q185">XLOOKUP(L185,'Dados Funil'!A:A,'Dados Funil'!AN:AN,"")</f>
        <v/>
      </c>
      <c r="T185" s="7" t="str">
        <f t="shared" si="4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5"/>
        <v/>
      </c>
      <c r="AA185" s="4" t="str">
        <f t="shared" si="13"/>
        <v/>
      </c>
      <c r="AB185" s="4" t="str">
        <f t="array" ref="AB185">XLOOKUP(X185,'Dados Funil'!A:A,'Dados Funil'!O:O,"")</f>
        <v/>
      </c>
      <c r="AE185" s="7" t="str">
        <f t="shared" si="6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9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G186" s="4"/>
      <c r="H186" s="4"/>
      <c r="I186" s="7" t="str">
        <f t="shared" si="2"/>
        <v/>
      </c>
      <c r="J186" s="4" t="str">
        <f t="shared" si="10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1"/>
        <v/>
      </c>
      <c r="P186" s="4" t="str">
        <f t="array" ref="P186">XLOOKUP(L186,'Dados Funil'!A:A,'Dados Funil'!AM:AM,"")</f>
        <v/>
      </c>
      <c r="Q186" s="9" t="str">
        <f t="array" ref="Q186">XLOOKUP(L186,'Dados Funil'!A:A,'Dados Funil'!AN:AN,"")</f>
        <v/>
      </c>
      <c r="T186" s="7" t="str">
        <f t="shared" si="4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5"/>
        <v/>
      </c>
      <c r="AA186" s="4" t="str">
        <f t="shared" si="13"/>
        <v/>
      </c>
      <c r="AB186" s="4" t="str">
        <f t="array" ref="AB186">XLOOKUP(X186,'Dados Funil'!A:A,'Dados Funil'!O:O,"")</f>
        <v/>
      </c>
      <c r="AE186" s="7" t="str">
        <f t="shared" si="6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9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G187" s="4"/>
      <c r="H187" s="4"/>
      <c r="I187" s="7" t="str">
        <f t="shared" si="2"/>
        <v/>
      </c>
      <c r="J187" s="4" t="str">
        <f t="shared" si="10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1"/>
        <v/>
      </c>
      <c r="P187" s="4" t="str">
        <f t="array" ref="P187">XLOOKUP(L187,'Dados Funil'!A:A,'Dados Funil'!AM:AM,"")</f>
        <v/>
      </c>
      <c r="Q187" s="9" t="str">
        <f t="array" ref="Q187">XLOOKUP(L187,'Dados Funil'!A:A,'Dados Funil'!AN:AN,"")</f>
        <v/>
      </c>
      <c r="T187" s="7" t="str">
        <f t="shared" si="4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5"/>
        <v/>
      </c>
      <c r="AA187" s="4" t="str">
        <f t="shared" si="13"/>
        <v/>
      </c>
      <c r="AB187" s="4" t="str">
        <f t="array" ref="AB187">XLOOKUP(X187,'Dados Funil'!A:A,'Dados Funil'!O:O,"")</f>
        <v/>
      </c>
      <c r="AE187" s="7" t="str">
        <f t="shared" si="6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9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G188" s="4"/>
      <c r="H188" s="4"/>
      <c r="I188" s="7" t="str">
        <f t="shared" si="2"/>
        <v/>
      </c>
      <c r="J188" s="4" t="str">
        <f t="shared" si="10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1"/>
        <v/>
      </c>
      <c r="P188" s="4" t="str">
        <f t="array" ref="P188">XLOOKUP(L188,'Dados Funil'!A:A,'Dados Funil'!AM:AM,"")</f>
        <v/>
      </c>
      <c r="Q188" s="9" t="str">
        <f t="array" ref="Q188">XLOOKUP(L188,'Dados Funil'!A:A,'Dados Funil'!AN:AN,"")</f>
        <v/>
      </c>
      <c r="T188" s="7" t="str">
        <f t="shared" si="4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5"/>
        <v/>
      </c>
      <c r="AA188" s="4" t="str">
        <f t="shared" si="13"/>
        <v/>
      </c>
      <c r="AB188" s="4" t="str">
        <f t="array" ref="AB188">XLOOKUP(X188,'Dados Funil'!A:A,'Dados Funil'!O:O,"")</f>
        <v/>
      </c>
      <c r="AE188" s="7" t="str">
        <f t="shared" si="6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9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G189" s="4"/>
      <c r="H189" s="4"/>
      <c r="I189" s="7" t="str">
        <f t="shared" si="2"/>
        <v/>
      </c>
      <c r="J189" s="4" t="str">
        <f t="shared" si="10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1"/>
        <v/>
      </c>
      <c r="P189" s="4" t="str">
        <f t="array" ref="P189">XLOOKUP(L189,'Dados Funil'!A:A,'Dados Funil'!AM:AM,"")</f>
        <v/>
      </c>
      <c r="Q189" s="9" t="str">
        <f t="array" ref="Q189">XLOOKUP(L189,'Dados Funil'!A:A,'Dados Funil'!AN:AN,"")</f>
        <v/>
      </c>
      <c r="T189" s="7" t="str">
        <f t="shared" si="4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5"/>
        <v/>
      </c>
      <c r="AA189" s="4" t="str">
        <f t="shared" si="13"/>
        <v/>
      </c>
      <c r="AB189" s="4" t="str">
        <f t="array" ref="AB189">XLOOKUP(X189,'Dados Funil'!A:A,'Dados Funil'!O:O,"")</f>
        <v/>
      </c>
      <c r="AE189" s="7" t="str">
        <f t="shared" si="6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9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G190" s="4"/>
      <c r="H190" s="4"/>
      <c r="I190" s="7" t="str">
        <f t="shared" si="2"/>
        <v/>
      </c>
      <c r="J190" s="4" t="str">
        <f t="shared" si="10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1"/>
        <v/>
      </c>
      <c r="P190" s="4" t="str">
        <f t="array" ref="P190">XLOOKUP(L190,'Dados Funil'!A:A,'Dados Funil'!AM:AM,"")</f>
        <v/>
      </c>
      <c r="Q190" s="9" t="str">
        <f t="array" ref="Q190">XLOOKUP(L190,'Dados Funil'!A:A,'Dados Funil'!AN:AN,"")</f>
        <v/>
      </c>
      <c r="T190" s="7" t="str">
        <f t="shared" si="4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5"/>
        <v/>
      </c>
      <c r="AA190" s="4" t="str">
        <f t="shared" si="13"/>
        <v/>
      </c>
      <c r="AB190" s="4" t="str">
        <f t="array" ref="AB190">XLOOKUP(X190,'Dados Funil'!A:A,'Dados Funil'!O:O,"")</f>
        <v/>
      </c>
      <c r="AE190" s="7" t="str">
        <f t="shared" si="6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9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G191" s="4"/>
      <c r="H191" s="4"/>
      <c r="I191" s="7" t="str">
        <f t="shared" si="2"/>
        <v/>
      </c>
      <c r="J191" s="4" t="str">
        <f t="shared" si="10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1"/>
        <v/>
      </c>
      <c r="P191" s="4" t="str">
        <f t="array" ref="P191">XLOOKUP(L191,'Dados Funil'!A:A,'Dados Funil'!AM:AM,"")</f>
        <v/>
      </c>
      <c r="Q191" s="9" t="str">
        <f t="array" ref="Q191">XLOOKUP(L191,'Dados Funil'!A:A,'Dados Funil'!AN:AN,"")</f>
        <v/>
      </c>
      <c r="T191" s="7" t="str">
        <f t="shared" si="4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5"/>
        <v/>
      </c>
      <c r="AA191" s="4" t="str">
        <f t="shared" si="13"/>
        <v/>
      </c>
      <c r="AB191" s="4" t="str">
        <f t="array" ref="AB191">XLOOKUP(X191,'Dados Funil'!A:A,'Dados Funil'!O:O,"")</f>
        <v/>
      </c>
      <c r="AE191" s="7" t="str">
        <f t="shared" si="6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9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G192" s="4"/>
      <c r="H192" s="4"/>
      <c r="I192" s="7" t="str">
        <f t="shared" si="2"/>
        <v/>
      </c>
      <c r="J192" s="4" t="str">
        <f t="shared" si="10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1"/>
        <v/>
      </c>
      <c r="P192" s="4" t="str">
        <f t="array" ref="P192">XLOOKUP(L192,'Dados Funil'!A:A,'Dados Funil'!AM:AM,"")</f>
        <v/>
      </c>
      <c r="Q192" s="9" t="str">
        <f t="array" ref="Q192">XLOOKUP(L192,'Dados Funil'!A:A,'Dados Funil'!AN:AN,"")</f>
        <v/>
      </c>
      <c r="T192" s="7" t="str">
        <f t="shared" si="4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5"/>
        <v/>
      </c>
      <c r="AA192" s="4" t="str">
        <f t="shared" si="13"/>
        <v/>
      </c>
      <c r="AB192" s="4" t="str">
        <f t="array" ref="AB192">XLOOKUP(X192,'Dados Funil'!A:A,'Dados Funil'!O:O,"")</f>
        <v/>
      </c>
      <c r="AE192" s="7" t="str">
        <f t="shared" si="6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9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G193" s="4"/>
      <c r="H193" s="4"/>
      <c r="I193" s="7" t="str">
        <f t="shared" si="2"/>
        <v/>
      </c>
      <c r="J193" s="4" t="str">
        <f t="shared" si="10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1"/>
        <v/>
      </c>
      <c r="P193" s="4" t="str">
        <f t="array" ref="P193">XLOOKUP(L193,'Dados Funil'!A:A,'Dados Funil'!AM:AM,"")</f>
        <v/>
      </c>
      <c r="Q193" s="9" t="str">
        <f t="array" ref="Q193">XLOOKUP(L193,'Dados Funil'!A:A,'Dados Funil'!AN:AN,"")</f>
        <v/>
      </c>
      <c r="T193" s="7" t="str">
        <f t="shared" si="4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5"/>
        <v/>
      </c>
      <c r="AA193" s="4" t="str">
        <f t="shared" si="13"/>
        <v/>
      </c>
      <c r="AB193" s="4" t="str">
        <f t="array" ref="AB193">XLOOKUP(X193,'Dados Funil'!A:A,'Dados Funil'!O:O,"")</f>
        <v/>
      </c>
      <c r="AE193" s="7" t="str">
        <f t="shared" si="6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9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G194" s="4"/>
      <c r="H194" s="4"/>
      <c r="I194" s="7" t="str">
        <f t="shared" si="2"/>
        <v/>
      </c>
      <c r="J194" s="4" t="str">
        <f t="shared" si="10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1"/>
        <v/>
      </c>
      <c r="P194" s="4" t="str">
        <f t="array" ref="P194">XLOOKUP(L194,'Dados Funil'!A:A,'Dados Funil'!AM:AM,"")</f>
        <v/>
      </c>
      <c r="Q194" s="9" t="str">
        <f t="array" ref="Q194">XLOOKUP(L194,'Dados Funil'!A:A,'Dados Funil'!AN:AN,"")</f>
        <v/>
      </c>
      <c r="T194" s="7" t="str">
        <f t="shared" si="4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5"/>
        <v/>
      </c>
      <c r="AA194" s="4" t="str">
        <f t="shared" si="13"/>
        <v/>
      </c>
      <c r="AB194" s="4" t="str">
        <f t="array" ref="AB194">XLOOKUP(X194,'Dados Funil'!A:A,'Dados Funil'!O:O,"")</f>
        <v/>
      </c>
      <c r="AE194" s="7" t="str">
        <f t="shared" si="6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9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G195" s="4"/>
      <c r="H195" s="4"/>
      <c r="I195" s="7" t="str">
        <f t="shared" si="2"/>
        <v/>
      </c>
      <c r="J195" s="4" t="str">
        <f t="shared" si="10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1"/>
        <v/>
      </c>
      <c r="P195" s="4" t="str">
        <f t="array" ref="P195">XLOOKUP(L195,'Dados Funil'!A:A,'Dados Funil'!AM:AM,"")</f>
        <v/>
      </c>
      <c r="Q195" s="9" t="str">
        <f t="array" ref="Q195">XLOOKUP(L195,'Dados Funil'!A:A,'Dados Funil'!AN:AN,"")</f>
        <v/>
      </c>
      <c r="T195" s="7" t="str">
        <f t="shared" si="4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5"/>
        <v/>
      </c>
      <c r="AA195" s="4" t="str">
        <f t="shared" si="13"/>
        <v/>
      </c>
      <c r="AB195" s="4" t="str">
        <f t="array" ref="AB195">XLOOKUP(X195,'Dados Funil'!A:A,'Dados Funil'!O:O,"")</f>
        <v/>
      </c>
      <c r="AE195" s="7" t="str">
        <f t="shared" si="6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9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G196" s="4"/>
      <c r="H196" s="4"/>
      <c r="I196" s="7" t="str">
        <f t="shared" si="2"/>
        <v/>
      </c>
      <c r="J196" s="4" t="str">
        <f t="shared" si="10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1"/>
        <v/>
      </c>
      <c r="P196" s="4" t="str">
        <f t="array" ref="P196">XLOOKUP(L196,'Dados Funil'!A:A,'Dados Funil'!AM:AM,"")</f>
        <v/>
      </c>
      <c r="Q196" s="9" t="str">
        <f t="array" ref="Q196">XLOOKUP(L196,'Dados Funil'!A:A,'Dados Funil'!AN:AN,"")</f>
        <v/>
      </c>
      <c r="T196" s="7" t="str">
        <f t="shared" si="4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5"/>
        <v/>
      </c>
      <c r="AA196" s="4" t="str">
        <f t="shared" si="13"/>
        <v/>
      </c>
      <c r="AB196" s="4" t="str">
        <f t="array" ref="AB196">XLOOKUP(X196,'Dados Funil'!A:A,'Dados Funil'!O:O,"")</f>
        <v/>
      </c>
      <c r="AE196" s="7" t="str">
        <f t="shared" si="6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9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G197" s="4"/>
      <c r="H197" s="4"/>
      <c r="I197" s="7" t="str">
        <f t="shared" si="2"/>
        <v/>
      </c>
      <c r="J197" s="4" t="str">
        <f t="shared" si="10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1"/>
        <v/>
      </c>
      <c r="P197" s="4" t="str">
        <f t="array" ref="P197">XLOOKUP(L197,'Dados Funil'!A:A,'Dados Funil'!AM:AM,"")</f>
        <v/>
      </c>
      <c r="Q197" s="9" t="str">
        <f t="array" ref="Q197">XLOOKUP(L197,'Dados Funil'!A:A,'Dados Funil'!AN:AN,"")</f>
        <v/>
      </c>
      <c r="T197" s="7" t="str">
        <f t="shared" si="4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5"/>
        <v/>
      </c>
      <c r="AA197" s="4" t="str">
        <f t="shared" si="13"/>
        <v/>
      </c>
      <c r="AB197" s="4" t="str">
        <f t="array" ref="AB197">XLOOKUP(X197,'Dados Funil'!A:A,'Dados Funil'!O:O,"")</f>
        <v/>
      </c>
      <c r="AE197" s="7" t="str">
        <f t="shared" si="6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9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G198" s="4"/>
      <c r="H198" s="4"/>
      <c r="I198" s="7" t="str">
        <f t="shared" si="2"/>
        <v/>
      </c>
      <c r="J198" s="4" t="str">
        <f t="shared" si="10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1"/>
        <v/>
      </c>
      <c r="P198" s="4" t="str">
        <f t="array" ref="P198">XLOOKUP(L198,'Dados Funil'!A:A,'Dados Funil'!AM:AM,"")</f>
        <v/>
      </c>
      <c r="Q198" s="9" t="str">
        <f t="array" ref="Q198">XLOOKUP(L198,'Dados Funil'!A:A,'Dados Funil'!AN:AN,"")</f>
        <v/>
      </c>
      <c r="T198" s="7" t="str">
        <f t="shared" si="4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5"/>
        <v/>
      </c>
      <c r="AA198" s="4" t="str">
        <f t="shared" si="13"/>
        <v/>
      </c>
      <c r="AB198" s="4" t="str">
        <f t="array" ref="AB198">XLOOKUP(X198,'Dados Funil'!A:A,'Dados Funil'!O:O,"")</f>
        <v/>
      </c>
      <c r="AE198" s="7" t="str">
        <f t="shared" si="6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9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G199" s="4"/>
      <c r="H199" s="4"/>
      <c r="I199" s="7" t="str">
        <f t="shared" si="2"/>
        <v/>
      </c>
      <c r="J199" s="4" t="str">
        <f t="shared" si="10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1"/>
        <v/>
      </c>
      <c r="P199" s="4" t="str">
        <f t="array" ref="P199">XLOOKUP(L199,'Dados Funil'!A:A,'Dados Funil'!AM:AM,"")</f>
        <v/>
      </c>
      <c r="Q199" s="9" t="str">
        <f t="array" ref="Q199">XLOOKUP(L199,'Dados Funil'!A:A,'Dados Funil'!AN:AN,"")</f>
        <v/>
      </c>
      <c r="T199" s="7" t="str">
        <f t="shared" si="4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5"/>
        <v/>
      </c>
      <c r="AA199" s="4" t="str">
        <f t="shared" si="13"/>
        <v/>
      </c>
      <c r="AB199" s="4" t="str">
        <f t="array" ref="AB199">XLOOKUP(X199,'Dados Funil'!A:A,'Dados Funil'!O:O,"")</f>
        <v/>
      </c>
      <c r="AE199" s="7" t="str">
        <f t="shared" si="6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9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G200" s="4"/>
      <c r="H200" s="4"/>
      <c r="I200" s="7" t="str">
        <f t="shared" si="2"/>
        <v/>
      </c>
      <c r="J200" s="4" t="str">
        <f t="shared" si="10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1"/>
        <v/>
      </c>
      <c r="P200" s="4" t="str">
        <f t="array" ref="P200">XLOOKUP(L200,'Dados Funil'!A:A,'Dados Funil'!AM:AM,"")</f>
        <v/>
      </c>
      <c r="Q200" s="9" t="str">
        <f t="array" ref="Q200">XLOOKUP(L200,'Dados Funil'!A:A,'Dados Funil'!AN:AN,"")</f>
        <v/>
      </c>
      <c r="T200" s="7" t="str">
        <f t="shared" si="4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5"/>
        <v/>
      </c>
      <c r="AA200" s="4" t="str">
        <f t="shared" si="13"/>
        <v/>
      </c>
      <c r="AB200" s="4" t="str">
        <f t="array" ref="AB200">XLOOKUP(X200,'Dados Funil'!A:A,'Dados Funil'!O:O,"")</f>
        <v/>
      </c>
      <c r="AE200" s="7" t="str">
        <f t="shared" si="6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9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G201" s="4"/>
      <c r="H201" s="4"/>
      <c r="I201" s="7" t="str">
        <f t="shared" si="2"/>
        <v/>
      </c>
      <c r="J201" s="4" t="str">
        <f t="shared" si="10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1"/>
        <v/>
      </c>
      <c r="P201" s="4" t="str">
        <f t="array" ref="P201">XLOOKUP(L201,'Dados Funil'!A:A,'Dados Funil'!AM:AM,"")</f>
        <v/>
      </c>
      <c r="Q201" s="9" t="str">
        <f t="array" ref="Q201">XLOOKUP(L201,'Dados Funil'!A:A,'Dados Funil'!AN:AN,"")</f>
        <v/>
      </c>
      <c r="T201" s="7" t="str">
        <f t="shared" si="4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5"/>
        <v/>
      </c>
      <c r="AA201" s="4" t="str">
        <f t="shared" si="13"/>
        <v/>
      </c>
      <c r="AB201" s="4" t="str">
        <f t="array" ref="AB201">XLOOKUP(X201,'Dados Funil'!A:A,'Dados Funil'!O:O,"")</f>
        <v/>
      </c>
      <c r="AE201" s="7" t="str">
        <f t="shared" si="6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9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G202" s="4"/>
      <c r="H202" s="4"/>
      <c r="I202" s="7" t="str">
        <f t="shared" si="2"/>
        <v/>
      </c>
      <c r="J202" s="4" t="str">
        <f t="shared" si="10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1"/>
        <v/>
      </c>
      <c r="P202" s="4" t="str">
        <f t="array" ref="P202">XLOOKUP(L202,'Dados Funil'!A:A,'Dados Funil'!AM:AM,"")</f>
        <v/>
      </c>
      <c r="Q202" s="9" t="str">
        <f t="array" ref="Q202">XLOOKUP(L202,'Dados Funil'!A:A,'Dados Funil'!AN:AN,"")</f>
        <v/>
      </c>
      <c r="T202" s="7" t="str">
        <f t="shared" si="4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5"/>
        <v/>
      </c>
      <c r="AA202" s="4" t="str">
        <f t="shared" si="13"/>
        <v/>
      </c>
      <c r="AB202" s="4" t="str">
        <f t="array" ref="AB202">XLOOKUP(X202,'Dados Funil'!A:A,'Dados Funil'!O:O,"")</f>
        <v/>
      </c>
      <c r="AE202" s="7" t="str">
        <f t="shared" si="6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9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G203" s="4"/>
      <c r="H203" s="4"/>
      <c r="I203" s="7" t="str">
        <f t="shared" si="2"/>
        <v/>
      </c>
      <c r="J203" s="4" t="str">
        <f t="shared" si="10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1"/>
        <v/>
      </c>
      <c r="P203" s="4" t="str">
        <f t="array" ref="P203">XLOOKUP(L203,'Dados Funil'!A:A,'Dados Funil'!AM:AM,"")</f>
        <v/>
      </c>
      <c r="Q203" s="9" t="str">
        <f t="array" ref="Q203">XLOOKUP(L203,'Dados Funil'!A:A,'Dados Funil'!AN:AN,"")</f>
        <v/>
      </c>
      <c r="T203" s="7" t="str">
        <f t="shared" si="4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5"/>
        <v/>
      </c>
      <c r="AA203" s="4" t="str">
        <f t="shared" si="13"/>
        <v/>
      </c>
      <c r="AB203" s="4" t="str">
        <f t="array" ref="AB203">XLOOKUP(X203,'Dados Funil'!A:A,'Dados Funil'!O:O,"")</f>
        <v/>
      </c>
      <c r="AE203" s="7" t="str">
        <f t="shared" si="6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9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G204" s="4"/>
      <c r="H204" s="4"/>
      <c r="I204" s="7" t="str">
        <f t="shared" si="2"/>
        <v/>
      </c>
      <c r="J204" s="4" t="str">
        <f t="shared" si="10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1"/>
        <v/>
      </c>
      <c r="P204" s="4" t="str">
        <f t="array" ref="P204">XLOOKUP(L204,'Dados Funil'!A:A,'Dados Funil'!AM:AM,"")</f>
        <v/>
      </c>
      <c r="Q204" s="9" t="str">
        <f t="array" ref="Q204">XLOOKUP(L204,'Dados Funil'!A:A,'Dados Funil'!AN:AN,"")</f>
        <v/>
      </c>
      <c r="T204" s="7" t="str">
        <f t="shared" si="4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5"/>
        <v/>
      </c>
      <c r="AA204" s="4" t="str">
        <f t="shared" si="13"/>
        <v/>
      </c>
      <c r="AB204" s="4" t="str">
        <f t="array" ref="AB204">XLOOKUP(X204,'Dados Funil'!A:A,'Dados Funil'!O:O,"")</f>
        <v/>
      </c>
      <c r="AE204" s="7" t="str">
        <f t="shared" si="6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9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G205" s="4"/>
      <c r="H205" s="4"/>
      <c r="I205" s="7" t="str">
        <f t="shared" si="2"/>
        <v/>
      </c>
      <c r="J205" s="4" t="str">
        <f t="shared" si="10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1"/>
        <v/>
      </c>
      <c r="P205" s="4" t="str">
        <f t="array" ref="P205">XLOOKUP(L205,'Dados Funil'!A:A,'Dados Funil'!AM:AM,"")</f>
        <v/>
      </c>
      <c r="Q205" s="9" t="str">
        <f t="array" ref="Q205">XLOOKUP(L205,'Dados Funil'!A:A,'Dados Funil'!AN:AN,"")</f>
        <v/>
      </c>
      <c r="T205" s="7" t="str">
        <f t="shared" si="4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5"/>
        <v/>
      </c>
      <c r="AA205" s="4" t="str">
        <f t="shared" si="13"/>
        <v/>
      </c>
      <c r="AB205" s="4" t="str">
        <f t="array" ref="AB205">XLOOKUP(X205,'Dados Funil'!A:A,'Dados Funil'!O:O,"")</f>
        <v/>
      </c>
      <c r="AE205" s="7" t="str">
        <f t="shared" si="6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9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G206" s="4"/>
      <c r="H206" s="4"/>
      <c r="I206" s="7" t="str">
        <f t="shared" si="2"/>
        <v/>
      </c>
      <c r="J206" s="4" t="str">
        <f t="shared" si="10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1"/>
        <v/>
      </c>
      <c r="P206" s="4" t="str">
        <f t="array" ref="P206">XLOOKUP(L206,'Dados Funil'!A:A,'Dados Funil'!AM:AM,"")</f>
        <v/>
      </c>
      <c r="Q206" s="9" t="str">
        <f t="array" ref="Q206">XLOOKUP(L206,'Dados Funil'!A:A,'Dados Funil'!AN:AN,"")</f>
        <v/>
      </c>
      <c r="T206" s="7" t="str">
        <f t="shared" si="4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5"/>
        <v/>
      </c>
      <c r="AA206" s="4" t="str">
        <f t="shared" si="13"/>
        <v/>
      </c>
      <c r="AB206" s="4" t="str">
        <f t="array" ref="AB206">XLOOKUP(X206,'Dados Funil'!A:A,'Dados Funil'!O:O,"")</f>
        <v/>
      </c>
      <c r="AE206" s="7" t="str">
        <f t="shared" si="6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9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G207" s="4"/>
      <c r="H207" s="4"/>
      <c r="I207" s="7" t="str">
        <f t="shared" si="2"/>
        <v/>
      </c>
      <c r="J207" s="4" t="str">
        <f t="shared" si="10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1"/>
        <v/>
      </c>
      <c r="P207" s="4" t="str">
        <f t="array" ref="P207">XLOOKUP(L207,'Dados Funil'!A:A,'Dados Funil'!AM:AM,"")</f>
        <v/>
      </c>
      <c r="Q207" s="9" t="str">
        <f t="array" ref="Q207">XLOOKUP(L207,'Dados Funil'!A:A,'Dados Funil'!AN:AN,"")</f>
        <v/>
      </c>
      <c r="T207" s="7" t="str">
        <f t="shared" si="4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5"/>
        <v/>
      </c>
      <c r="AA207" s="4" t="str">
        <f t="shared" si="13"/>
        <v/>
      </c>
      <c r="AB207" s="4" t="str">
        <f t="array" ref="AB207">XLOOKUP(X207,'Dados Funil'!A:A,'Dados Funil'!O:O,"")</f>
        <v/>
      </c>
      <c r="AE207" s="7" t="str">
        <f t="shared" si="6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9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G208" s="4"/>
      <c r="H208" s="4"/>
      <c r="I208" s="7" t="str">
        <f t="shared" si="2"/>
        <v/>
      </c>
      <c r="J208" s="4" t="str">
        <f t="shared" si="10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1"/>
        <v/>
      </c>
      <c r="P208" s="4" t="str">
        <f t="array" ref="P208">XLOOKUP(L208,'Dados Funil'!A:A,'Dados Funil'!AM:AM,"")</f>
        <v/>
      </c>
      <c r="Q208" s="9" t="str">
        <f t="array" ref="Q208">XLOOKUP(L208,'Dados Funil'!A:A,'Dados Funil'!AN:AN,"")</f>
        <v/>
      </c>
      <c r="T208" s="7" t="str">
        <f t="shared" si="4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5"/>
        <v/>
      </c>
      <c r="AA208" s="4" t="str">
        <f t="shared" si="13"/>
        <v/>
      </c>
      <c r="AB208" s="4" t="str">
        <f t="array" ref="AB208">XLOOKUP(X208,'Dados Funil'!A:A,'Dados Funil'!O:O,"")</f>
        <v/>
      </c>
      <c r="AE208" s="7" t="str">
        <f t="shared" si="6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9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G209" s="4"/>
      <c r="H209" s="4"/>
      <c r="I209" s="7" t="str">
        <f t="shared" si="2"/>
        <v/>
      </c>
      <c r="J209" s="4" t="str">
        <f t="shared" si="10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1"/>
        <v/>
      </c>
      <c r="P209" s="4" t="str">
        <f t="array" ref="P209">XLOOKUP(L209,'Dados Funil'!A:A,'Dados Funil'!AM:AM,"")</f>
        <v/>
      </c>
      <c r="Q209" s="9" t="str">
        <f t="array" ref="Q209">XLOOKUP(L209,'Dados Funil'!A:A,'Dados Funil'!AN:AN,"")</f>
        <v/>
      </c>
      <c r="T209" s="7" t="str">
        <f t="shared" si="4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5"/>
        <v/>
      </c>
      <c r="AA209" s="4" t="str">
        <f t="shared" si="13"/>
        <v/>
      </c>
      <c r="AB209" s="4" t="str">
        <f t="array" ref="AB209">XLOOKUP(X209,'Dados Funil'!A:A,'Dados Funil'!O:O,"")</f>
        <v/>
      </c>
      <c r="AE209" s="7" t="str">
        <f t="shared" si="6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9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G210" s="4"/>
      <c r="H210" s="4"/>
      <c r="I210" s="7" t="str">
        <f t="shared" si="2"/>
        <v/>
      </c>
      <c r="J210" s="4" t="str">
        <f t="shared" si="10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1"/>
        <v/>
      </c>
      <c r="P210" s="4" t="str">
        <f t="array" ref="P210">XLOOKUP(L210,'Dados Funil'!A:A,'Dados Funil'!AM:AM,"")</f>
        <v/>
      </c>
      <c r="Q210" s="9" t="str">
        <f t="array" ref="Q210">XLOOKUP(L210,'Dados Funil'!A:A,'Dados Funil'!AN:AN,"")</f>
        <v/>
      </c>
      <c r="T210" s="7" t="str">
        <f t="shared" si="4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5"/>
        <v/>
      </c>
      <c r="AA210" s="4" t="str">
        <f t="shared" si="13"/>
        <v/>
      </c>
      <c r="AB210" s="4" t="str">
        <f t="array" ref="AB210">XLOOKUP(X210,'Dados Funil'!A:A,'Dados Funil'!O:O,"")</f>
        <v/>
      </c>
      <c r="AE210" s="7" t="str">
        <f t="shared" si="6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9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G211" s="4"/>
      <c r="H211" s="4"/>
      <c r="I211" s="7" t="str">
        <f t="shared" si="2"/>
        <v/>
      </c>
      <c r="J211" s="4" t="str">
        <f t="shared" si="10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1"/>
        <v/>
      </c>
      <c r="P211" s="4" t="str">
        <f t="array" ref="P211">XLOOKUP(L211,'Dados Funil'!A:A,'Dados Funil'!AM:AM,"")</f>
        <v/>
      </c>
      <c r="Q211" s="9" t="str">
        <f t="array" ref="Q211">XLOOKUP(L211,'Dados Funil'!A:A,'Dados Funil'!AN:AN,"")</f>
        <v/>
      </c>
      <c r="T211" s="7" t="str">
        <f t="shared" si="4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5"/>
        <v/>
      </c>
      <c r="AA211" s="4" t="str">
        <f t="shared" si="13"/>
        <v/>
      </c>
      <c r="AB211" s="4" t="str">
        <f t="array" ref="AB211">XLOOKUP(X211,'Dados Funil'!A:A,'Dados Funil'!O:O,"")</f>
        <v/>
      </c>
      <c r="AE211" s="7" t="str">
        <f t="shared" si="6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9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G212" s="4"/>
      <c r="H212" s="4"/>
      <c r="I212" s="7" t="str">
        <f t="shared" si="2"/>
        <v/>
      </c>
      <c r="J212" s="4" t="str">
        <f t="shared" si="10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1"/>
        <v/>
      </c>
      <c r="P212" s="4" t="str">
        <f t="array" ref="P212">XLOOKUP(L212,'Dados Funil'!A:A,'Dados Funil'!AM:AM,"")</f>
        <v/>
      </c>
      <c r="Q212" s="9" t="str">
        <f t="array" ref="Q212">XLOOKUP(L212,'Dados Funil'!A:A,'Dados Funil'!AN:AN,"")</f>
        <v/>
      </c>
      <c r="T212" s="7" t="str">
        <f t="shared" si="4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5"/>
        <v/>
      </c>
      <c r="AA212" s="4" t="str">
        <f t="shared" si="13"/>
        <v/>
      </c>
      <c r="AB212" s="4" t="str">
        <f t="array" ref="AB212">XLOOKUP(X212,'Dados Funil'!A:A,'Dados Funil'!O:O,"")</f>
        <v/>
      </c>
      <c r="AE212" s="7" t="str">
        <f t="shared" si="6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9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G213" s="4"/>
      <c r="H213" s="4"/>
      <c r="I213" s="7" t="str">
        <f t="shared" si="2"/>
        <v/>
      </c>
      <c r="J213" s="4" t="str">
        <f t="shared" si="10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1"/>
        <v/>
      </c>
      <c r="P213" s="4" t="str">
        <f t="array" ref="P213">XLOOKUP(L213,'Dados Funil'!A:A,'Dados Funil'!AM:AM,"")</f>
        <v/>
      </c>
      <c r="Q213" s="9" t="str">
        <f t="array" ref="Q213">XLOOKUP(L213,'Dados Funil'!A:A,'Dados Funil'!AN:AN,"")</f>
        <v/>
      </c>
      <c r="T213" s="7" t="str">
        <f t="shared" si="4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5"/>
        <v/>
      </c>
      <c r="AA213" s="4" t="str">
        <f t="shared" si="13"/>
        <v/>
      </c>
      <c r="AB213" s="4" t="str">
        <f t="array" ref="AB213">XLOOKUP(X213,'Dados Funil'!A:A,'Dados Funil'!O:O,"")</f>
        <v/>
      </c>
      <c r="AE213" s="7" t="str">
        <f t="shared" si="6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9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G214" s="4"/>
      <c r="H214" s="4"/>
      <c r="I214" s="7" t="str">
        <f t="shared" si="2"/>
        <v/>
      </c>
      <c r="J214" s="4" t="str">
        <f t="shared" si="10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1"/>
        <v/>
      </c>
      <c r="P214" s="4" t="str">
        <f t="array" ref="P214">XLOOKUP(L214,'Dados Funil'!A:A,'Dados Funil'!AM:AM,"")</f>
        <v/>
      </c>
      <c r="Q214" s="9" t="str">
        <f t="array" ref="Q214">XLOOKUP(L214,'Dados Funil'!A:A,'Dados Funil'!AN:AN,"")</f>
        <v/>
      </c>
      <c r="T214" s="7" t="str">
        <f t="shared" si="4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5"/>
        <v/>
      </c>
      <c r="AA214" s="4" t="str">
        <f t="shared" si="13"/>
        <v/>
      </c>
      <c r="AB214" s="4" t="str">
        <f t="array" ref="AB214">XLOOKUP(X214,'Dados Funil'!A:A,'Dados Funil'!O:O,"")</f>
        <v/>
      </c>
      <c r="AE214" s="7" t="str">
        <f t="shared" si="6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9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G215" s="4"/>
      <c r="H215" s="4"/>
      <c r="I215" s="7" t="str">
        <f t="shared" si="2"/>
        <v/>
      </c>
      <c r="J215" s="4" t="str">
        <f t="shared" si="10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1"/>
        <v/>
      </c>
      <c r="P215" s="4" t="str">
        <f t="array" ref="P215">XLOOKUP(L215,'Dados Funil'!A:A,'Dados Funil'!AM:AM,"")</f>
        <v/>
      </c>
      <c r="Q215" s="9" t="str">
        <f t="array" ref="Q215">XLOOKUP(L215,'Dados Funil'!A:A,'Dados Funil'!AN:AN,"")</f>
        <v/>
      </c>
      <c r="T215" s="7" t="str">
        <f t="shared" si="4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5"/>
        <v/>
      </c>
      <c r="AA215" s="4" t="str">
        <f t="shared" si="13"/>
        <v/>
      </c>
      <c r="AB215" s="4" t="str">
        <f t="array" ref="AB215">XLOOKUP(X215,'Dados Funil'!A:A,'Dados Funil'!O:O,"")</f>
        <v/>
      </c>
      <c r="AE215" s="7" t="str">
        <f t="shared" si="6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9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G216" s="4"/>
      <c r="H216" s="4"/>
      <c r="I216" s="7" t="str">
        <f t="shared" si="2"/>
        <v/>
      </c>
      <c r="J216" s="4" t="str">
        <f t="shared" si="10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1"/>
        <v/>
      </c>
      <c r="P216" s="4" t="str">
        <f t="array" ref="P216">XLOOKUP(L216,'Dados Funil'!A:A,'Dados Funil'!AM:AM,"")</f>
        <v/>
      </c>
      <c r="Q216" s="9" t="str">
        <f t="array" ref="Q216">XLOOKUP(L216,'Dados Funil'!A:A,'Dados Funil'!AN:AN,"")</f>
        <v/>
      </c>
      <c r="T216" s="7" t="str">
        <f t="shared" si="4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5"/>
        <v/>
      </c>
      <c r="AA216" s="4" t="str">
        <f t="shared" si="13"/>
        <v/>
      </c>
      <c r="AB216" s="4" t="str">
        <f t="array" ref="AB216">XLOOKUP(X216,'Dados Funil'!A:A,'Dados Funil'!O:O,"")</f>
        <v/>
      </c>
      <c r="AE216" s="7" t="str">
        <f t="shared" si="6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9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G217" s="4"/>
      <c r="H217" s="4"/>
      <c r="I217" s="7" t="str">
        <f t="shared" si="2"/>
        <v/>
      </c>
      <c r="J217" s="4" t="str">
        <f t="shared" si="10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1"/>
        <v/>
      </c>
      <c r="P217" s="4" t="str">
        <f t="array" ref="P217">XLOOKUP(L217,'Dados Funil'!A:A,'Dados Funil'!AM:AM,"")</f>
        <v/>
      </c>
      <c r="Q217" s="9" t="str">
        <f t="array" ref="Q217">XLOOKUP(L217,'Dados Funil'!A:A,'Dados Funil'!AN:AN,"")</f>
        <v/>
      </c>
      <c r="T217" s="7" t="str">
        <f t="shared" si="4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5"/>
        <v/>
      </c>
      <c r="AA217" s="4" t="str">
        <f t="shared" si="13"/>
        <v/>
      </c>
      <c r="AB217" s="4" t="str">
        <f t="array" ref="AB217">XLOOKUP(X217,'Dados Funil'!A:A,'Dados Funil'!O:O,"")</f>
        <v/>
      </c>
      <c r="AE217" s="7" t="str">
        <f t="shared" si="6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9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G218" s="4"/>
      <c r="H218" s="4"/>
      <c r="I218" s="7" t="str">
        <f t="shared" si="2"/>
        <v/>
      </c>
      <c r="J218" s="4" t="str">
        <f t="shared" si="10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1"/>
        <v/>
      </c>
      <c r="P218" s="4" t="str">
        <f t="array" ref="P218">XLOOKUP(L218,'Dados Funil'!A:A,'Dados Funil'!AM:AM,"")</f>
        <v/>
      </c>
      <c r="Q218" s="9" t="str">
        <f t="array" ref="Q218">XLOOKUP(L218,'Dados Funil'!A:A,'Dados Funil'!AN:AN,"")</f>
        <v/>
      </c>
      <c r="T218" s="7" t="str">
        <f t="shared" si="4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5"/>
        <v/>
      </c>
      <c r="AA218" s="4" t="str">
        <f t="shared" si="13"/>
        <v/>
      </c>
      <c r="AB218" s="4" t="str">
        <f t="array" ref="AB218">XLOOKUP(X218,'Dados Funil'!A:A,'Dados Funil'!O:O,"")</f>
        <v/>
      </c>
      <c r="AE218" s="7" t="str">
        <f t="shared" si="6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9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G219" s="4"/>
      <c r="H219" s="4"/>
      <c r="I219" s="7" t="str">
        <f t="shared" si="2"/>
        <v/>
      </c>
      <c r="J219" s="4" t="str">
        <f t="shared" si="10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1"/>
        <v/>
      </c>
      <c r="P219" s="4" t="str">
        <f t="array" ref="P219">XLOOKUP(L219,'Dados Funil'!A:A,'Dados Funil'!AM:AM,"")</f>
        <v/>
      </c>
      <c r="Q219" s="9" t="str">
        <f t="array" ref="Q219">XLOOKUP(L219,'Dados Funil'!A:A,'Dados Funil'!AN:AN,"")</f>
        <v/>
      </c>
      <c r="T219" s="7" t="str">
        <f t="shared" si="4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5"/>
        <v/>
      </c>
      <c r="AA219" s="4" t="str">
        <f t="shared" si="13"/>
        <v/>
      </c>
      <c r="AB219" s="4" t="str">
        <f t="array" ref="AB219">XLOOKUP(X219,'Dados Funil'!A:A,'Dados Funil'!O:O,"")</f>
        <v/>
      </c>
      <c r="AE219" s="7" t="str">
        <f t="shared" si="6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9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G220" s="4"/>
      <c r="H220" s="4"/>
      <c r="I220" s="7" t="str">
        <f t="shared" si="2"/>
        <v/>
      </c>
      <c r="J220" s="4" t="str">
        <f t="shared" si="10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1"/>
        <v/>
      </c>
      <c r="P220" s="4" t="str">
        <f t="array" ref="P220">XLOOKUP(L220,'Dados Funil'!A:A,'Dados Funil'!AM:AM,"")</f>
        <v/>
      </c>
      <c r="Q220" s="9" t="str">
        <f t="array" ref="Q220">XLOOKUP(L220,'Dados Funil'!A:A,'Dados Funil'!AN:AN,"")</f>
        <v/>
      </c>
      <c r="T220" s="7" t="str">
        <f t="shared" si="4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5"/>
        <v/>
      </c>
      <c r="AA220" s="4" t="str">
        <f t="shared" si="13"/>
        <v/>
      </c>
      <c r="AB220" s="4" t="str">
        <f t="array" ref="AB220">XLOOKUP(X220,'Dados Funil'!A:A,'Dados Funil'!O:O,"")</f>
        <v/>
      </c>
      <c r="AE220" s="7" t="str">
        <f t="shared" si="6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9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G221" s="4"/>
      <c r="H221" s="4"/>
      <c r="I221" s="7" t="str">
        <f t="shared" si="2"/>
        <v/>
      </c>
      <c r="J221" s="4" t="str">
        <f t="shared" si="10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1"/>
        <v/>
      </c>
      <c r="P221" s="4" t="str">
        <f t="array" ref="P221">XLOOKUP(L221,'Dados Funil'!A:A,'Dados Funil'!AM:AM,"")</f>
        <v/>
      </c>
      <c r="Q221" s="9" t="str">
        <f t="array" ref="Q221">XLOOKUP(L221,'Dados Funil'!A:A,'Dados Funil'!AN:AN,"")</f>
        <v/>
      </c>
      <c r="T221" s="7" t="str">
        <f t="shared" si="4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5"/>
        <v/>
      </c>
      <c r="AA221" s="4" t="str">
        <f t="shared" si="13"/>
        <v/>
      </c>
      <c r="AB221" s="4" t="str">
        <f t="array" ref="AB221">XLOOKUP(X221,'Dados Funil'!A:A,'Dados Funil'!O:O,"")</f>
        <v/>
      </c>
      <c r="AE221" s="7" t="str">
        <f t="shared" si="6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9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G222" s="4"/>
      <c r="H222" s="4"/>
      <c r="I222" s="7" t="str">
        <f t="shared" si="2"/>
        <v/>
      </c>
      <c r="J222" s="4" t="str">
        <f t="shared" si="10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1"/>
        <v/>
      </c>
      <c r="P222" s="4" t="str">
        <f t="array" ref="P222">XLOOKUP(L222,'Dados Funil'!A:A,'Dados Funil'!AM:AM,"")</f>
        <v/>
      </c>
      <c r="Q222" s="9" t="str">
        <f t="array" ref="Q222">XLOOKUP(L222,'Dados Funil'!A:A,'Dados Funil'!AN:AN,"")</f>
        <v/>
      </c>
      <c r="T222" s="7" t="str">
        <f t="shared" si="4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5"/>
        <v/>
      </c>
      <c r="AA222" s="4" t="str">
        <f t="shared" si="13"/>
        <v/>
      </c>
      <c r="AB222" s="4" t="str">
        <f t="array" ref="AB222">XLOOKUP(X222,'Dados Funil'!A:A,'Dados Funil'!O:O,"")</f>
        <v/>
      </c>
      <c r="AE222" s="7" t="str">
        <f t="shared" si="6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9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G223" s="4"/>
      <c r="H223" s="4"/>
      <c r="I223" s="7" t="str">
        <f t="shared" si="2"/>
        <v/>
      </c>
      <c r="J223" s="4" t="str">
        <f t="shared" si="10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1"/>
        <v/>
      </c>
      <c r="P223" s="4" t="str">
        <f t="array" ref="P223">XLOOKUP(L223,'Dados Funil'!A:A,'Dados Funil'!AM:AM,"")</f>
        <v/>
      </c>
      <c r="Q223" s="9" t="str">
        <f t="array" ref="Q223">XLOOKUP(L223,'Dados Funil'!A:A,'Dados Funil'!AN:AN,"")</f>
        <v/>
      </c>
      <c r="T223" s="7" t="str">
        <f t="shared" si="4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5"/>
        <v/>
      </c>
      <c r="AA223" s="4" t="str">
        <f t="shared" si="13"/>
        <v/>
      </c>
      <c r="AB223" s="4" t="str">
        <f t="array" ref="AB223">XLOOKUP(X223,'Dados Funil'!A:A,'Dados Funil'!O:O,"")</f>
        <v/>
      </c>
      <c r="AE223" s="7" t="str">
        <f t="shared" si="6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9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G224" s="4"/>
      <c r="H224" s="4"/>
      <c r="I224" s="7" t="str">
        <f t="shared" si="2"/>
        <v/>
      </c>
      <c r="J224" s="4" t="str">
        <f t="shared" si="10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1"/>
        <v/>
      </c>
      <c r="P224" s="4" t="str">
        <f t="array" ref="P224">XLOOKUP(L224,'Dados Funil'!A:A,'Dados Funil'!AM:AM,"")</f>
        <v/>
      </c>
      <c r="Q224" s="9" t="str">
        <f t="array" ref="Q224">XLOOKUP(L224,'Dados Funil'!A:A,'Dados Funil'!AN:AN,"")</f>
        <v/>
      </c>
      <c r="T224" s="7" t="str">
        <f t="shared" si="4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5"/>
        <v/>
      </c>
      <c r="AA224" s="4" t="str">
        <f t="shared" si="13"/>
        <v/>
      </c>
      <c r="AB224" s="4" t="str">
        <f t="array" ref="AB224">XLOOKUP(X224,'Dados Funil'!A:A,'Dados Funil'!O:O,"")</f>
        <v/>
      </c>
      <c r="AE224" s="7" t="str">
        <f t="shared" si="6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9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G225" s="4"/>
      <c r="H225" s="4"/>
      <c r="I225" s="7" t="str">
        <f t="shared" si="2"/>
        <v/>
      </c>
      <c r="J225" s="4" t="str">
        <f t="shared" si="10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1"/>
        <v/>
      </c>
      <c r="P225" s="4" t="str">
        <f t="array" ref="P225">XLOOKUP(L225,'Dados Funil'!A:A,'Dados Funil'!AM:AM,"")</f>
        <v/>
      </c>
      <c r="Q225" s="9" t="str">
        <f t="array" ref="Q225">XLOOKUP(L225,'Dados Funil'!A:A,'Dados Funil'!AN:AN,"")</f>
        <v/>
      </c>
      <c r="T225" s="7" t="str">
        <f t="shared" si="4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5"/>
        <v/>
      </c>
      <c r="AA225" s="4" t="str">
        <f t="shared" si="13"/>
        <v/>
      </c>
      <c r="AB225" s="4" t="str">
        <f t="array" ref="AB225">XLOOKUP(X225,'Dados Funil'!A:A,'Dados Funil'!O:O,"")</f>
        <v/>
      </c>
      <c r="AE225" s="7" t="str">
        <f t="shared" si="6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9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G226" s="4"/>
      <c r="H226" s="4"/>
      <c r="I226" s="7" t="str">
        <f t="shared" si="2"/>
        <v/>
      </c>
      <c r="J226" s="4" t="str">
        <f t="shared" si="10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1"/>
        <v/>
      </c>
      <c r="P226" s="4" t="str">
        <f t="array" ref="P226">XLOOKUP(L226,'Dados Funil'!A:A,'Dados Funil'!AM:AM,"")</f>
        <v/>
      </c>
      <c r="Q226" s="9" t="str">
        <f t="array" ref="Q226">XLOOKUP(L226,'Dados Funil'!A:A,'Dados Funil'!AN:AN,"")</f>
        <v/>
      </c>
      <c r="T226" s="7" t="str">
        <f t="shared" si="4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5"/>
        <v/>
      </c>
      <c r="AA226" s="4" t="str">
        <f t="shared" si="13"/>
        <v/>
      </c>
      <c r="AB226" s="4" t="str">
        <f t="array" ref="AB226">XLOOKUP(X226,'Dados Funil'!A:A,'Dados Funil'!O:O,"")</f>
        <v/>
      </c>
      <c r="AE226" s="7" t="str">
        <f t="shared" si="6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9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G227" s="4"/>
      <c r="H227" s="4"/>
      <c r="I227" s="7" t="str">
        <f t="shared" si="2"/>
        <v/>
      </c>
      <c r="J227" s="4" t="str">
        <f t="shared" si="10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1"/>
        <v/>
      </c>
      <c r="P227" s="4" t="str">
        <f t="array" ref="P227">XLOOKUP(L227,'Dados Funil'!A:A,'Dados Funil'!AM:AM,"")</f>
        <v/>
      </c>
      <c r="Q227" s="9" t="str">
        <f t="array" ref="Q227">XLOOKUP(L227,'Dados Funil'!A:A,'Dados Funil'!AN:AN,"")</f>
        <v/>
      </c>
      <c r="T227" s="7" t="str">
        <f t="shared" si="4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5"/>
        <v/>
      </c>
      <c r="AA227" s="4" t="str">
        <f t="shared" si="13"/>
        <v/>
      </c>
      <c r="AB227" s="4" t="str">
        <f t="array" ref="AB227">XLOOKUP(X227,'Dados Funil'!A:A,'Dados Funil'!O:O,"")</f>
        <v/>
      </c>
      <c r="AE227" s="7" t="str">
        <f t="shared" si="6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9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G228" s="4"/>
      <c r="H228" s="4"/>
      <c r="I228" s="7" t="str">
        <f t="shared" si="2"/>
        <v/>
      </c>
      <c r="J228" s="4" t="str">
        <f t="shared" si="10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1"/>
        <v/>
      </c>
      <c r="P228" s="4" t="str">
        <f t="array" ref="P228">XLOOKUP(L228,'Dados Funil'!A:A,'Dados Funil'!AM:AM,"")</f>
        <v/>
      </c>
      <c r="Q228" s="9" t="str">
        <f t="array" ref="Q228">XLOOKUP(L228,'Dados Funil'!A:A,'Dados Funil'!AN:AN,"")</f>
        <v/>
      </c>
      <c r="T228" s="7" t="str">
        <f t="shared" si="4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5"/>
        <v/>
      </c>
      <c r="AA228" s="4" t="str">
        <f t="shared" si="13"/>
        <v/>
      </c>
      <c r="AB228" s="4" t="str">
        <f t="array" ref="AB228">XLOOKUP(X228,'Dados Funil'!A:A,'Dados Funil'!O:O,"")</f>
        <v/>
      </c>
      <c r="AE228" s="7" t="str">
        <f t="shared" si="6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9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G229" s="4"/>
      <c r="H229" s="4"/>
      <c r="I229" s="7" t="str">
        <f t="shared" si="2"/>
        <v/>
      </c>
      <c r="J229" s="4" t="str">
        <f t="shared" si="10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1"/>
        <v/>
      </c>
      <c r="P229" s="4" t="str">
        <f t="array" ref="P229">XLOOKUP(L229,'Dados Funil'!A:A,'Dados Funil'!AM:AM,"")</f>
        <v/>
      </c>
      <c r="Q229" s="9" t="str">
        <f t="array" ref="Q229">XLOOKUP(L229,'Dados Funil'!A:A,'Dados Funil'!AN:AN,"")</f>
        <v/>
      </c>
      <c r="T229" s="7" t="str">
        <f t="shared" si="4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5"/>
        <v/>
      </c>
      <c r="AA229" s="4" t="str">
        <f t="shared" si="13"/>
        <v/>
      </c>
      <c r="AB229" s="4" t="str">
        <f t="array" ref="AB229">XLOOKUP(X229,'Dados Funil'!A:A,'Dados Funil'!O:O,"")</f>
        <v/>
      </c>
      <c r="AE229" s="7" t="str">
        <f t="shared" si="6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9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G230" s="4"/>
      <c r="H230" s="4"/>
      <c r="I230" s="7" t="str">
        <f t="shared" si="2"/>
        <v/>
      </c>
      <c r="J230" s="4" t="str">
        <f t="shared" si="10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1"/>
        <v/>
      </c>
      <c r="P230" s="4" t="str">
        <f t="array" ref="P230">XLOOKUP(L230,'Dados Funil'!A:A,'Dados Funil'!AM:AM,"")</f>
        <v/>
      </c>
      <c r="Q230" s="9" t="str">
        <f t="array" ref="Q230">XLOOKUP(L230,'Dados Funil'!A:A,'Dados Funil'!AN:AN,"")</f>
        <v/>
      </c>
      <c r="T230" s="7" t="str">
        <f t="shared" si="4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5"/>
        <v/>
      </c>
      <c r="AA230" s="4" t="str">
        <f t="shared" si="13"/>
        <v/>
      </c>
      <c r="AB230" s="4" t="str">
        <f t="array" ref="AB230">XLOOKUP(X230,'Dados Funil'!A:A,'Dados Funil'!O:O,"")</f>
        <v/>
      </c>
      <c r="AE230" s="7" t="str">
        <f t="shared" si="6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9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G231" s="4"/>
      <c r="H231" s="4"/>
      <c r="I231" s="7" t="str">
        <f t="shared" si="2"/>
        <v/>
      </c>
      <c r="J231" s="4" t="str">
        <f t="shared" si="10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1"/>
        <v/>
      </c>
      <c r="P231" s="4" t="str">
        <f t="array" ref="P231">XLOOKUP(L231,'Dados Funil'!A:A,'Dados Funil'!AM:AM,"")</f>
        <v/>
      </c>
      <c r="Q231" s="9" t="str">
        <f t="array" ref="Q231">XLOOKUP(L231,'Dados Funil'!A:A,'Dados Funil'!AN:AN,"")</f>
        <v/>
      </c>
      <c r="T231" s="7" t="str">
        <f t="shared" si="4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5"/>
        <v/>
      </c>
      <c r="AA231" s="4" t="str">
        <f t="shared" si="13"/>
        <v/>
      </c>
      <c r="AB231" s="4" t="str">
        <f t="array" ref="AB231">XLOOKUP(X231,'Dados Funil'!A:A,'Dados Funil'!O:O,"")</f>
        <v/>
      </c>
      <c r="AE231" s="7" t="str">
        <f t="shared" si="6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9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G232" s="4"/>
      <c r="H232" s="4"/>
      <c r="I232" s="7" t="str">
        <f t="shared" si="2"/>
        <v/>
      </c>
      <c r="J232" s="4" t="str">
        <f t="shared" si="10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1"/>
        <v/>
      </c>
      <c r="P232" s="4" t="str">
        <f t="array" ref="P232">XLOOKUP(L232,'Dados Funil'!A:A,'Dados Funil'!AM:AM,"")</f>
        <v/>
      </c>
      <c r="Q232" s="9" t="str">
        <f t="array" ref="Q232">XLOOKUP(L232,'Dados Funil'!A:A,'Dados Funil'!AN:AN,"")</f>
        <v/>
      </c>
      <c r="T232" s="7" t="str">
        <f t="shared" si="4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5"/>
        <v/>
      </c>
      <c r="AA232" s="4" t="str">
        <f t="shared" si="13"/>
        <v/>
      </c>
      <c r="AB232" s="4" t="str">
        <f t="array" ref="AB232">XLOOKUP(X232,'Dados Funil'!A:A,'Dados Funil'!O:O,"")</f>
        <v/>
      </c>
      <c r="AE232" s="7" t="str">
        <f t="shared" si="6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9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G233" s="4"/>
      <c r="H233" s="4"/>
      <c r="I233" s="7" t="str">
        <f t="shared" si="2"/>
        <v/>
      </c>
      <c r="J233" s="4" t="str">
        <f t="shared" si="10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1"/>
        <v/>
      </c>
      <c r="P233" s="4" t="str">
        <f t="array" ref="P233">XLOOKUP(L233,'Dados Funil'!A:A,'Dados Funil'!AM:AM,"")</f>
        <v/>
      </c>
      <c r="Q233" s="9" t="str">
        <f t="array" ref="Q233">XLOOKUP(L233,'Dados Funil'!A:A,'Dados Funil'!AN:AN,"")</f>
        <v/>
      </c>
      <c r="T233" s="7" t="str">
        <f t="shared" si="4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5"/>
        <v/>
      </c>
      <c r="AA233" s="4" t="str">
        <f t="shared" si="13"/>
        <v/>
      </c>
      <c r="AB233" s="4" t="str">
        <f t="array" ref="AB233">XLOOKUP(X233,'Dados Funil'!A:A,'Dados Funil'!O:O,"")</f>
        <v/>
      </c>
      <c r="AE233" s="7" t="str">
        <f t="shared" si="6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9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G234" s="4"/>
      <c r="H234" s="4"/>
      <c r="I234" s="7" t="str">
        <f t="shared" si="2"/>
        <v/>
      </c>
      <c r="J234" s="4" t="str">
        <f t="shared" si="10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1"/>
        <v/>
      </c>
      <c r="P234" s="4" t="str">
        <f t="array" ref="P234">XLOOKUP(L234,'Dados Funil'!A:A,'Dados Funil'!AM:AM,"")</f>
        <v/>
      </c>
      <c r="Q234" s="9" t="str">
        <f t="array" ref="Q234">XLOOKUP(L234,'Dados Funil'!A:A,'Dados Funil'!AN:AN,"")</f>
        <v/>
      </c>
      <c r="T234" s="7" t="str">
        <f t="shared" si="4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5"/>
        <v/>
      </c>
      <c r="AA234" s="4" t="str">
        <f t="shared" si="13"/>
        <v/>
      </c>
      <c r="AB234" s="4" t="str">
        <f t="array" ref="AB234">XLOOKUP(X234,'Dados Funil'!A:A,'Dados Funil'!O:O,"")</f>
        <v/>
      </c>
      <c r="AE234" s="7" t="str">
        <f t="shared" si="6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9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G235" s="4"/>
      <c r="H235" s="4"/>
      <c r="I235" s="7" t="str">
        <f t="shared" si="2"/>
        <v/>
      </c>
      <c r="J235" s="4" t="str">
        <f t="shared" si="10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1"/>
        <v/>
      </c>
      <c r="P235" s="4" t="str">
        <f t="array" ref="P235">XLOOKUP(L235,'Dados Funil'!A:A,'Dados Funil'!AM:AM,"")</f>
        <v/>
      </c>
      <c r="Q235" s="9" t="str">
        <f t="array" ref="Q235">XLOOKUP(L235,'Dados Funil'!A:A,'Dados Funil'!AN:AN,"")</f>
        <v/>
      </c>
      <c r="T235" s="7" t="str">
        <f t="shared" si="4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5"/>
        <v/>
      </c>
      <c r="AA235" s="4" t="str">
        <f t="shared" si="13"/>
        <v/>
      </c>
      <c r="AB235" s="4" t="str">
        <f t="array" ref="AB235">XLOOKUP(X235,'Dados Funil'!A:A,'Dados Funil'!O:O,"")</f>
        <v/>
      </c>
      <c r="AE235" s="7" t="str">
        <f t="shared" si="6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9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G236" s="4"/>
      <c r="H236" s="4"/>
      <c r="I236" s="7" t="str">
        <f t="shared" si="2"/>
        <v/>
      </c>
      <c r="J236" s="4" t="str">
        <f t="shared" si="10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1"/>
        <v/>
      </c>
      <c r="P236" s="4" t="str">
        <f t="array" ref="P236">XLOOKUP(L236,'Dados Funil'!A:A,'Dados Funil'!AM:AM,"")</f>
        <v/>
      </c>
      <c r="Q236" s="9" t="str">
        <f t="array" ref="Q236">XLOOKUP(L236,'Dados Funil'!A:A,'Dados Funil'!AN:AN,"")</f>
        <v/>
      </c>
      <c r="T236" s="7" t="str">
        <f t="shared" si="4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5"/>
        <v/>
      </c>
      <c r="AA236" s="4" t="str">
        <f t="shared" si="13"/>
        <v/>
      </c>
      <c r="AB236" s="4" t="str">
        <f t="array" ref="AB236">XLOOKUP(X236,'Dados Funil'!A:A,'Dados Funil'!O:O,"")</f>
        <v/>
      </c>
      <c r="AE236" s="7" t="str">
        <f t="shared" si="6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9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G237" s="4"/>
      <c r="H237" s="4"/>
      <c r="I237" s="7" t="str">
        <f t="shared" si="2"/>
        <v/>
      </c>
      <c r="J237" s="4" t="str">
        <f t="shared" si="10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1"/>
        <v/>
      </c>
      <c r="P237" s="4" t="str">
        <f t="array" ref="P237">XLOOKUP(L237,'Dados Funil'!A:A,'Dados Funil'!AM:AM,"")</f>
        <v/>
      </c>
      <c r="Q237" s="9" t="str">
        <f t="array" ref="Q237">XLOOKUP(L237,'Dados Funil'!A:A,'Dados Funil'!AN:AN,"")</f>
        <v/>
      </c>
      <c r="T237" s="7" t="str">
        <f t="shared" si="4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5"/>
        <v/>
      </c>
      <c r="AA237" s="4" t="str">
        <f t="shared" si="13"/>
        <v/>
      </c>
      <c r="AB237" s="4" t="str">
        <f t="array" ref="AB237">XLOOKUP(X237,'Dados Funil'!A:A,'Dados Funil'!O:O,"")</f>
        <v/>
      </c>
      <c r="AE237" s="7" t="str">
        <f t="shared" si="6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9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G238" s="4"/>
      <c r="H238" s="4"/>
      <c r="I238" s="7" t="str">
        <f t="shared" si="2"/>
        <v/>
      </c>
      <c r="J238" s="4" t="str">
        <f t="shared" si="10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1"/>
        <v/>
      </c>
      <c r="P238" s="4" t="str">
        <f t="array" ref="P238">XLOOKUP(L238,'Dados Funil'!A:A,'Dados Funil'!AM:AM,"")</f>
        <v/>
      </c>
      <c r="Q238" s="9" t="str">
        <f t="array" ref="Q238">XLOOKUP(L238,'Dados Funil'!A:A,'Dados Funil'!AN:AN,"")</f>
        <v/>
      </c>
      <c r="T238" s="7" t="str">
        <f t="shared" si="4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5"/>
        <v/>
      </c>
      <c r="AA238" s="4" t="str">
        <f t="shared" si="13"/>
        <v/>
      </c>
      <c r="AB238" s="4" t="str">
        <f t="array" ref="AB238">XLOOKUP(X238,'Dados Funil'!A:A,'Dados Funil'!O:O,"")</f>
        <v/>
      </c>
      <c r="AE238" s="7" t="str">
        <f t="shared" si="6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9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G239" s="4"/>
      <c r="H239" s="4"/>
      <c r="I239" s="7" t="str">
        <f t="shared" si="2"/>
        <v/>
      </c>
      <c r="J239" s="4" t="str">
        <f t="shared" si="10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1"/>
        <v/>
      </c>
      <c r="P239" s="4" t="str">
        <f t="array" ref="P239">XLOOKUP(L239,'Dados Funil'!A:A,'Dados Funil'!AM:AM,"")</f>
        <v/>
      </c>
      <c r="Q239" s="9" t="str">
        <f t="array" ref="Q239">XLOOKUP(L239,'Dados Funil'!A:A,'Dados Funil'!AN:AN,"")</f>
        <v/>
      </c>
      <c r="T239" s="7" t="str">
        <f t="shared" si="4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5"/>
        <v/>
      </c>
      <c r="AA239" s="4" t="str">
        <f t="shared" si="13"/>
        <v/>
      </c>
      <c r="AB239" s="4" t="str">
        <f t="array" ref="AB239">XLOOKUP(X239,'Dados Funil'!A:A,'Dados Funil'!O:O,"")</f>
        <v/>
      </c>
      <c r="AE239" s="7" t="str">
        <f t="shared" si="6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9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G240" s="4"/>
      <c r="H240" s="4"/>
      <c r="I240" s="7" t="str">
        <f t="shared" si="2"/>
        <v/>
      </c>
      <c r="J240" s="4" t="str">
        <f t="shared" si="10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1"/>
        <v/>
      </c>
      <c r="P240" s="4" t="str">
        <f t="array" ref="P240">XLOOKUP(L240,'Dados Funil'!A:A,'Dados Funil'!AM:AM,"")</f>
        <v/>
      </c>
      <c r="Q240" s="9" t="str">
        <f t="array" ref="Q240">XLOOKUP(L240,'Dados Funil'!A:A,'Dados Funil'!AN:AN,"")</f>
        <v/>
      </c>
      <c r="T240" s="7" t="str">
        <f t="shared" si="4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5"/>
        <v/>
      </c>
      <c r="AA240" s="4" t="str">
        <f t="shared" si="13"/>
        <v/>
      </c>
      <c r="AB240" s="4" t="str">
        <f t="array" ref="AB240">XLOOKUP(X240,'Dados Funil'!A:A,'Dados Funil'!O:O,"")</f>
        <v/>
      </c>
      <c r="AE240" s="7" t="str">
        <f t="shared" si="6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9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G241" s="4"/>
      <c r="H241" s="4"/>
      <c r="I241" s="7" t="str">
        <f t="shared" si="2"/>
        <v/>
      </c>
      <c r="J241" s="4" t="str">
        <f t="shared" si="10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1"/>
        <v/>
      </c>
      <c r="P241" s="4" t="str">
        <f t="array" ref="P241">XLOOKUP(L241,'Dados Funil'!A:A,'Dados Funil'!AM:AM,"")</f>
        <v/>
      </c>
      <c r="Q241" s="9" t="str">
        <f t="array" ref="Q241">XLOOKUP(L241,'Dados Funil'!A:A,'Dados Funil'!AN:AN,"")</f>
        <v/>
      </c>
      <c r="T241" s="7" t="str">
        <f t="shared" si="4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5"/>
        <v/>
      </c>
      <c r="AA241" s="4" t="str">
        <f t="shared" si="13"/>
        <v/>
      </c>
      <c r="AB241" s="4" t="str">
        <f t="array" ref="AB241">XLOOKUP(X241,'Dados Funil'!A:A,'Dados Funil'!O:O,"")</f>
        <v/>
      </c>
      <c r="AE241" s="7" t="str">
        <f t="shared" si="6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9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G242" s="4"/>
      <c r="H242" s="4"/>
      <c r="I242" s="7" t="str">
        <f t="shared" si="2"/>
        <v/>
      </c>
      <c r="J242" s="4" t="str">
        <f t="shared" si="10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1"/>
        <v/>
      </c>
      <c r="P242" s="4" t="str">
        <f t="array" ref="P242">XLOOKUP(L242,'Dados Funil'!A:A,'Dados Funil'!AM:AM,"")</f>
        <v/>
      </c>
      <c r="Q242" s="9" t="str">
        <f t="array" ref="Q242">XLOOKUP(L242,'Dados Funil'!A:A,'Dados Funil'!AN:AN,"")</f>
        <v/>
      </c>
      <c r="T242" s="7" t="str">
        <f t="shared" si="4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5"/>
        <v/>
      </c>
      <c r="AA242" s="4" t="str">
        <f t="shared" si="13"/>
        <v/>
      </c>
      <c r="AB242" s="4" t="str">
        <f t="array" ref="AB242">XLOOKUP(X242,'Dados Funil'!A:A,'Dados Funil'!O:O,"")</f>
        <v/>
      </c>
      <c r="AE242" s="7" t="str">
        <f t="shared" si="6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9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G243" s="4"/>
      <c r="H243" s="4"/>
      <c r="I243" s="7" t="str">
        <f t="shared" si="2"/>
        <v/>
      </c>
      <c r="J243" s="4" t="str">
        <f t="shared" si="10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1"/>
        <v/>
      </c>
      <c r="P243" s="4" t="str">
        <f t="array" ref="P243">XLOOKUP(L243,'Dados Funil'!A:A,'Dados Funil'!AM:AM,"")</f>
        <v/>
      </c>
      <c r="Q243" s="9" t="str">
        <f t="array" ref="Q243">XLOOKUP(L243,'Dados Funil'!A:A,'Dados Funil'!AN:AN,"")</f>
        <v/>
      </c>
      <c r="T243" s="7" t="str">
        <f t="shared" si="4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5"/>
        <v/>
      </c>
      <c r="AA243" s="4" t="str">
        <f t="shared" si="13"/>
        <v/>
      </c>
      <c r="AB243" s="4" t="str">
        <f t="array" ref="AB243">XLOOKUP(X243,'Dados Funil'!A:A,'Dados Funil'!O:O,"")</f>
        <v/>
      </c>
      <c r="AE243" s="7" t="str">
        <f t="shared" si="6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9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G244" s="4"/>
      <c r="H244" s="4"/>
      <c r="I244" s="7" t="str">
        <f t="shared" si="2"/>
        <v/>
      </c>
      <c r="J244" s="4" t="str">
        <f t="shared" si="10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1"/>
        <v/>
      </c>
      <c r="P244" s="4" t="str">
        <f t="array" ref="P244">XLOOKUP(L244,'Dados Funil'!A:A,'Dados Funil'!AM:AM,"")</f>
        <v/>
      </c>
      <c r="Q244" s="9" t="str">
        <f t="array" ref="Q244">XLOOKUP(L244,'Dados Funil'!A:A,'Dados Funil'!AN:AN,"")</f>
        <v/>
      </c>
      <c r="T244" s="7" t="str">
        <f t="shared" si="4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5"/>
        <v/>
      </c>
      <c r="AA244" s="4" t="str">
        <f t="shared" si="13"/>
        <v/>
      </c>
      <c r="AB244" s="4" t="str">
        <f t="array" ref="AB244">XLOOKUP(X244,'Dados Funil'!A:A,'Dados Funil'!O:O,"")</f>
        <v/>
      </c>
      <c r="AE244" s="7" t="str">
        <f t="shared" si="6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9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G245" s="4"/>
      <c r="H245" s="4"/>
      <c r="I245" s="7" t="str">
        <f t="shared" si="2"/>
        <v/>
      </c>
      <c r="J245" s="4" t="str">
        <f t="shared" si="10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1"/>
        <v/>
      </c>
      <c r="P245" s="4" t="str">
        <f t="array" ref="P245">XLOOKUP(L245,'Dados Funil'!A:A,'Dados Funil'!AM:AM,"")</f>
        <v/>
      </c>
      <c r="Q245" s="9" t="str">
        <f t="array" ref="Q245">XLOOKUP(L245,'Dados Funil'!A:A,'Dados Funil'!AN:AN,"")</f>
        <v/>
      </c>
      <c r="T245" s="7" t="str">
        <f t="shared" si="4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5"/>
        <v/>
      </c>
      <c r="AA245" s="4" t="str">
        <f t="shared" si="13"/>
        <v/>
      </c>
      <c r="AB245" s="4" t="str">
        <f t="array" ref="AB245">XLOOKUP(X245,'Dados Funil'!A:A,'Dados Funil'!O:O,"")</f>
        <v/>
      </c>
      <c r="AE245" s="7" t="str">
        <f t="shared" si="6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9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G246" s="4"/>
      <c r="H246" s="4"/>
      <c r="I246" s="7" t="str">
        <f t="shared" si="2"/>
        <v/>
      </c>
      <c r="J246" s="4" t="str">
        <f t="shared" si="10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1"/>
        <v/>
      </c>
      <c r="P246" s="4" t="str">
        <f t="array" ref="P246">XLOOKUP(L246,'Dados Funil'!A:A,'Dados Funil'!AM:AM,"")</f>
        <v/>
      </c>
      <c r="Q246" s="9" t="str">
        <f t="array" ref="Q246">XLOOKUP(L246,'Dados Funil'!A:A,'Dados Funil'!AN:AN,"")</f>
        <v/>
      </c>
      <c r="T246" s="7" t="str">
        <f t="shared" si="4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5"/>
        <v/>
      </c>
      <c r="AA246" s="4" t="str">
        <f t="shared" si="13"/>
        <v/>
      </c>
      <c r="AB246" s="4" t="str">
        <f t="array" ref="AB246">XLOOKUP(X246,'Dados Funil'!A:A,'Dados Funil'!O:O,"")</f>
        <v/>
      </c>
      <c r="AE246" s="7" t="str">
        <f t="shared" si="6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9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G247" s="4"/>
      <c r="H247" s="4"/>
      <c r="I247" s="7" t="str">
        <f t="shared" si="2"/>
        <v/>
      </c>
      <c r="J247" s="4" t="str">
        <f t="shared" si="10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1"/>
        <v/>
      </c>
      <c r="P247" s="4" t="str">
        <f t="array" ref="P247">XLOOKUP(L247,'Dados Funil'!A:A,'Dados Funil'!AM:AM,"")</f>
        <v/>
      </c>
      <c r="Q247" s="9" t="str">
        <f t="array" ref="Q247">XLOOKUP(L247,'Dados Funil'!A:A,'Dados Funil'!AN:AN,"")</f>
        <v/>
      </c>
      <c r="T247" s="7" t="str">
        <f t="shared" si="4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5"/>
        <v/>
      </c>
      <c r="AA247" s="4" t="str">
        <f t="shared" si="13"/>
        <v/>
      </c>
      <c r="AB247" s="4" t="str">
        <f t="array" ref="AB247">XLOOKUP(X247,'Dados Funil'!A:A,'Dados Funil'!O:O,"")</f>
        <v/>
      </c>
      <c r="AE247" s="7" t="str">
        <f t="shared" si="6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9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G248" s="4"/>
      <c r="H248" s="4"/>
      <c r="I248" s="7" t="str">
        <f t="shared" si="2"/>
        <v/>
      </c>
      <c r="J248" s="4" t="str">
        <f t="shared" si="10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1"/>
        <v/>
      </c>
      <c r="P248" s="4" t="str">
        <f t="array" ref="P248">XLOOKUP(L248,'Dados Funil'!A:A,'Dados Funil'!AM:AM,"")</f>
        <v/>
      </c>
      <c r="Q248" s="9" t="str">
        <f t="array" ref="Q248">XLOOKUP(L248,'Dados Funil'!A:A,'Dados Funil'!AN:AN,"")</f>
        <v/>
      </c>
      <c r="T248" s="7" t="str">
        <f t="shared" si="4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5"/>
        <v/>
      </c>
      <c r="AA248" s="4" t="str">
        <f t="shared" si="13"/>
        <v/>
      </c>
      <c r="AB248" s="4" t="str">
        <f t="array" ref="AB248">XLOOKUP(X248,'Dados Funil'!A:A,'Dados Funil'!O:O,"")</f>
        <v/>
      </c>
      <c r="AE248" s="7" t="str">
        <f t="shared" si="6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9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G249" s="4"/>
      <c r="H249" s="4"/>
      <c r="I249" s="7" t="str">
        <f t="shared" si="2"/>
        <v/>
      </c>
      <c r="J249" s="4" t="str">
        <f t="shared" si="10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1"/>
        <v/>
      </c>
      <c r="P249" s="4" t="str">
        <f t="array" ref="P249">XLOOKUP(L249,'Dados Funil'!A:A,'Dados Funil'!AM:AM,"")</f>
        <v/>
      </c>
      <c r="Q249" s="9" t="str">
        <f t="array" ref="Q249">XLOOKUP(L249,'Dados Funil'!A:A,'Dados Funil'!AN:AN,"")</f>
        <v/>
      </c>
      <c r="T249" s="7" t="str">
        <f t="shared" si="4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5"/>
        <v/>
      </c>
      <c r="AA249" s="4" t="str">
        <f t="shared" si="13"/>
        <v/>
      </c>
      <c r="AB249" s="4" t="str">
        <f t="array" ref="AB249">XLOOKUP(X249,'Dados Funil'!A:A,'Dados Funil'!O:O,"")</f>
        <v/>
      </c>
      <c r="AE249" s="7" t="str">
        <f t="shared" si="6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9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G250" s="4"/>
      <c r="H250" s="4"/>
      <c r="I250" s="7" t="str">
        <f t="shared" si="2"/>
        <v/>
      </c>
      <c r="J250" s="4" t="str">
        <f t="shared" si="10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1"/>
        <v/>
      </c>
      <c r="P250" s="4" t="str">
        <f t="array" ref="P250">XLOOKUP(L250,'Dados Funil'!A:A,'Dados Funil'!AM:AM,"")</f>
        <v/>
      </c>
      <c r="Q250" s="9" t="str">
        <f t="array" ref="Q250">XLOOKUP(L250,'Dados Funil'!A:A,'Dados Funil'!AN:AN,"")</f>
        <v/>
      </c>
      <c r="T250" s="7" t="str">
        <f t="shared" si="4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5"/>
        <v/>
      </c>
      <c r="AA250" s="4" t="str">
        <f t="shared" si="13"/>
        <v/>
      </c>
      <c r="AB250" s="4" t="str">
        <f t="array" ref="AB250">XLOOKUP(X250,'Dados Funil'!A:A,'Dados Funil'!O:O,"")</f>
        <v/>
      </c>
      <c r="AE250" s="7" t="str">
        <f t="shared" si="6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9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G251" s="4"/>
      <c r="H251" s="4"/>
      <c r="I251" s="7" t="str">
        <f t="shared" si="2"/>
        <v/>
      </c>
      <c r="J251" s="4" t="str">
        <f t="shared" si="10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1"/>
        <v/>
      </c>
      <c r="P251" s="4" t="str">
        <f t="array" ref="P251">XLOOKUP(L251,'Dados Funil'!A:A,'Dados Funil'!AM:AM,"")</f>
        <v/>
      </c>
      <c r="Q251" s="9" t="str">
        <f t="array" ref="Q251">XLOOKUP(L251,'Dados Funil'!A:A,'Dados Funil'!AN:AN,"")</f>
        <v/>
      </c>
      <c r="T251" s="7" t="str">
        <f t="shared" si="4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5"/>
        <v/>
      </c>
      <c r="AA251" s="4" t="str">
        <f t="shared" si="13"/>
        <v/>
      </c>
      <c r="AB251" s="4" t="str">
        <f t="array" ref="AB251">XLOOKUP(X251,'Dados Funil'!A:A,'Dados Funil'!O:O,"")</f>
        <v/>
      </c>
      <c r="AE251" s="7" t="str">
        <f t="shared" si="6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9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G252" s="4"/>
      <c r="H252" s="4"/>
      <c r="I252" s="7" t="str">
        <f t="shared" si="2"/>
        <v/>
      </c>
      <c r="J252" s="4" t="str">
        <f t="shared" si="10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1"/>
        <v/>
      </c>
      <c r="P252" s="4" t="str">
        <f t="array" ref="P252">XLOOKUP(L252,'Dados Funil'!A:A,'Dados Funil'!AM:AM,"")</f>
        <v/>
      </c>
      <c r="Q252" s="9" t="str">
        <f t="array" ref="Q252">XLOOKUP(L252,'Dados Funil'!A:A,'Dados Funil'!AN:AN,"")</f>
        <v/>
      </c>
      <c r="T252" s="7" t="str">
        <f t="shared" si="4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5"/>
        <v/>
      </c>
      <c r="AA252" s="4" t="str">
        <f t="shared" si="13"/>
        <v/>
      </c>
      <c r="AB252" s="4" t="str">
        <f t="array" ref="AB252">XLOOKUP(X252,'Dados Funil'!A:A,'Dados Funil'!O:O,"")</f>
        <v/>
      </c>
      <c r="AE252" s="7" t="str">
        <f t="shared" si="6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9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G253" s="4"/>
      <c r="H253" s="4"/>
      <c r="I253" s="7" t="str">
        <f t="shared" si="2"/>
        <v/>
      </c>
      <c r="J253" s="4" t="str">
        <f t="shared" si="10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1"/>
        <v/>
      </c>
      <c r="P253" s="4" t="str">
        <f t="array" ref="P253">XLOOKUP(L253,'Dados Funil'!A:A,'Dados Funil'!AM:AM,"")</f>
        <v/>
      </c>
      <c r="Q253" s="9" t="str">
        <f t="array" ref="Q253">XLOOKUP(L253,'Dados Funil'!A:A,'Dados Funil'!AN:AN,"")</f>
        <v/>
      </c>
      <c r="T253" s="7" t="str">
        <f t="shared" si="4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5"/>
        <v/>
      </c>
      <c r="AA253" s="4" t="str">
        <f t="shared" si="13"/>
        <v/>
      </c>
      <c r="AB253" s="4" t="str">
        <f t="array" ref="AB253">XLOOKUP(X253,'Dados Funil'!A:A,'Dados Funil'!O:O,"")</f>
        <v/>
      </c>
      <c r="AE253" s="7" t="str">
        <f t="shared" si="6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9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G254" s="4"/>
      <c r="H254" s="4"/>
      <c r="I254" s="7" t="str">
        <f t="shared" si="2"/>
        <v/>
      </c>
      <c r="J254" s="4" t="str">
        <f t="shared" si="10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1"/>
        <v/>
      </c>
      <c r="P254" s="4" t="str">
        <f t="array" ref="P254">XLOOKUP(L254,'Dados Funil'!A:A,'Dados Funil'!AM:AM,"")</f>
        <v/>
      </c>
      <c r="Q254" s="9" t="str">
        <f t="array" ref="Q254">XLOOKUP(L254,'Dados Funil'!A:A,'Dados Funil'!AN:AN,"")</f>
        <v/>
      </c>
      <c r="T254" s="7" t="str">
        <f t="shared" si="4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5"/>
        <v/>
      </c>
      <c r="AA254" s="4" t="str">
        <f t="shared" si="13"/>
        <v/>
      </c>
      <c r="AB254" s="4" t="str">
        <f t="array" ref="AB254">XLOOKUP(X254,'Dados Funil'!A:A,'Dados Funil'!O:O,"")</f>
        <v/>
      </c>
      <c r="AE254" s="7" t="str">
        <f t="shared" si="6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9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G255" s="4"/>
      <c r="H255" s="4"/>
      <c r="I255" s="7" t="str">
        <f t="shared" si="2"/>
        <v/>
      </c>
      <c r="J255" s="4" t="str">
        <f t="shared" si="10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1"/>
        <v/>
      </c>
      <c r="P255" s="4" t="str">
        <f t="array" ref="P255">XLOOKUP(L255,'Dados Funil'!A:A,'Dados Funil'!AM:AM,"")</f>
        <v/>
      </c>
      <c r="Q255" s="9" t="str">
        <f t="array" ref="Q255">XLOOKUP(L255,'Dados Funil'!A:A,'Dados Funil'!AN:AN,"")</f>
        <v/>
      </c>
      <c r="T255" s="7" t="str">
        <f t="shared" si="4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5"/>
        <v/>
      </c>
      <c r="AA255" s="4" t="str">
        <f t="shared" si="13"/>
        <v/>
      </c>
      <c r="AB255" s="4" t="str">
        <f t="array" ref="AB255">XLOOKUP(X255,'Dados Funil'!A:A,'Dados Funil'!O:O,"")</f>
        <v/>
      </c>
      <c r="AE255" s="7" t="str">
        <f t="shared" si="6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9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G256" s="4"/>
      <c r="H256" s="4"/>
      <c r="I256" s="7" t="str">
        <f t="shared" si="2"/>
        <v/>
      </c>
      <c r="J256" s="4" t="str">
        <f t="shared" si="10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1"/>
        <v/>
      </c>
      <c r="P256" s="4" t="str">
        <f t="array" ref="P256">XLOOKUP(L256,'Dados Funil'!A:A,'Dados Funil'!AM:AM,"")</f>
        <v/>
      </c>
      <c r="Q256" s="9" t="str">
        <f t="array" ref="Q256">XLOOKUP(L256,'Dados Funil'!A:A,'Dados Funil'!AN:AN,"")</f>
        <v/>
      </c>
      <c r="T256" s="7" t="str">
        <f t="shared" si="4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5"/>
        <v/>
      </c>
      <c r="AA256" s="4" t="str">
        <f t="shared" si="13"/>
        <v/>
      </c>
      <c r="AB256" s="4" t="str">
        <f t="array" ref="AB256">XLOOKUP(X256,'Dados Funil'!A:A,'Dados Funil'!O:O,"")</f>
        <v/>
      </c>
      <c r="AE256" s="7" t="str">
        <f t="shared" si="6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9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G257" s="4"/>
      <c r="H257" s="4"/>
      <c r="I257" s="7" t="str">
        <f t="shared" si="2"/>
        <v/>
      </c>
      <c r="J257" s="4" t="str">
        <f t="shared" si="10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1"/>
        <v/>
      </c>
      <c r="P257" s="4" t="str">
        <f t="array" ref="P257">XLOOKUP(L257,'Dados Funil'!A:A,'Dados Funil'!AM:AM,"")</f>
        <v/>
      </c>
      <c r="Q257" s="9" t="str">
        <f t="array" ref="Q257">XLOOKUP(L257,'Dados Funil'!A:A,'Dados Funil'!AN:AN,"")</f>
        <v/>
      </c>
      <c r="T257" s="7" t="str">
        <f t="shared" si="4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5"/>
        <v/>
      </c>
      <c r="AA257" s="4" t="str">
        <f t="shared" si="13"/>
        <v/>
      </c>
      <c r="AB257" s="4" t="str">
        <f t="array" ref="AB257">XLOOKUP(X257,'Dados Funil'!A:A,'Dados Funil'!O:O,"")</f>
        <v/>
      </c>
      <c r="AE257" s="7" t="str">
        <f t="shared" si="6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9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G258" s="4"/>
      <c r="H258" s="4"/>
      <c r="I258" s="7" t="str">
        <f t="shared" si="2"/>
        <v/>
      </c>
      <c r="J258" s="4" t="str">
        <f t="shared" si="10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1"/>
        <v/>
      </c>
      <c r="P258" s="4" t="str">
        <f t="array" ref="P258">XLOOKUP(L258,'Dados Funil'!A:A,'Dados Funil'!AM:AM,"")</f>
        <v/>
      </c>
      <c r="Q258" s="9" t="str">
        <f t="array" ref="Q258">XLOOKUP(L258,'Dados Funil'!A:A,'Dados Funil'!AN:AN,"")</f>
        <v/>
      </c>
      <c r="T258" s="7" t="str">
        <f t="shared" si="4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5"/>
        <v/>
      </c>
      <c r="AA258" s="4" t="str">
        <f t="shared" si="13"/>
        <v/>
      </c>
      <c r="AB258" s="4" t="str">
        <f t="array" ref="AB258">XLOOKUP(X258,'Dados Funil'!A:A,'Dados Funil'!O:O,"")</f>
        <v/>
      </c>
      <c r="AE258" s="7" t="str">
        <f t="shared" si="6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9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G259" s="4"/>
      <c r="H259" s="4"/>
      <c r="I259" s="7" t="str">
        <f t="shared" si="2"/>
        <v/>
      </c>
      <c r="J259" s="4" t="str">
        <f t="shared" si="10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1"/>
        <v/>
      </c>
      <c r="P259" s="4" t="str">
        <f t="array" ref="P259">XLOOKUP(L259,'Dados Funil'!A:A,'Dados Funil'!AM:AM,"")</f>
        <v/>
      </c>
      <c r="Q259" s="9" t="str">
        <f t="array" ref="Q259">XLOOKUP(L259,'Dados Funil'!A:A,'Dados Funil'!AN:AN,"")</f>
        <v/>
      </c>
      <c r="T259" s="7" t="str">
        <f t="shared" si="4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5"/>
        <v/>
      </c>
      <c r="AA259" s="4" t="str">
        <f t="shared" si="13"/>
        <v/>
      </c>
      <c r="AB259" s="4" t="str">
        <f t="array" ref="AB259">XLOOKUP(X259,'Dados Funil'!A:A,'Dados Funil'!O:O,"")</f>
        <v/>
      </c>
      <c r="AE259" s="7" t="str">
        <f t="shared" si="6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9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G260" s="4"/>
      <c r="H260" s="4"/>
      <c r="I260" s="7" t="str">
        <f t="shared" si="2"/>
        <v/>
      </c>
      <c r="J260" s="4" t="str">
        <f t="shared" si="10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1"/>
        <v/>
      </c>
      <c r="P260" s="4" t="str">
        <f t="array" ref="P260">XLOOKUP(L260,'Dados Funil'!A:A,'Dados Funil'!AM:AM,"")</f>
        <v/>
      </c>
      <c r="Q260" s="9" t="str">
        <f t="array" ref="Q260">XLOOKUP(L260,'Dados Funil'!A:A,'Dados Funil'!AN:AN,"")</f>
        <v/>
      </c>
      <c r="T260" s="7" t="str">
        <f t="shared" si="4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5"/>
        <v/>
      </c>
      <c r="AA260" s="4" t="str">
        <f t="shared" si="13"/>
        <v/>
      </c>
      <c r="AB260" s="4" t="str">
        <f t="array" ref="AB260">XLOOKUP(X260,'Dados Funil'!A:A,'Dados Funil'!O:O,"")</f>
        <v/>
      </c>
      <c r="AE260" s="7" t="str">
        <f t="shared" si="6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9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G261" s="4"/>
      <c r="H261" s="4"/>
      <c r="I261" s="7" t="str">
        <f t="shared" si="2"/>
        <v/>
      </c>
      <c r="J261" s="4" t="str">
        <f t="shared" si="10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1"/>
        <v/>
      </c>
      <c r="P261" s="4" t="str">
        <f t="array" ref="P261">XLOOKUP(L261,'Dados Funil'!A:A,'Dados Funil'!AM:AM,"")</f>
        <v/>
      </c>
      <c r="Q261" s="9" t="str">
        <f t="array" ref="Q261">XLOOKUP(L261,'Dados Funil'!A:A,'Dados Funil'!AN:AN,"")</f>
        <v/>
      </c>
      <c r="T261" s="7" t="str">
        <f t="shared" si="4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5"/>
        <v/>
      </c>
      <c r="AA261" s="4" t="str">
        <f t="shared" si="13"/>
        <v/>
      </c>
      <c r="AB261" s="4" t="str">
        <f t="array" ref="AB261">XLOOKUP(X261,'Dados Funil'!A:A,'Dados Funil'!O:O,"")</f>
        <v/>
      </c>
      <c r="AE261" s="7" t="str">
        <f t="shared" si="6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9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G262" s="4"/>
      <c r="H262" s="4"/>
      <c r="I262" s="7" t="str">
        <f t="shared" si="2"/>
        <v/>
      </c>
      <c r="J262" s="4" t="str">
        <f t="shared" si="10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1"/>
        <v/>
      </c>
      <c r="P262" s="4" t="str">
        <f t="array" ref="P262">XLOOKUP(L262,'Dados Funil'!A:A,'Dados Funil'!AM:AM,"")</f>
        <v/>
      </c>
      <c r="Q262" s="9" t="str">
        <f t="array" ref="Q262">XLOOKUP(L262,'Dados Funil'!A:A,'Dados Funil'!AN:AN,"")</f>
        <v/>
      </c>
      <c r="T262" s="7" t="str">
        <f t="shared" si="4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5"/>
        <v/>
      </c>
      <c r="AA262" s="4" t="str">
        <f t="shared" si="13"/>
        <v/>
      </c>
      <c r="AB262" s="4" t="str">
        <f t="array" ref="AB262">XLOOKUP(X262,'Dados Funil'!A:A,'Dados Funil'!O:O,"")</f>
        <v/>
      </c>
      <c r="AE262" s="7" t="str">
        <f t="shared" si="6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9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G263" s="4"/>
      <c r="H263" s="4"/>
      <c r="I263" s="7" t="str">
        <f t="shared" si="2"/>
        <v/>
      </c>
      <c r="J263" s="4" t="str">
        <f t="shared" si="10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1"/>
        <v/>
      </c>
      <c r="P263" s="4" t="str">
        <f t="array" ref="P263">XLOOKUP(L263,'Dados Funil'!A:A,'Dados Funil'!AM:AM,"")</f>
        <v/>
      </c>
      <c r="Q263" s="9" t="str">
        <f t="array" ref="Q263">XLOOKUP(L263,'Dados Funil'!A:A,'Dados Funil'!AN:AN,"")</f>
        <v/>
      </c>
      <c r="T263" s="7" t="str">
        <f t="shared" si="4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5"/>
        <v/>
      </c>
      <c r="AA263" s="4" t="str">
        <f t="shared" si="13"/>
        <v/>
      </c>
      <c r="AB263" s="4" t="str">
        <f t="array" ref="AB263">XLOOKUP(X263,'Dados Funil'!A:A,'Dados Funil'!O:O,"")</f>
        <v/>
      </c>
      <c r="AE263" s="7" t="str">
        <f t="shared" si="6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9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G264" s="4"/>
      <c r="H264" s="4"/>
      <c r="I264" s="7" t="str">
        <f t="shared" si="2"/>
        <v/>
      </c>
      <c r="J264" s="4" t="str">
        <f t="shared" si="10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1"/>
        <v/>
      </c>
      <c r="P264" s="4" t="str">
        <f t="array" ref="P264">XLOOKUP(L264,'Dados Funil'!A:A,'Dados Funil'!AM:AM,"")</f>
        <v/>
      </c>
      <c r="Q264" s="9" t="str">
        <f t="array" ref="Q264">XLOOKUP(L264,'Dados Funil'!A:A,'Dados Funil'!AN:AN,"")</f>
        <v/>
      </c>
      <c r="T264" s="7" t="str">
        <f t="shared" si="4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5"/>
        <v/>
      </c>
      <c r="AA264" s="4" t="str">
        <f t="shared" si="13"/>
        <v/>
      </c>
      <c r="AB264" s="4" t="str">
        <f t="array" ref="AB264">XLOOKUP(X264,'Dados Funil'!A:A,'Dados Funil'!O:O,"")</f>
        <v/>
      </c>
      <c r="AE264" s="7" t="str">
        <f t="shared" si="6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9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G265" s="4"/>
      <c r="H265" s="4"/>
      <c r="I265" s="7" t="str">
        <f t="shared" si="2"/>
        <v/>
      </c>
      <c r="J265" s="4" t="str">
        <f t="shared" si="10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1"/>
        <v/>
      </c>
      <c r="P265" s="4" t="str">
        <f t="array" ref="P265">XLOOKUP(L265,'Dados Funil'!A:A,'Dados Funil'!AM:AM,"")</f>
        <v/>
      </c>
      <c r="Q265" s="9" t="str">
        <f t="array" ref="Q265">XLOOKUP(L265,'Dados Funil'!A:A,'Dados Funil'!AN:AN,"")</f>
        <v/>
      </c>
      <c r="T265" s="7" t="str">
        <f t="shared" si="4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5"/>
        <v/>
      </c>
      <c r="AA265" s="4" t="str">
        <f t="shared" si="13"/>
        <v/>
      </c>
      <c r="AB265" s="4" t="str">
        <f t="array" ref="AB265">XLOOKUP(X265,'Dados Funil'!A:A,'Dados Funil'!O:O,"")</f>
        <v/>
      </c>
      <c r="AE265" s="7" t="str">
        <f t="shared" si="6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9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G266" s="4"/>
      <c r="H266" s="4"/>
      <c r="I266" s="7" t="str">
        <f t="shared" si="2"/>
        <v/>
      </c>
      <c r="J266" s="4" t="str">
        <f t="shared" si="10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1"/>
        <v/>
      </c>
      <c r="P266" s="4" t="str">
        <f t="array" ref="P266">XLOOKUP(L266,'Dados Funil'!A:A,'Dados Funil'!AM:AM,"")</f>
        <v/>
      </c>
      <c r="Q266" s="9" t="str">
        <f t="array" ref="Q266">XLOOKUP(L266,'Dados Funil'!A:A,'Dados Funil'!AN:AN,"")</f>
        <v/>
      </c>
      <c r="T266" s="7" t="str">
        <f t="shared" si="4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5"/>
        <v/>
      </c>
      <c r="AA266" s="4" t="str">
        <f t="shared" si="13"/>
        <v/>
      </c>
      <c r="AB266" s="4" t="str">
        <f t="array" ref="AB266">XLOOKUP(X266,'Dados Funil'!A:A,'Dados Funil'!O:O,"")</f>
        <v/>
      </c>
      <c r="AE266" s="7" t="str">
        <f t="shared" si="6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9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G267" s="4"/>
      <c r="H267" s="4"/>
      <c r="I267" s="7" t="str">
        <f t="shared" si="2"/>
        <v/>
      </c>
      <c r="J267" s="4" t="str">
        <f t="shared" si="10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1"/>
        <v/>
      </c>
      <c r="P267" s="4" t="str">
        <f t="array" ref="P267">XLOOKUP(L267,'Dados Funil'!A:A,'Dados Funil'!AM:AM,"")</f>
        <v/>
      </c>
      <c r="Q267" s="9" t="str">
        <f t="array" ref="Q267">XLOOKUP(L267,'Dados Funil'!A:A,'Dados Funil'!AN:AN,"")</f>
        <v/>
      </c>
      <c r="T267" s="7" t="str">
        <f t="shared" si="4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5"/>
        <v/>
      </c>
      <c r="AA267" s="4" t="str">
        <f t="shared" si="13"/>
        <v/>
      </c>
      <c r="AB267" s="4" t="str">
        <f t="array" ref="AB267">XLOOKUP(X267,'Dados Funil'!A:A,'Dados Funil'!O:O,"")</f>
        <v/>
      </c>
      <c r="AE267" s="7" t="str">
        <f t="shared" si="6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9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G268" s="4"/>
      <c r="H268" s="4"/>
      <c r="I268" s="7" t="str">
        <f t="shared" si="2"/>
        <v/>
      </c>
      <c r="J268" s="4" t="str">
        <f t="shared" si="10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1"/>
        <v/>
      </c>
      <c r="P268" s="4" t="str">
        <f t="array" ref="P268">XLOOKUP(L268,'Dados Funil'!A:A,'Dados Funil'!AM:AM,"")</f>
        <v/>
      </c>
      <c r="Q268" s="9" t="str">
        <f t="array" ref="Q268">XLOOKUP(L268,'Dados Funil'!A:A,'Dados Funil'!AN:AN,"")</f>
        <v/>
      </c>
      <c r="T268" s="7" t="str">
        <f t="shared" si="4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5"/>
        <v/>
      </c>
      <c r="AA268" s="4" t="str">
        <f t="shared" si="13"/>
        <v/>
      </c>
      <c r="AB268" s="4" t="str">
        <f t="array" ref="AB268">XLOOKUP(X268,'Dados Funil'!A:A,'Dados Funil'!O:O,"")</f>
        <v/>
      </c>
      <c r="AE268" s="7" t="str">
        <f t="shared" si="6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9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G269" s="4"/>
      <c r="H269" s="4"/>
      <c r="I269" s="7" t="str">
        <f t="shared" si="2"/>
        <v/>
      </c>
      <c r="J269" s="4" t="str">
        <f t="shared" si="10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1"/>
        <v/>
      </c>
      <c r="P269" s="4" t="str">
        <f t="array" ref="P269">XLOOKUP(L269,'Dados Funil'!A:A,'Dados Funil'!AM:AM,"")</f>
        <v/>
      </c>
      <c r="Q269" s="9" t="str">
        <f t="array" ref="Q269">XLOOKUP(L269,'Dados Funil'!A:A,'Dados Funil'!AN:AN,"")</f>
        <v/>
      </c>
      <c r="T269" s="7" t="str">
        <f t="shared" si="4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5"/>
        <v/>
      </c>
      <c r="AA269" s="4" t="str">
        <f t="shared" si="13"/>
        <v/>
      </c>
      <c r="AB269" s="4" t="str">
        <f t="array" ref="AB269">XLOOKUP(X269,'Dados Funil'!A:A,'Dados Funil'!O:O,"")</f>
        <v/>
      </c>
      <c r="AE269" s="7" t="str">
        <f t="shared" si="6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9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G270" s="4"/>
      <c r="H270" s="4"/>
      <c r="I270" s="7" t="str">
        <f t="shared" si="2"/>
        <v/>
      </c>
      <c r="J270" s="4" t="str">
        <f t="shared" si="10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1"/>
        <v/>
      </c>
      <c r="P270" s="4" t="str">
        <f t="array" ref="P270">XLOOKUP(L270,'Dados Funil'!A:A,'Dados Funil'!AM:AM,"")</f>
        <v/>
      </c>
      <c r="Q270" s="9" t="str">
        <f t="array" ref="Q270">XLOOKUP(L270,'Dados Funil'!A:A,'Dados Funil'!AN:AN,"")</f>
        <v/>
      </c>
      <c r="T270" s="7" t="str">
        <f t="shared" si="4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5"/>
        <v/>
      </c>
      <c r="AA270" s="4" t="str">
        <f t="shared" si="13"/>
        <v/>
      </c>
      <c r="AB270" s="4" t="str">
        <f t="array" ref="AB270">XLOOKUP(X270,'Dados Funil'!A:A,'Dados Funil'!O:O,"")</f>
        <v/>
      </c>
      <c r="AE270" s="7" t="str">
        <f t="shared" si="6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9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G271" s="4"/>
      <c r="H271" s="4"/>
      <c r="I271" s="7" t="str">
        <f t="shared" si="2"/>
        <v/>
      </c>
      <c r="J271" s="4" t="str">
        <f t="shared" si="10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1"/>
        <v/>
      </c>
      <c r="P271" s="4" t="str">
        <f t="array" ref="P271">XLOOKUP(L271,'Dados Funil'!A:A,'Dados Funil'!AM:AM,"")</f>
        <v/>
      </c>
      <c r="Q271" s="9" t="str">
        <f t="array" ref="Q271">XLOOKUP(L271,'Dados Funil'!A:A,'Dados Funil'!AN:AN,"")</f>
        <v/>
      </c>
      <c r="T271" s="7" t="str">
        <f t="shared" si="4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5"/>
        <v/>
      </c>
      <c r="AA271" s="4" t="str">
        <f t="shared" si="13"/>
        <v/>
      </c>
      <c r="AB271" s="4" t="str">
        <f t="array" ref="AB271">XLOOKUP(X271,'Dados Funil'!A:A,'Dados Funil'!O:O,"")</f>
        <v/>
      </c>
      <c r="AE271" s="7" t="str">
        <f t="shared" si="6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9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G272" s="4"/>
      <c r="H272" s="4"/>
      <c r="I272" s="7" t="str">
        <f t="shared" si="2"/>
        <v/>
      </c>
      <c r="J272" s="4" t="str">
        <f t="shared" si="10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1"/>
        <v/>
      </c>
      <c r="P272" s="4" t="str">
        <f t="array" ref="P272">XLOOKUP(L272,'Dados Funil'!A:A,'Dados Funil'!AM:AM,"")</f>
        <v/>
      </c>
      <c r="Q272" s="9" t="str">
        <f t="array" ref="Q272">XLOOKUP(L272,'Dados Funil'!A:A,'Dados Funil'!AN:AN,"")</f>
        <v/>
      </c>
      <c r="T272" s="7" t="str">
        <f t="shared" si="4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5"/>
        <v/>
      </c>
      <c r="AA272" s="4" t="str">
        <f t="shared" si="13"/>
        <v/>
      </c>
      <c r="AB272" s="4" t="str">
        <f t="array" ref="AB272">XLOOKUP(X272,'Dados Funil'!A:A,'Dados Funil'!O:O,"")</f>
        <v/>
      </c>
      <c r="AE272" s="7" t="str">
        <f t="shared" si="6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9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G273" s="4"/>
      <c r="H273" s="4"/>
      <c r="I273" s="7" t="str">
        <f t="shared" si="2"/>
        <v/>
      </c>
      <c r="J273" s="4" t="str">
        <f t="shared" si="10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1"/>
        <v/>
      </c>
      <c r="P273" s="4" t="str">
        <f t="array" ref="P273">XLOOKUP(L273,'Dados Funil'!A:A,'Dados Funil'!AM:AM,"")</f>
        <v/>
      </c>
      <c r="Q273" s="9" t="str">
        <f t="array" ref="Q273">XLOOKUP(L273,'Dados Funil'!A:A,'Dados Funil'!AN:AN,"")</f>
        <v/>
      </c>
      <c r="T273" s="7" t="str">
        <f t="shared" si="4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5"/>
        <v/>
      </c>
      <c r="AA273" s="4" t="str">
        <f t="shared" si="13"/>
        <v/>
      </c>
      <c r="AB273" s="4" t="str">
        <f t="array" ref="AB273">XLOOKUP(X273,'Dados Funil'!A:A,'Dados Funil'!O:O,"")</f>
        <v/>
      </c>
      <c r="AE273" s="7" t="str">
        <f t="shared" si="6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9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G274" s="4"/>
      <c r="H274" s="4"/>
      <c r="I274" s="7" t="str">
        <f t="shared" si="2"/>
        <v/>
      </c>
      <c r="J274" s="4" t="str">
        <f t="shared" si="10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1"/>
        <v/>
      </c>
      <c r="P274" s="4" t="str">
        <f t="array" ref="P274">XLOOKUP(L274,'Dados Funil'!A:A,'Dados Funil'!AM:AM,"")</f>
        <v/>
      </c>
      <c r="Q274" s="9" t="str">
        <f t="array" ref="Q274">XLOOKUP(L274,'Dados Funil'!A:A,'Dados Funil'!AN:AN,"")</f>
        <v/>
      </c>
      <c r="T274" s="7" t="str">
        <f t="shared" si="4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5"/>
        <v/>
      </c>
      <c r="AA274" s="4" t="str">
        <f t="shared" si="13"/>
        <v/>
      </c>
      <c r="AB274" s="4" t="str">
        <f t="array" ref="AB274">XLOOKUP(X274,'Dados Funil'!A:A,'Dados Funil'!O:O,"")</f>
        <v/>
      </c>
      <c r="AE274" s="7" t="str">
        <f t="shared" si="6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9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G275" s="4"/>
      <c r="H275" s="4"/>
      <c r="I275" s="7" t="str">
        <f t="shared" si="2"/>
        <v/>
      </c>
      <c r="J275" s="4" t="str">
        <f t="shared" si="10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1"/>
        <v/>
      </c>
      <c r="P275" s="4" t="str">
        <f t="array" ref="P275">XLOOKUP(L275,'Dados Funil'!A:A,'Dados Funil'!AM:AM,"")</f>
        <v/>
      </c>
      <c r="Q275" s="9" t="str">
        <f t="array" ref="Q275">XLOOKUP(L275,'Dados Funil'!A:A,'Dados Funil'!AN:AN,"")</f>
        <v/>
      </c>
      <c r="T275" s="7" t="str">
        <f t="shared" si="4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5"/>
        <v/>
      </c>
      <c r="AA275" s="4" t="str">
        <f t="shared" si="13"/>
        <v/>
      </c>
      <c r="AB275" s="4" t="str">
        <f t="array" ref="AB275">XLOOKUP(X275,'Dados Funil'!A:A,'Dados Funil'!O:O,"")</f>
        <v/>
      </c>
      <c r="AE275" s="7" t="str">
        <f t="shared" si="6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9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G276" s="4"/>
      <c r="H276" s="4"/>
      <c r="I276" s="7" t="str">
        <f t="shared" si="2"/>
        <v/>
      </c>
      <c r="J276" s="4" t="str">
        <f t="shared" si="10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1"/>
        <v/>
      </c>
      <c r="P276" s="4" t="str">
        <f t="array" ref="P276">XLOOKUP(L276,'Dados Funil'!A:A,'Dados Funil'!AM:AM,"")</f>
        <v/>
      </c>
      <c r="Q276" s="9" t="str">
        <f t="array" ref="Q276">XLOOKUP(L276,'Dados Funil'!A:A,'Dados Funil'!AN:AN,"")</f>
        <v/>
      </c>
      <c r="T276" s="7" t="str">
        <f t="shared" si="4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5"/>
        <v/>
      </c>
      <c r="AA276" s="4" t="str">
        <f t="shared" si="13"/>
        <v/>
      </c>
      <c r="AB276" s="4" t="str">
        <f t="array" ref="AB276">XLOOKUP(X276,'Dados Funil'!A:A,'Dados Funil'!O:O,"")</f>
        <v/>
      </c>
      <c r="AE276" s="7" t="str">
        <f t="shared" si="6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9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G277" s="4"/>
      <c r="H277" s="4"/>
      <c r="I277" s="7" t="str">
        <f t="shared" si="2"/>
        <v/>
      </c>
      <c r="J277" s="4" t="str">
        <f t="shared" si="10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1"/>
        <v/>
      </c>
      <c r="P277" s="4" t="str">
        <f t="array" ref="P277">XLOOKUP(L277,'Dados Funil'!A:A,'Dados Funil'!AM:AM,"")</f>
        <v/>
      </c>
      <c r="Q277" s="9" t="str">
        <f t="array" ref="Q277">XLOOKUP(L277,'Dados Funil'!A:A,'Dados Funil'!AN:AN,"")</f>
        <v/>
      </c>
      <c r="T277" s="7" t="str">
        <f t="shared" si="4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5"/>
        <v/>
      </c>
      <c r="AA277" s="4" t="str">
        <f t="shared" si="13"/>
        <v/>
      </c>
      <c r="AB277" s="4" t="str">
        <f t="array" ref="AB277">XLOOKUP(X277,'Dados Funil'!A:A,'Dados Funil'!O:O,"")</f>
        <v/>
      </c>
      <c r="AE277" s="7" t="str">
        <f t="shared" si="6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9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G278" s="4"/>
      <c r="H278" s="4"/>
      <c r="I278" s="7" t="str">
        <f t="shared" si="2"/>
        <v/>
      </c>
      <c r="J278" s="4" t="str">
        <f t="shared" si="10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1"/>
        <v/>
      </c>
      <c r="P278" s="4" t="str">
        <f t="array" ref="P278">XLOOKUP(L278,'Dados Funil'!A:A,'Dados Funil'!AM:AM,"")</f>
        <v/>
      </c>
      <c r="Q278" s="9" t="str">
        <f t="array" ref="Q278">XLOOKUP(L278,'Dados Funil'!A:A,'Dados Funil'!AN:AN,"")</f>
        <v/>
      </c>
      <c r="T278" s="7" t="str">
        <f t="shared" si="4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5"/>
        <v/>
      </c>
      <c r="AA278" s="4" t="str">
        <f t="shared" si="13"/>
        <v/>
      </c>
      <c r="AB278" s="4" t="str">
        <f t="array" ref="AB278">XLOOKUP(X278,'Dados Funil'!A:A,'Dados Funil'!O:O,"")</f>
        <v/>
      </c>
      <c r="AE278" s="7" t="str">
        <f t="shared" si="6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9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G279" s="4"/>
      <c r="H279" s="4"/>
      <c r="I279" s="7" t="str">
        <f t="shared" si="2"/>
        <v/>
      </c>
      <c r="J279" s="4" t="str">
        <f t="shared" si="10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1"/>
        <v/>
      </c>
      <c r="P279" s="4" t="str">
        <f t="array" ref="P279">XLOOKUP(L279,'Dados Funil'!A:A,'Dados Funil'!AM:AM,"")</f>
        <v/>
      </c>
      <c r="Q279" s="9" t="str">
        <f t="array" ref="Q279">XLOOKUP(L279,'Dados Funil'!A:A,'Dados Funil'!AN:AN,"")</f>
        <v/>
      </c>
      <c r="T279" s="7" t="str">
        <f t="shared" si="4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5"/>
        <v/>
      </c>
      <c r="AA279" s="4" t="str">
        <f t="shared" si="13"/>
        <v/>
      </c>
      <c r="AB279" s="4" t="str">
        <f t="array" ref="AB279">XLOOKUP(X279,'Dados Funil'!A:A,'Dados Funil'!O:O,"")</f>
        <v/>
      </c>
      <c r="AE279" s="7" t="str">
        <f t="shared" si="6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9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G280" s="4"/>
      <c r="H280" s="4"/>
      <c r="I280" s="7" t="str">
        <f t="shared" si="2"/>
        <v/>
      </c>
      <c r="J280" s="4" t="str">
        <f t="shared" si="10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1"/>
        <v/>
      </c>
      <c r="P280" s="4" t="str">
        <f t="array" ref="P280">XLOOKUP(L280,'Dados Funil'!A:A,'Dados Funil'!AM:AM,"")</f>
        <v/>
      </c>
      <c r="Q280" s="9" t="str">
        <f t="array" ref="Q280">XLOOKUP(L280,'Dados Funil'!A:A,'Dados Funil'!AN:AN,"")</f>
        <v/>
      </c>
      <c r="T280" s="7" t="str">
        <f t="shared" si="4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5"/>
        <v/>
      </c>
      <c r="AA280" s="4" t="str">
        <f t="shared" si="13"/>
        <v/>
      </c>
      <c r="AB280" s="4" t="str">
        <f t="array" ref="AB280">XLOOKUP(X280,'Dados Funil'!A:A,'Dados Funil'!O:O,"")</f>
        <v/>
      </c>
      <c r="AE280" s="7" t="str">
        <f t="shared" si="6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9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G281" s="4"/>
      <c r="H281" s="4"/>
      <c r="I281" s="7" t="str">
        <f t="shared" si="2"/>
        <v/>
      </c>
      <c r="J281" s="4" t="str">
        <f t="shared" si="10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1"/>
        <v/>
      </c>
      <c r="P281" s="4" t="str">
        <f t="array" ref="P281">XLOOKUP(L281,'Dados Funil'!A:A,'Dados Funil'!AM:AM,"")</f>
        <v/>
      </c>
      <c r="Q281" s="9" t="str">
        <f t="array" ref="Q281">XLOOKUP(L281,'Dados Funil'!A:A,'Dados Funil'!AN:AN,"")</f>
        <v/>
      </c>
      <c r="T281" s="7" t="str">
        <f t="shared" si="4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5"/>
        <v/>
      </c>
      <c r="AA281" s="4" t="str">
        <f t="shared" si="13"/>
        <v/>
      </c>
      <c r="AB281" s="4" t="str">
        <f t="array" ref="AB281">XLOOKUP(X281,'Dados Funil'!A:A,'Dados Funil'!O:O,"")</f>
        <v/>
      </c>
      <c r="AE281" s="7" t="str">
        <f t="shared" si="6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9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G282" s="4"/>
      <c r="H282" s="4"/>
      <c r="I282" s="7" t="str">
        <f t="shared" si="2"/>
        <v/>
      </c>
      <c r="J282" s="4" t="str">
        <f t="shared" si="10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1"/>
        <v/>
      </c>
      <c r="P282" s="4" t="str">
        <f t="array" ref="P282">XLOOKUP(L282,'Dados Funil'!A:A,'Dados Funil'!AM:AM,"")</f>
        <v/>
      </c>
      <c r="Q282" s="9" t="str">
        <f t="array" ref="Q282">XLOOKUP(L282,'Dados Funil'!A:A,'Dados Funil'!AN:AN,"")</f>
        <v/>
      </c>
      <c r="T282" s="7" t="str">
        <f t="shared" si="4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5"/>
        <v/>
      </c>
      <c r="AA282" s="4" t="str">
        <f t="shared" si="13"/>
        <v/>
      </c>
      <c r="AB282" s="4" t="str">
        <f t="array" ref="AB282">XLOOKUP(X282,'Dados Funil'!A:A,'Dados Funil'!O:O,"")</f>
        <v/>
      </c>
      <c r="AE282" s="7" t="str">
        <f t="shared" si="6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9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G283" s="4"/>
      <c r="H283" s="4"/>
      <c r="I283" s="7" t="str">
        <f t="shared" si="2"/>
        <v/>
      </c>
      <c r="J283" s="4" t="str">
        <f t="shared" si="10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1"/>
        <v/>
      </c>
      <c r="P283" s="4" t="str">
        <f t="array" ref="P283">XLOOKUP(L283,'Dados Funil'!A:A,'Dados Funil'!AM:AM,"")</f>
        <v/>
      </c>
      <c r="Q283" s="9" t="str">
        <f t="array" ref="Q283">XLOOKUP(L283,'Dados Funil'!A:A,'Dados Funil'!AN:AN,"")</f>
        <v/>
      </c>
      <c r="T283" s="7" t="str">
        <f t="shared" si="4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5"/>
        <v/>
      </c>
      <c r="AA283" s="4" t="str">
        <f t="shared" si="13"/>
        <v/>
      </c>
      <c r="AB283" s="4" t="str">
        <f t="array" ref="AB283">XLOOKUP(X283,'Dados Funil'!A:A,'Dados Funil'!O:O,"")</f>
        <v/>
      </c>
      <c r="AE283" s="7" t="str">
        <f t="shared" si="6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9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G284" s="4"/>
      <c r="H284" s="4"/>
      <c r="I284" s="7" t="str">
        <f t="shared" si="2"/>
        <v/>
      </c>
      <c r="J284" s="4" t="str">
        <f t="shared" si="10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1"/>
        <v/>
      </c>
      <c r="P284" s="4" t="str">
        <f t="array" ref="P284">XLOOKUP(L284,'Dados Funil'!A:A,'Dados Funil'!AM:AM,"")</f>
        <v/>
      </c>
      <c r="Q284" s="9" t="str">
        <f t="array" ref="Q284">XLOOKUP(L284,'Dados Funil'!A:A,'Dados Funil'!AN:AN,"")</f>
        <v/>
      </c>
      <c r="T284" s="7" t="str">
        <f t="shared" si="4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5"/>
        <v/>
      </c>
      <c r="AA284" s="4" t="str">
        <f t="shared" si="13"/>
        <v/>
      </c>
      <c r="AB284" s="4" t="str">
        <f t="array" ref="AB284">XLOOKUP(X284,'Dados Funil'!A:A,'Dados Funil'!O:O,"")</f>
        <v/>
      </c>
      <c r="AE284" s="7" t="str">
        <f t="shared" si="6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9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G285" s="4"/>
      <c r="H285" s="4"/>
      <c r="I285" s="7" t="str">
        <f t="shared" si="2"/>
        <v/>
      </c>
      <c r="J285" s="4" t="str">
        <f t="shared" si="10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1"/>
        <v/>
      </c>
      <c r="P285" s="4" t="str">
        <f t="array" ref="P285">XLOOKUP(L285,'Dados Funil'!A:A,'Dados Funil'!AM:AM,"")</f>
        <v/>
      </c>
      <c r="Q285" s="9" t="str">
        <f t="array" ref="Q285">XLOOKUP(L285,'Dados Funil'!A:A,'Dados Funil'!AN:AN,"")</f>
        <v/>
      </c>
      <c r="T285" s="7" t="str">
        <f t="shared" si="4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5"/>
        <v/>
      </c>
      <c r="AA285" s="4" t="str">
        <f t="shared" si="13"/>
        <v/>
      </c>
      <c r="AB285" s="4" t="str">
        <f t="array" ref="AB285">XLOOKUP(X285,'Dados Funil'!A:A,'Dados Funil'!O:O,"")</f>
        <v/>
      </c>
      <c r="AE285" s="7" t="str">
        <f t="shared" si="6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9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G286" s="4"/>
      <c r="H286" s="4"/>
      <c r="I286" s="7" t="str">
        <f t="shared" si="2"/>
        <v/>
      </c>
      <c r="J286" s="4" t="str">
        <f t="shared" si="10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1"/>
        <v/>
      </c>
      <c r="P286" s="4" t="str">
        <f t="array" ref="P286">XLOOKUP(L286,'Dados Funil'!A:A,'Dados Funil'!AM:AM,"")</f>
        <v/>
      </c>
      <c r="Q286" s="9" t="str">
        <f t="array" ref="Q286">XLOOKUP(L286,'Dados Funil'!A:A,'Dados Funil'!AN:AN,"")</f>
        <v/>
      </c>
      <c r="T286" s="7" t="str">
        <f t="shared" si="4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5"/>
        <v/>
      </c>
      <c r="AA286" s="4" t="str">
        <f t="shared" si="13"/>
        <v/>
      </c>
      <c r="AB286" s="4" t="str">
        <f t="array" ref="AB286">XLOOKUP(X286,'Dados Funil'!A:A,'Dados Funil'!O:O,"")</f>
        <v/>
      </c>
      <c r="AE286" s="7" t="str">
        <f t="shared" si="6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9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G287" s="4"/>
      <c r="H287" s="4"/>
      <c r="I287" s="7" t="str">
        <f t="shared" si="2"/>
        <v/>
      </c>
      <c r="J287" s="4" t="str">
        <f t="shared" si="10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1"/>
        <v/>
      </c>
      <c r="P287" s="4" t="str">
        <f t="array" ref="P287">XLOOKUP(L287,'Dados Funil'!A:A,'Dados Funil'!AM:AM,"")</f>
        <v/>
      </c>
      <c r="Q287" s="9" t="str">
        <f t="array" ref="Q287">XLOOKUP(L287,'Dados Funil'!A:A,'Dados Funil'!AN:AN,"")</f>
        <v/>
      </c>
      <c r="T287" s="7" t="str">
        <f t="shared" si="4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5"/>
        <v/>
      </c>
      <c r="AA287" s="4" t="str">
        <f t="shared" si="13"/>
        <v/>
      </c>
      <c r="AB287" s="4" t="str">
        <f t="array" ref="AB287">XLOOKUP(X287,'Dados Funil'!A:A,'Dados Funil'!O:O,"")</f>
        <v/>
      </c>
      <c r="AE287" s="7" t="str">
        <f t="shared" si="6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9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G288" s="4"/>
      <c r="H288" s="4"/>
      <c r="I288" s="7" t="str">
        <f t="shared" si="2"/>
        <v/>
      </c>
      <c r="J288" s="4" t="str">
        <f t="shared" si="10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1"/>
        <v/>
      </c>
      <c r="P288" s="4" t="str">
        <f t="array" ref="P288">XLOOKUP(L288,'Dados Funil'!A:A,'Dados Funil'!AM:AM,"")</f>
        <v/>
      </c>
      <c r="Q288" s="9" t="str">
        <f t="array" ref="Q288">XLOOKUP(L288,'Dados Funil'!A:A,'Dados Funil'!AN:AN,"")</f>
        <v/>
      </c>
      <c r="T288" s="7" t="str">
        <f t="shared" si="4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5"/>
        <v/>
      </c>
      <c r="AA288" s="4" t="str">
        <f t="shared" si="13"/>
        <v/>
      </c>
      <c r="AB288" s="4" t="str">
        <f t="array" ref="AB288">XLOOKUP(X288,'Dados Funil'!A:A,'Dados Funil'!O:O,"")</f>
        <v/>
      </c>
      <c r="AE288" s="7" t="str">
        <f t="shared" si="6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9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G289" s="4"/>
      <c r="H289" s="4"/>
      <c r="I289" s="7" t="str">
        <f t="shared" si="2"/>
        <v/>
      </c>
      <c r="J289" s="4" t="str">
        <f t="shared" si="10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1"/>
        <v/>
      </c>
      <c r="P289" s="4" t="str">
        <f t="array" ref="P289">XLOOKUP(L289,'Dados Funil'!A:A,'Dados Funil'!AM:AM,"")</f>
        <v/>
      </c>
      <c r="Q289" s="9" t="str">
        <f t="array" ref="Q289">XLOOKUP(L289,'Dados Funil'!A:A,'Dados Funil'!AN:AN,"")</f>
        <v/>
      </c>
      <c r="T289" s="7" t="str">
        <f t="shared" si="4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5"/>
        <v/>
      </c>
      <c r="AA289" s="4" t="str">
        <f t="shared" si="13"/>
        <v/>
      </c>
      <c r="AB289" s="4" t="str">
        <f t="array" ref="AB289">XLOOKUP(X289,'Dados Funil'!A:A,'Dados Funil'!O:O,"")</f>
        <v/>
      </c>
      <c r="AE289" s="7" t="str">
        <f t="shared" si="6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9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G290" s="4"/>
      <c r="H290" s="4"/>
      <c r="I290" s="7" t="str">
        <f t="shared" si="2"/>
        <v/>
      </c>
      <c r="J290" s="4" t="str">
        <f t="shared" si="10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1"/>
        <v/>
      </c>
      <c r="P290" s="4" t="str">
        <f t="array" ref="P290">XLOOKUP(L290,'Dados Funil'!A:A,'Dados Funil'!AM:AM,"")</f>
        <v/>
      </c>
      <c r="Q290" s="9" t="str">
        <f t="array" ref="Q290">XLOOKUP(L290,'Dados Funil'!A:A,'Dados Funil'!AN:AN,"")</f>
        <v/>
      </c>
      <c r="T290" s="7" t="str">
        <f t="shared" si="4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5"/>
        <v/>
      </c>
      <c r="AA290" s="4" t="str">
        <f t="shared" si="13"/>
        <v/>
      </c>
      <c r="AB290" s="4" t="str">
        <f t="array" ref="AB290">XLOOKUP(X290,'Dados Funil'!A:A,'Dados Funil'!O:O,"")</f>
        <v/>
      </c>
      <c r="AE290" s="7" t="str">
        <f t="shared" si="6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9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G291" s="4"/>
      <c r="H291" s="4"/>
      <c r="I291" s="7" t="str">
        <f t="shared" si="2"/>
        <v/>
      </c>
      <c r="J291" s="4" t="str">
        <f t="shared" si="10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1"/>
        <v/>
      </c>
      <c r="P291" s="4" t="str">
        <f t="array" ref="P291">XLOOKUP(L291,'Dados Funil'!A:A,'Dados Funil'!AM:AM,"")</f>
        <v/>
      </c>
      <c r="Q291" s="9" t="str">
        <f t="array" ref="Q291">XLOOKUP(L291,'Dados Funil'!A:A,'Dados Funil'!AN:AN,"")</f>
        <v/>
      </c>
      <c r="T291" s="7" t="str">
        <f t="shared" si="4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5"/>
        <v/>
      </c>
      <c r="AA291" s="4" t="str">
        <f t="shared" si="13"/>
        <v/>
      </c>
      <c r="AB291" s="4" t="str">
        <f t="array" ref="AB291">XLOOKUP(X291,'Dados Funil'!A:A,'Dados Funil'!O:O,"")</f>
        <v/>
      </c>
      <c r="AE291" s="7" t="str">
        <f t="shared" si="6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9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G292" s="4"/>
      <c r="H292" s="4"/>
      <c r="I292" s="7" t="str">
        <f t="shared" si="2"/>
        <v/>
      </c>
      <c r="J292" s="4" t="str">
        <f t="shared" si="10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1"/>
        <v/>
      </c>
      <c r="P292" s="4" t="str">
        <f t="array" ref="P292">XLOOKUP(L292,'Dados Funil'!A:A,'Dados Funil'!AM:AM,"")</f>
        <v/>
      </c>
      <c r="Q292" s="9" t="str">
        <f t="array" ref="Q292">XLOOKUP(L292,'Dados Funil'!A:A,'Dados Funil'!AN:AN,"")</f>
        <v/>
      </c>
      <c r="T292" s="7" t="str">
        <f t="shared" si="4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5"/>
        <v/>
      </c>
      <c r="AA292" s="4" t="str">
        <f t="shared" si="13"/>
        <v/>
      </c>
      <c r="AB292" s="4" t="str">
        <f t="array" ref="AB292">XLOOKUP(X292,'Dados Funil'!A:A,'Dados Funil'!O:O,"")</f>
        <v/>
      </c>
      <c r="AE292" s="7" t="str">
        <f t="shared" si="6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9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G293" s="4"/>
      <c r="H293" s="4"/>
      <c r="I293" s="7" t="str">
        <f t="shared" si="2"/>
        <v/>
      </c>
      <c r="J293" s="4" t="str">
        <f t="shared" si="10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1"/>
        <v/>
      </c>
      <c r="P293" s="4" t="str">
        <f t="array" ref="P293">XLOOKUP(L293,'Dados Funil'!A:A,'Dados Funil'!AM:AM,"")</f>
        <v/>
      </c>
      <c r="Q293" s="9" t="str">
        <f t="array" ref="Q293">XLOOKUP(L293,'Dados Funil'!A:A,'Dados Funil'!AN:AN,"")</f>
        <v/>
      </c>
      <c r="T293" s="7" t="str">
        <f t="shared" si="4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5"/>
        <v/>
      </c>
      <c r="AA293" s="4" t="str">
        <f t="shared" si="13"/>
        <v/>
      </c>
      <c r="AB293" s="4" t="str">
        <f t="array" ref="AB293">XLOOKUP(X293,'Dados Funil'!A:A,'Dados Funil'!O:O,"")</f>
        <v/>
      </c>
      <c r="AE293" s="7" t="str">
        <f t="shared" si="6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9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G294" s="4"/>
      <c r="H294" s="4"/>
      <c r="I294" s="7" t="str">
        <f t="shared" si="2"/>
        <v/>
      </c>
      <c r="J294" s="4" t="str">
        <f t="shared" si="10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1"/>
        <v/>
      </c>
      <c r="P294" s="4" t="str">
        <f t="array" ref="P294">XLOOKUP(L294,'Dados Funil'!A:A,'Dados Funil'!AM:AM,"")</f>
        <v/>
      </c>
      <c r="Q294" s="9" t="str">
        <f t="array" ref="Q294">XLOOKUP(L294,'Dados Funil'!A:A,'Dados Funil'!AN:AN,"")</f>
        <v/>
      </c>
      <c r="T294" s="7" t="str">
        <f t="shared" si="4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5"/>
        <v/>
      </c>
      <c r="AA294" s="4" t="str">
        <f t="shared" si="13"/>
        <v/>
      </c>
      <c r="AB294" s="4" t="str">
        <f t="array" ref="AB294">XLOOKUP(X294,'Dados Funil'!A:A,'Dados Funil'!O:O,"")</f>
        <v/>
      </c>
      <c r="AE294" s="7" t="str">
        <f t="shared" si="6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9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G295" s="4"/>
      <c r="H295" s="4"/>
      <c r="I295" s="7" t="str">
        <f t="shared" si="2"/>
        <v/>
      </c>
      <c r="J295" s="4" t="str">
        <f t="shared" si="10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1"/>
        <v/>
      </c>
      <c r="P295" s="4" t="str">
        <f t="array" ref="P295">XLOOKUP(L295,'Dados Funil'!A:A,'Dados Funil'!AM:AM,"")</f>
        <v/>
      </c>
      <c r="Q295" s="9" t="str">
        <f t="array" ref="Q295">XLOOKUP(L295,'Dados Funil'!A:A,'Dados Funil'!AN:AN,"")</f>
        <v/>
      </c>
      <c r="T295" s="7" t="str">
        <f t="shared" si="4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5"/>
        <v/>
      </c>
      <c r="AA295" s="4" t="str">
        <f t="shared" si="13"/>
        <v/>
      </c>
      <c r="AB295" s="4" t="str">
        <f t="array" ref="AB295">XLOOKUP(X295,'Dados Funil'!A:A,'Dados Funil'!O:O,"")</f>
        <v/>
      </c>
      <c r="AE295" s="7" t="str">
        <f t="shared" si="6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9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G296" s="4"/>
      <c r="H296" s="4"/>
      <c r="I296" s="7" t="str">
        <f t="shared" si="2"/>
        <v/>
      </c>
      <c r="J296" s="4" t="str">
        <f t="shared" si="10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1"/>
        <v/>
      </c>
      <c r="P296" s="4" t="str">
        <f t="array" ref="P296">XLOOKUP(L296,'Dados Funil'!A:A,'Dados Funil'!AM:AM,"")</f>
        <v/>
      </c>
      <c r="Q296" s="9" t="str">
        <f t="array" ref="Q296">XLOOKUP(L296,'Dados Funil'!A:A,'Dados Funil'!AN:AN,"")</f>
        <v/>
      </c>
      <c r="T296" s="7" t="str">
        <f t="shared" si="4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5"/>
        <v/>
      </c>
      <c r="AA296" s="4" t="str">
        <f t="shared" si="13"/>
        <v/>
      </c>
      <c r="AB296" s="4" t="str">
        <f t="array" ref="AB296">XLOOKUP(X296,'Dados Funil'!A:A,'Dados Funil'!O:O,"")</f>
        <v/>
      </c>
      <c r="AE296" s="7" t="str">
        <f t="shared" si="6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9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G297" s="4"/>
      <c r="H297" s="4"/>
      <c r="I297" s="7" t="str">
        <f t="shared" si="2"/>
        <v/>
      </c>
      <c r="J297" s="4" t="str">
        <f t="shared" si="10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1"/>
        <v/>
      </c>
      <c r="P297" s="4" t="str">
        <f t="array" ref="P297">XLOOKUP(L297,'Dados Funil'!A:A,'Dados Funil'!AM:AM,"")</f>
        <v/>
      </c>
      <c r="Q297" s="9" t="str">
        <f t="array" ref="Q297">XLOOKUP(L297,'Dados Funil'!A:A,'Dados Funil'!AN:AN,"")</f>
        <v/>
      </c>
      <c r="T297" s="7" t="str">
        <f t="shared" si="4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5"/>
        <v/>
      </c>
      <c r="AA297" s="4" t="str">
        <f t="shared" si="13"/>
        <v/>
      </c>
      <c r="AB297" s="4" t="str">
        <f t="array" ref="AB297">XLOOKUP(X297,'Dados Funil'!A:A,'Dados Funil'!O:O,"")</f>
        <v/>
      </c>
      <c r="AE297" s="7" t="str">
        <f t="shared" si="6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9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G298" s="4"/>
      <c r="H298" s="4"/>
      <c r="I298" s="7" t="str">
        <f t="shared" si="2"/>
        <v/>
      </c>
      <c r="J298" s="4" t="str">
        <f t="shared" si="10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1"/>
        <v/>
      </c>
      <c r="P298" s="4" t="str">
        <f t="array" ref="P298">XLOOKUP(L298,'Dados Funil'!A:A,'Dados Funil'!AM:AM,"")</f>
        <v/>
      </c>
      <c r="Q298" s="9" t="str">
        <f t="array" ref="Q298">XLOOKUP(L298,'Dados Funil'!A:A,'Dados Funil'!AN:AN,"")</f>
        <v/>
      </c>
      <c r="T298" s="7" t="str">
        <f t="shared" si="4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5"/>
        <v/>
      </c>
      <c r="AA298" s="4" t="str">
        <f t="shared" si="13"/>
        <v/>
      </c>
      <c r="AB298" s="4" t="str">
        <f t="array" ref="AB298">XLOOKUP(X298,'Dados Funil'!A:A,'Dados Funil'!O:O,"")</f>
        <v/>
      </c>
      <c r="AE298" s="7" t="str">
        <f t="shared" si="6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9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G299" s="4"/>
      <c r="H299" s="4"/>
      <c r="I299" s="7" t="str">
        <f t="shared" si="2"/>
        <v/>
      </c>
      <c r="J299" s="4" t="str">
        <f t="shared" si="10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1"/>
        <v/>
      </c>
      <c r="P299" s="4" t="str">
        <f t="array" ref="P299">XLOOKUP(L299,'Dados Funil'!A:A,'Dados Funil'!AM:AM,"")</f>
        <v/>
      </c>
      <c r="Q299" s="9" t="str">
        <f t="array" ref="Q299">XLOOKUP(L299,'Dados Funil'!A:A,'Dados Funil'!AN:AN,"")</f>
        <v/>
      </c>
      <c r="T299" s="7" t="str">
        <f t="shared" si="4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5"/>
        <v/>
      </c>
      <c r="AA299" s="4" t="str">
        <f t="shared" si="13"/>
        <v/>
      </c>
      <c r="AB299" s="4" t="str">
        <f t="array" ref="AB299">XLOOKUP(X299,'Dados Funil'!A:A,'Dados Funil'!O:O,"")</f>
        <v/>
      </c>
      <c r="AE299" s="7" t="str">
        <f t="shared" si="6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9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G300" s="4"/>
      <c r="H300" s="4"/>
      <c r="I300" s="7" t="str">
        <f t="shared" si="2"/>
        <v/>
      </c>
      <c r="J300" s="4" t="str">
        <f t="shared" si="10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1"/>
        <v/>
      </c>
      <c r="P300" s="4" t="str">
        <f t="array" ref="P300">XLOOKUP(L300,'Dados Funil'!A:A,'Dados Funil'!AM:AM,"")</f>
        <v/>
      </c>
      <c r="Q300" s="9" t="str">
        <f t="array" ref="Q300">XLOOKUP(L300,'Dados Funil'!A:A,'Dados Funil'!AN:AN,"")</f>
        <v/>
      </c>
      <c r="T300" s="7" t="str">
        <f t="shared" si="4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5"/>
        <v/>
      </c>
      <c r="AA300" s="4" t="str">
        <f t="shared" si="13"/>
        <v/>
      </c>
      <c r="AB300" s="4" t="str">
        <f t="array" ref="AB300">XLOOKUP(X300,'Dados Funil'!A:A,'Dados Funil'!O:O,"")</f>
        <v/>
      </c>
      <c r="AE300" s="7" t="str">
        <f t="shared" si="6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9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G301" s="4"/>
      <c r="H301" s="4"/>
      <c r="I301" s="7" t="str">
        <f t="shared" si="2"/>
        <v/>
      </c>
      <c r="J301" s="4" t="str">
        <f t="shared" si="10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1"/>
        <v/>
      </c>
      <c r="P301" s="4" t="str">
        <f t="array" ref="P301">XLOOKUP(L301,'Dados Funil'!A:A,'Dados Funil'!AM:AM,"")</f>
        <v/>
      </c>
      <c r="Q301" s="9" t="str">
        <f t="array" ref="Q301">XLOOKUP(L301,'Dados Funil'!A:A,'Dados Funil'!AN:AN,"")</f>
        <v/>
      </c>
      <c r="T301" s="7" t="str">
        <f t="shared" si="4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5"/>
        <v/>
      </c>
      <c r="AA301" s="4" t="str">
        <f t="shared" si="13"/>
        <v/>
      </c>
      <c r="AB301" s="4" t="str">
        <f t="array" ref="AB301">XLOOKUP(X301,'Dados Funil'!A:A,'Dados Funil'!O:O,"")</f>
        <v/>
      </c>
      <c r="AE301" s="7" t="str">
        <f t="shared" si="6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9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G302" s="4"/>
      <c r="H302" s="4"/>
      <c r="I302" s="7" t="str">
        <f t="shared" si="2"/>
        <v/>
      </c>
      <c r="J302" s="4" t="str">
        <f t="shared" si="10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1"/>
        <v/>
      </c>
      <c r="P302" s="4" t="str">
        <f t="array" ref="P302">XLOOKUP(L302,'Dados Funil'!A:A,'Dados Funil'!AM:AM,"")</f>
        <v/>
      </c>
      <c r="Q302" s="9" t="str">
        <f t="array" ref="Q302">XLOOKUP(L302,'Dados Funil'!A:A,'Dados Funil'!AN:AN,"")</f>
        <v/>
      </c>
      <c r="T302" s="7" t="str">
        <f t="shared" si="4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5"/>
        <v/>
      </c>
      <c r="AA302" s="4" t="str">
        <f t="shared" si="13"/>
        <v/>
      </c>
      <c r="AB302" s="4" t="str">
        <f t="array" ref="AB302">XLOOKUP(X302,'Dados Funil'!A:A,'Dados Funil'!O:O,"")</f>
        <v/>
      </c>
      <c r="AE302" s="7" t="str">
        <f t="shared" si="6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9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G303" s="4"/>
      <c r="H303" s="4"/>
      <c r="I303" s="7" t="str">
        <f t="shared" si="2"/>
        <v/>
      </c>
      <c r="J303" s="4" t="str">
        <f t="shared" si="10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1"/>
        <v/>
      </c>
      <c r="P303" s="4" t="str">
        <f t="array" ref="P303">XLOOKUP(L303,'Dados Funil'!A:A,'Dados Funil'!AM:AM,"")</f>
        <v/>
      </c>
      <c r="Q303" s="9" t="str">
        <f t="array" ref="Q303">XLOOKUP(L303,'Dados Funil'!A:A,'Dados Funil'!AN:AN,"")</f>
        <v/>
      </c>
      <c r="T303" s="7" t="str">
        <f t="shared" si="4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5"/>
        <v/>
      </c>
      <c r="AA303" s="4" t="str">
        <f t="shared" si="13"/>
        <v/>
      </c>
      <c r="AB303" s="4" t="str">
        <f t="array" ref="AB303">XLOOKUP(X303,'Dados Funil'!A:A,'Dados Funil'!O:O,"")</f>
        <v/>
      </c>
      <c r="AE303" s="7" t="str">
        <f t="shared" si="6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9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G304" s="4"/>
      <c r="H304" s="4"/>
      <c r="I304" s="7" t="str">
        <f t="shared" si="2"/>
        <v/>
      </c>
      <c r="J304" s="4" t="str">
        <f t="shared" si="10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1"/>
        <v/>
      </c>
      <c r="P304" s="4" t="str">
        <f t="array" ref="P304">XLOOKUP(L304,'Dados Funil'!A:A,'Dados Funil'!AM:AM,"")</f>
        <v/>
      </c>
      <c r="Q304" s="9" t="str">
        <f t="array" ref="Q304">XLOOKUP(L304,'Dados Funil'!A:A,'Dados Funil'!AN:AN,"")</f>
        <v/>
      </c>
      <c r="T304" s="7" t="str">
        <f t="shared" si="4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5"/>
        <v/>
      </c>
      <c r="AA304" s="4" t="str">
        <f t="shared" si="13"/>
        <v/>
      </c>
      <c r="AB304" s="4" t="str">
        <f t="array" ref="AB304">XLOOKUP(X304,'Dados Funil'!A:A,'Dados Funil'!O:O,"")</f>
        <v/>
      </c>
      <c r="AE304" s="7" t="str">
        <f t="shared" si="6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9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G305" s="4"/>
      <c r="H305" s="4"/>
      <c r="I305" s="7" t="str">
        <f t="shared" si="2"/>
        <v/>
      </c>
      <c r="J305" s="4" t="str">
        <f t="shared" si="10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1"/>
        <v/>
      </c>
      <c r="P305" s="4" t="str">
        <f t="array" ref="P305">XLOOKUP(L305,'Dados Funil'!A:A,'Dados Funil'!AM:AM,"")</f>
        <v/>
      </c>
      <c r="Q305" s="9" t="str">
        <f t="array" ref="Q305">XLOOKUP(L305,'Dados Funil'!A:A,'Dados Funil'!AN:AN,"")</f>
        <v/>
      </c>
      <c r="T305" s="7" t="str">
        <f t="shared" si="4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5"/>
        <v/>
      </c>
      <c r="AA305" s="4" t="str">
        <f t="shared" si="13"/>
        <v/>
      </c>
      <c r="AB305" s="4" t="str">
        <f t="array" ref="AB305">XLOOKUP(X305,'Dados Funil'!A:A,'Dados Funil'!O:O,"")</f>
        <v/>
      </c>
      <c r="AE305" s="7" t="str">
        <f t="shared" si="6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9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G306" s="4"/>
      <c r="H306" s="4"/>
      <c r="I306" s="7" t="str">
        <f t="shared" si="2"/>
        <v/>
      </c>
      <c r="J306" s="4" t="str">
        <f t="shared" si="10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1"/>
        <v/>
      </c>
      <c r="P306" s="4" t="str">
        <f t="array" ref="P306">XLOOKUP(L306,'Dados Funil'!A:A,'Dados Funil'!AM:AM,"")</f>
        <v/>
      </c>
      <c r="Q306" s="9" t="str">
        <f t="array" ref="Q306">XLOOKUP(L306,'Dados Funil'!A:A,'Dados Funil'!AN:AN,"")</f>
        <v/>
      </c>
      <c r="T306" s="7" t="str">
        <f t="shared" si="4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5"/>
        <v/>
      </c>
      <c r="AA306" s="4" t="str">
        <f t="shared" si="13"/>
        <v/>
      </c>
      <c r="AB306" s="4" t="str">
        <f t="array" ref="AB306">XLOOKUP(X306,'Dados Funil'!A:A,'Dados Funil'!O:O,"")</f>
        <v/>
      </c>
      <c r="AE306" s="7" t="str">
        <f t="shared" si="6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9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G307" s="4"/>
      <c r="H307" s="4"/>
      <c r="I307" s="7" t="str">
        <f t="shared" si="2"/>
        <v/>
      </c>
      <c r="J307" s="4" t="str">
        <f t="shared" si="10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1"/>
        <v/>
      </c>
      <c r="P307" s="4" t="str">
        <f t="array" ref="P307">XLOOKUP(L307,'Dados Funil'!A:A,'Dados Funil'!AM:AM,"")</f>
        <v/>
      </c>
      <c r="Q307" s="9" t="str">
        <f t="array" ref="Q307">XLOOKUP(L307,'Dados Funil'!A:A,'Dados Funil'!AN:AN,"")</f>
        <v/>
      </c>
      <c r="T307" s="7" t="str">
        <f t="shared" si="4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5"/>
        <v/>
      </c>
      <c r="AA307" s="4" t="str">
        <f t="shared" si="13"/>
        <v/>
      </c>
      <c r="AB307" s="4" t="str">
        <f t="array" ref="AB307">XLOOKUP(X307,'Dados Funil'!A:A,'Dados Funil'!O:O,"")</f>
        <v/>
      </c>
      <c r="AE307" s="7" t="str">
        <f t="shared" si="6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9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G308" s="4"/>
      <c r="H308" s="4"/>
      <c r="I308" s="7" t="str">
        <f t="shared" si="2"/>
        <v/>
      </c>
      <c r="J308" s="4" t="str">
        <f t="shared" si="10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1"/>
        <v/>
      </c>
      <c r="P308" s="4" t="str">
        <f t="array" ref="P308">XLOOKUP(L308,'Dados Funil'!A:A,'Dados Funil'!AM:AM,"")</f>
        <v/>
      </c>
      <c r="Q308" s="9" t="str">
        <f t="array" ref="Q308">XLOOKUP(L308,'Dados Funil'!A:A,'Dados Funil'!AN:AN,"")</f>
        <v/>
      </c>
      <c r="T308" s="7" t="str">
        <f t="shared" si="4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5"/>
        <v/>
      </c>
      <c r="AA308" s="4" t="str">
        <f t="shared" si="13"/>
        <v/>
      </c>
      <c r="AB308" s="4" t="str">
        <f t="array" ref="AB308">XLOOKUP(X308,'Dados Funil'!A:A,'Dados Funil'!O:O,"")</f>
        <v/>
      </c>
      <c r="AE308" s="7" t="str">
        <f t="shared" si="6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9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G309" s="4"/>
      <c r="H309" s="4"/>
      <c r="I309" s="7" t="str">
        <f t="shared" si="2"/>
        <v/>
      </c>
      <c r="J309" s="4" t="str">
        <f t="shared" si="10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1"/>
        <v/>
      </c>
      <c r="P309" s="4" t="str">
        <f t="array" ref="P309">XLOOKUP(L309,'Dados Funil'!A:A,'Dados Funil'!AM:AM,"")</f>
        <v/>
      </c>
      <c r="Q309" s="9" t="str">
        <f t="array" ref="Q309">XLOOKUP(L309,'Dados Funil'!A:A,'Dados Funil'!AN:AN,"")</f>
        <v/>
      </c>
      <c r="T309" s="7" t="str">
        <f t="shared" si="4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5"/>
        <v/>
      </c>
      <c r="AA309" s="4" t="str">
        <f t="shared" si="13"/>
        <v/>
      </c>
      <c r="AB309" s="4" t="str">
        <f t="array" ref="AB309">XLOOKUP(X309,'Dados Funil'!A:A,'Dados Funil'!O:O,"")</f>
        <v/>
      </c>
      <c r="AE309" s="7" t="str">
        <f t="shared" si="6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9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G310" s="4"/>
      <c r="H310" s="4"/>
      <c r="I310" s="7" t="str">
        <f t="shared" si="2"/>
        <v/>
      </c>
      <c r="J310" s="4" t="str">
        <f t="shared" si="10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1"/>
        <v/>
      </c>
      <c r="P310" s="4" t="str">
        <f t="array" ref="P310">XLOOKUP(L310,'Dados Funil'!A:A,'Dados Funil'!AM:AM,"")</f>
        <v/>
      </c>
      <c r="Q310" s="9" t="str">
        <f t="array" ref="Q310">XLOOKUP(L310,'Dados Funil'!A:A,'Dados Funil'!AN:AN,"")</f>
        <v/>
      </c>
      <c r="T310" s="7" t="str">
        <f t="shared" si="4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5"/>
        <v/>
      </c>
      <c r="AA310" s="4" t="str">
        <f t="shared" si="13"/>
        <v/>
      </c>
      <c r="AB310" s="4" t="str">
        <f t="array" ref="AB310">XLOOKUP(X310,'Dados Funil'!A:A,'Dados Funil'!O:O,"")</f>
        <v/>
      </c>
      <c r="AE310" s="7" t="str">
        <f t="shared" si="6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9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G311" s="4"/>
      <c r="H311" s="4"/>
      <c r="I311" s="7" t="str">
        <f t="shared" si="2"/>
        <v/>
      </c>
      <c r="J311" s="4" t="str">
        <f t="shared" si="10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1"/>
        <v/>
      </c>
      <c r="P311" s="4" t="str">
        <f t="array" ref="P311">XLOOKUP(L311,'Dados Funil'!A:A,'Dados Funil'!AM:AM,"")</f>
        <v/>
      </c>
      <c r="Q311" s="9" t="str">
        <f t="array" ref="Q311">XLOOKUP(L311,'Dados Funil'!A:A,'Dados Funil'!AN:AN,"")</f>
        <v/>
      </c>
      <c r="T311" s="7" t="str">
        <f t="shared" si="4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5"/>
        <v/>
      </c>
      <c r="AA311" s="4" t="str">
        <f t="shared" si="13"/>
        <v/>
      </c>
      <c r="AB311" s="4" t="str">
        <f t="array" ref="AB311">XLOOKUP(X311,'Dados Funil'!A:A,'Dados Funil'!O:O,"")</f>
        <v/>
      </c>
      <c r="AE311" s="7" t="str">
        <f t="shared" si="6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9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G312" s="4"/>
      <c r="H312" s="4"/>
      <c r="I312" s="7" t="str">
        <f t="shared" si="2"/>
        <v/>
      </c>
      <c r="J312" s="4" t="str">
        <f t="shared" si="10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1"/>
        <v/>
      </c>
      <c r="P312" s="4" t="str">
        <f t="array" ref="P312">XLOOKUP(L312,'Dados Funil'!A:A,'Dados Funil'!AM:AM,"")</f>
        <v/>
      </c>
      <c r="Q312" s="9" t="str">
        <f t="array" ref="Q312">XLOOKUP(L312,'Dados Funil'!A:A,'Dados Funil'!AN:AN,"")</f>
        <v/>
      </c>
      <c r="T312" s="7" t="str">
        <f t="shared" si="4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5"/>
        <v/>
      </c>
      <c r="AA312" s="4" t="str">
        <f t="shared" si="13"/>
        <v/>
      </c>
      <c r="AB312" s="4" t="str">
        <f t="array" ref="AB312">XLOOKUP(X312,'Dados Funil'!A:A,'Dados Funil'!O:O,"")</f>
        <v/>
      </c>
      <c r="AE312" s="7" t="str">
        <f t="shared" si="6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9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G313" s="4"/>
      <c r="H313" s="4"/>
      <c r="I313" s="7" t="str">
        <f t="shared" si="2"/>
        <v/>
      </c>
      <c r="J313" s="4" t="str">
        <f t="shared" si="10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1"/>
        <v/>
      </c>
      <c r="P313" s="4" t="str">
        <f t="array" ref="P313">XLOOKUP(L313,'Dados Funil'!A:A,'Dados Funil'!AM:AM,"")</f>
        <v/>
      </c>
      <c r="Q313" s="9" t="str">
        <f t="array" ref="Q313">XLOOKUP(L313,'Dados Funil'!A:A,'Dados Funil'!AN:AN,"")</f>
        <v/>
      </c>
      <c r="T313" s="7" t="str">
        <f t="shared" si="4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5"/>
        <v/>
      </c>
      <c r="AA313" s="4" t="str">
        <f t="shared" si="13"/>
        <v/>
      </c>
      <c r="AB313" s="4" t="str">
        <f t="array" ref="AB313">XLOOKUP(X313,'Dados Funil'!A:A,'Dados Funil'!O:O,"")</f>
        <v/>
      </c>
      <c r="AE313" s="7" t="str">
        <f t="shared" si="6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9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G314" s="4"/>
      <c r="H314" s="4"/>
      <c r="I314" s="7" t="str">
        <f t="shared" si="2"/>
        <v/>
      </c>
      <c r="J314" s="4" t="str">
        <f t="shared" si="10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1"/>
        <v/>
      </c>
      <c r="P314" s="4" t="str">
        <f t="array" ref="P314">XLOOKUP(L314,'Dados Funil'!A:A,'Dados Funil'!AM:AM,"")</f>
        <v/>
      </c>
      <c r="Q314" s="9" t="str">
        <f t="array" ref="Q314">XLOOKUP(L314,'Dados Funil'!A:A,'Dados Funil'!AN:AN,"")</f>
        <v/>
      </c>
      <c r="T314" s="7" t="str">
        <f t="shared" si="4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5"/>
        <v/>
      </c>
      <c r="AA314" s="4" t="str">
        <f t="shared" si="13"/>
        <v/>
      </c>
      <c r="AB314" s="4" t="str">
        <f t="array" ref="AB314">XLOOKUP(X314,'Dados Funil'!A:A,'Dados Funil'!O:O,"")</f>
        <v/>
      </c>
      <c r="AE314" s="7" t="str">
        <f t="shared" si="6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9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G315" s="4"/>
      <c r="H315" s="4"/>
      <c r="I315" s="7" t="str">
        <f t="shared" si="2"/>
        <v/>
      </c>
      <c r="J315" s="4" t="str">
        <f t="shared" si="10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1"/>
        <v/>
      </c>
      <c r="P315" s="4" t="str">
        <f t="array" ref="P315">XLOOKUP(L315,'Dados Funil'!A:A,'Dados Funil'!AM:AM,"")</f>
        <v/>
      </c>
      <c r="Q315" s="9" t="str">
        <f t="array" ref="Q315">XLOOKUP(L315,'Dados Funil'!A:A,'Dados Funil'!AN:AN,"")</f>
        <v/>
      </c>
      <c r="T315" s="7" t="str">
        <f t="shared" si="4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5"/>
        <v/>
      </c>
      <c r="AA315" s="4" t="str">
        <f t="shared" si="13"/>
        <v/>
      </c>
      <c r="AB315" s="4" t="str">
        <f t="array" ref="AB315">XLOOKUP(X315,'Dados Funil'!A:A,'Dados Funil'!O:O,"")</f>
        <v/>
      </c>
      <c r="AE315" s="7" t="str">
        <f t="shared" si="6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9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G316" s="4"/>
      <c r="H316" s="4"/>
      <c r="I316" s="7" t="str">
        <f t="shared" si="2"/>
        <v/>
      </c>
      <c r="J316" s="4" t="str">
        <f t="shared" si="10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1"/>
        <v/>
      </c>
      <c r="P316" s="4" t="str">
        <f t="array" ref="P316">XLOOKUP(L316,'Dados Funil'!A:A,'Dados Funil'!AM:AM,"")</f>
        <v/>
      </c>
      <c r="Q316" s="9" t="str">
        <f t="array" ref="Q316">XLOOKUP(L316,'Dados Funil'!A:A,'Dados Funil'!AN:AN,"")</f>
        <v/>
      </c>
      <c r="T316" s="7" t="str">
        <f t="shared" si="4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5"/>
        <v/>
      </c>
      <c r="AA316" s="4" t="str">
        <f t="shared" si="13"/>
        <v/>
      </c>
      <c r="AB316" s="4" t="str">
        <f t="array" ref="AB316">XLOOKUP(X316,'Dados Funil'!A:A,'Dados Funil'!O:O,"")</f>
        <v/>
      </c>
      <c r="AE316" s="7" t="str">
        <f t="shared" si="6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9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G317" s="4"/>
      <c r="H317" s="4"/>
      <c r="I317" s="7" t="str">
        <f t="shared" si="2"/>
        <v/>
      </c>
      <c r="J317" s="4" t="str">
        <f t="shared" si="10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1"/>
        <v/>
      </c>
      <c r="P317" s="4" t="str">
        <f t="array" ref="P317">XLOOKUP(L317,'Dados Funil'!A:A,'Dados Funil'!AM:AM,"")</f>
        <v/>
      </c>
      <c r="Q317" s="9" t="str">
        <f t="array" ref="Q317">XLOOKUP(L317,'Dados Funil'!A:A,'Dados Funil'!AN:AN,"")</f>
        <v/>
      </c>
      <c r="T317" s="7" t="str">
        <f t="shared" si="4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5"/>
        <v/>
      </c>
      <c r="AA317" s="4" t="str">
        <f t="shared" si="13"/>
        <v/>
      </c>
      <c r="AB317" s="4" t="str">
        <f t="array" ref="AB317">XLOOKUP(X317,'Dados Funil'!A:A,'Dados Funil'!O:O,"")</f>
        <v/>
      </c>
      <c r="AE317" s="7" t="str">
        <f t="shared" si="6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9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G318" s="4"/>
      <c r="H318" s="4"/>
      <c r="I318" s="7" t="str">
        <f t="shared" si="2"/>
        <v/>
      </c>
      <c r="J318" s="4" t="str">
        <f t="shared" si="10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1"/>
        <v/>
      </c>
      <c r="P318" s="4" t="str">
        <f t="array" ref="P318">XLOOKUP(L318,'Dados Funil'!A:A,'Dados Funil'!AM:AM,"")</f>
        <v/>
      </c>
      <c r="Q318" s="9" t="str">
        <f t="array" ref="Q318">XLOOKUP(L318,'Dados Funil'!A:A,'Dados Funil'!AN:AN,"")</f>
        <v/>
      </c>
      <c r="T318" s="7" t="str">
        <f t="shared" si="4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5"/>
        <v/>
      </c>
      <c r="AA318" s="4" t="str">
        <f t="shared" si="13"/>
        <v/>
      </c>
      <c r="AB318" s="4" t="str">
        <f t="array" ref="AB318">XLOOKUP(X318,'Dados Funil'!A:A,'Dados Funil'!O:O,"")</f>
        <v/>
      </c>
      <c r="AE318" s="7" t="str">
        <f t="shared" si="6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9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G319" s="4"/>
      <c r="H319" s="4"/>
      <c r="I319" s="7" t="str">
        <f t="shared" si="2"/>
        <v/>
      </c>
      <c r="J319" s="4" t="str">
        <f t="shared" si="10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1"/>
        <v/>
      </c>
      <c r="P319" s="4" t="str">
        <f t="array" ref="P319">XLOOKUP(L319,'Dados Funil'!A:A,'Dados Funil'!AM:AM,"")</f>
        <v/>
      </c>
      <c r="Q319" s="9" t="str">
        <f t="array" ref="Q319">XLOOKUP(L319,'Dados Funil'!A:A,'Dados Funil'!AN:AN,"")</f>
        <v/>
      </c>
      <c r="T319" s="7" t="str">
        <f t="shared" si="4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5"/>
        <v/>
      </c>
      <c r="AA319" s="4" t="str">
        <f t="shared" si="13"/>
        <v/>
      </c>
      <c r="AB319" s="4" t="str">
        <f t="array" ref="AB319">XLOOKUP(X319,'Dados Funil'!A:A,'Dados Funil'!O:O,"")</f>
        <v/>
      </c>
      <c r="AE319" s="7" t="str">
        <f t="shared" si="6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9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G320" s="4"/>
      <c r="H320" s="4"/>
      <c r="I320" s="7" t="str">
        <f t="shared" si="2"/>
        <v/>
      </c>
      <c r="J320" s="4" t="str">
        <f t="shared" si="10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1"/>
        <v/>
      </c>
      <c r="P320" s="4" t="str">
        <f t="array" ref="P320">XLOOKUP(L320,'Dados Funil'!A:A,'Dados Funil'!AM:AM,"")</f>
        <v/>
      </c>
      <c r="Q320" s="9" t="str">
        <f t="array" ref="Q320">XLOOKUP(L320,'Dados Funil'!A:A,'Dados Funil'!AN:AN,"")</f>
        <v/>
      </c>
      <c r="T320" s="7" t="str">
        <f t="shared" si="4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5"/>
        <v/>
      </c>
      <c r="AA320" s="4" t="str">
        <f t="shared" si="13"/>
        <v/>
      </c>
      <c r="AB320" s="4" t="str">
        <f t="array" ref="AB320">XLOOKUP(X320,'Dados Funil'!A:A,'Dados Funil'!O:O,"")</f>
        <v/>
      </c>
      <c r="AE320" s="7" t="str">
        <f t="shared" si="6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9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G321" s="4"/>
      <c r="H321" s="4"/>
      <c r="I321" s="7" t="str">
        <f t="shared" si="2"/>
        <v/>
      </c>
      <c r="J321" s="4" t="str">
        <f t="shared" si="10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1"/>
        <v/>
      </c>
      <c r="P321" s="4" t="str">
        <f t="array" ref="P321">XLOOKUP(L321,'Dados Funil'!A:A,'Dados Funil'!AM:AM,"")</f>
        <v/>
      </c>
      <c r="Q321" s="9" t="str">
        <f t="array" ref="Q321">XLOOKUP(L321,'Dados Funil'!A:A,'Dados Funil'!AN:AN,"")</f>
        <v/>
      </c>
      <c r="T321" s="7" t="str">
        <f t="shared" si="4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5"/>
        <v/>
      </c>
      <c r="AA321" s="4" t="str">
        <f t="shared" si="13"/>
        <v/>
      </c>
      <c r="AB321" s="4" t="str">
        <f t="array" ref="AB321">XLOOKUP(X321,'Dados Funil'!A:A,'Dados Funil'!O:O,"")</f>
        <v/>
      </c>
      <c r="AE321" s="7" t="str">
        <f t="shared" si="6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9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G322" s="4"/>
      <c r="H322" s="4"/>
      <c r="I322" s="7" t="str">
        <f t="shared" si="2"/>
        <v/>
      </c>
      <c r="J322" s="4" t="str">
        <f t="shared" si="10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1"/>
        <v/>
      </c>
      <c r="P322" s="4" t="str">
        <f t="array" ref="P322">XLOOKUP(L322,'Dados Funil'!A:A,'Dados Funil'!AM:AM,"")</f>
        <v/>
      </c>
      <c r="Q322" s="9" t="str">
        <f t="array" ref="Q322">XLOOKUP(L322,'Dados Funil'!A:A,'Dados Funil'!AN:AN,"")</f>
        <v/>
      </c>
      <c r="T322" s="7" t="str">
        <f t="shared" si="4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5"/>
        <v/>
      </c>
      <c r="AA322" s="4" t="str">
        <f t="shared" si="13"/>
        <v/>
      </c>
      <c r="AB322" s="4" t="str">
        <f t="array" ref="AB322">XLOOKUP(X322,'Dados Funil'!A:A,'Dados Funil'!O:O,"")</f>
        <v/>
      </c>
      <c r="AE322" s="7" t="str">
        <f t="shared" si="6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9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G323" s="4"/>
      <c r="H323" s="4"/>
      <c r="I323" s="7" t="str">
        <f t="shared" si="2"/>
        <v/>
      </c>
      <c r="J323" s="4" t="str">
        <f t="shared" si="10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1"/>
        <v/>
      </c>
      <c r="P323" s="4" t="str">
        <f t="array" ref="P323">XLOOKUP(L323,'Dados Funil'!A:A,'Dados Funil'!AM:AM,"")</f>
        <v/>
      </c>
      <c r="Q323" s="9" t="str">
        <f t="array" ref="Q323">XLOOKUP(L323,'Dados Funil'!A:A,'Dados Funil'!AN:AN,"")</f>
        <v/>
      </c>
      <c r="T323" s="7" t="str">
        <f t="shared" si="4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5"/>
        <v/>
      </c>
      <c r="AA323" s="4" t="str">
        <f t="shared" si="13"/>
        <v/>
      </c>
      <c r="AB323" s="4" t="str">
        <f t="array" ref="AB323">XLOOKUP(X323,'Dados Funil'!A:A,'Dados Funil'!O:O,"")</f>
        <v/>
      </c>
      <c r="AE323" s="7" t="str">
        <f t="shared" si="6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9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G324" s="4"/>
      <c r="H324" s="4"/>
      <c r="I324" s="7" t="str">
        <f t="shared" si="2"/>
        <v/>
      </c>
      <c r="J324" s="4" t="str">
        <f t="shared" si="10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1"/>
        <v/>
      </c>
      <c r="P324" s="4" t="str">
        <f t="array" ref="P324">XLOOKUP(L324,'Dados Funil'!A:A,'Dados Funil'!AM:AM,"")</f>
        <v/>
      </c>
      <c r="Q324" s="9" t="str">
        <f t="array" ref="Q324">XLOOKUP(L324,'Dados Funil'!A:A,'Dados Funil'!AN:AN,"")</f>
        <v/>
      </c>
      <c r="T324" s="7" t="str">
        <f t="shared" si="4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5"/>
        <v/>
      </c>
      <c r="AA324" s="4" t="str">
        <f t="shared" si="13"/>
        <v/>
      </c>
      <c r="AB324" s="4" t="str">
        <f t="array" ref="AB324">XLOOKUP(X324,'Dados Funil'!A:A,'Dados Funil'!O:O,"")</f>
        <v/>
      </c>
      <c r="AE324" s="7" t="str">
        <f t="shared" si="6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9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G325" s="4"/>
      <c r="H325" s="4"/>
      <c r="I325" s="7" t="str">
        <f t="shared" si="2"/>
        <v/>
      </c>
      <c r="J325" s="4" t="str">
        <f t="shared" si="10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1"/>
        <v/>
      </c>
      <c r="P325" s="4" t="str">
        <f t="array" ref="P325">XLOOKUP(L325,'Dados Funil'!A:A,'Dados Funil'!AM:AM,"")</f>
        <v/>
      </c>
      <c r="Q325" s="9" t="str">
        <f t="array" ref="Q325">XLOOKUP(L325,'Dados Funil'!A:A,'Dados Funil'!AN:AN,"")</f>
        <v/>
      </c>
      <c r="T325" s="7" t="str">
        <f t="shared" si="4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5"/>
        <v/>
      </c>
      <c r="AA325" s="4" t="str">
        <f t="shared" si="13"/>
        <v/>
      </c>
      <c r="AB325" s="4" t="str">
        <f t="array" ref="AB325">XLOOKUP(X325,'Dados Funil'!A:A,'Dados Funil'!O:O,"")</f>
        <v/>
      </c>
      <c r="AE325" s="7" t="str">
        <f t="shared" si="6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9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G326" s="4"/>
      <c r="H326" s="4"/>
      <c r="I326" s="7" t="str">
        <f t="shared" si="2"/>
        <v/>
      </c>
      <c r="J326" s="4" t="str">
        <f t="shared" si="10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1"/>
        <v/>
      </c>
      <c r="P326" s="4" t="str">
        <f t="array" ref="P326">XLOOKUP(L326,'Dados Funil'!A:A,'Dados Funil'!AM:AM,"")</f>
        <v/>
      </c>
      <c r="Q326" s="9" t="str">
        <f t="array" ref="Q326">XLOOKUP(L326,'Dados Funil'!A:A,'Dados Funil'!AN:AN,"")</f>
        <v/>
      </c>
      <c r="T326" s="7" t="str">
        <f t="shared" si="4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5"/>
        <v/>
      </c>
      <c r="AA326" s="4" t="str">
        <f t="shared" si="13"/>
        <v/>
      </c>
      <c r="AB326" s="4" t="str">
        <f t="array" ref="AB326">XLOOKUP(X326,'Dados Funil'!A:A,'Dados Funil'!O:O,"")</f>
        <v/>
      </c>
      <c r="AE326" s="7" t="str">
        <f t="shared" si="6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9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G327" s="4"/>
      <c r="H327" s="4"/>
      <c r="I327" s="7" t="str">
        <f t="shared" si="2"/>
        <v/>
      </c>
      <c r="J327" s="4" t="str">
        <f t="shared" si="10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1"/>
        <v/>
      </c>
      <c r="P327" s="4" t="str">
        <f t="array" ref="P327">XLOOKUP(L327,'Dados Funil'!A:A,'Dados Funil'!AM:AM,"")</f>
        <v/>
      </c>
      <c r="Q327" s="9" t="str">
        <f t="array" ref="Q327">XLOOKUP(L327,'Dados Funil'!A:A,'Dados Funil'!AN:AN,"")</f>
        <v/>
      </c>
      <c r="T327" s="7" t="str">
        <f t="shared" si="4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5"/>
        <v/>
      </c>
      <c r="AA327" s="4" t="str">
        <f t="shared" si="13"/>
        <v/>
      </c>
      <c r="AB327" s="4" t="str">
        <f t="array" ref="AB327">XLOOKUP(X327,'Dados Funil'!A:A,'Dados Funil'!O:O,"")</f>
        <v/>
      </c>
      <c r="AE327" s="7" t="str">
        <f t="shared" si="6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9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G328" s="4"/>
      <c r="H328" s="4"/>
      <c r="I328" s="7" t="str">
        <f t="shared" si="2"/>
        <v/>
      </c>
      <c r="J328" s="4" t="str">
        <f t="shared" si="10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1"/>
        <v/>
      </c>
      <c r="P328" s="4" t="str">
        <f t="array" ref="P328">XLOOKUP(L328,'Dados Funil'!A:A,'Dados Funil'!AM:AM,"")</f>
        <v/>
      </c>
      <c r="Q328" s="9" t="str">
        <f t="array" ref="Q328">XLOOKUP(L328,'Dados Funil'!A:A,'Dados Funil'!AN:AN,"")</f>
        <v/>
      </c>
      <c r="T328" s="7" t="str">
        <f t="shared" si="4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5"/>
        <v/>
      </c>
      <c r="AA328" s="4" t="str">
        <f t="shared" si="13"/>
        <v/>
      </c>
      <c r="AB328" s="4" t="str">
        <f t="array" ref="AB328">XLOOKUP(X328,'Dados Funil'!A:A,'Dados Funil'!O:O,"")</f>
        <v/>
      </c>
      <c r="AE328" s="7" t="str">
        <f t="shared" si="6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9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G329" s="4"/>
      <c r="H329" s="4"/>
      <c r="I329" s="7" t="str">
        <f t="shared" si="2"/>
        <v/>
      </c>
      <c r="J329" s="4" t="str">
        <f t="shared" si="10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1"/>
        <v/>
      </c>
      <c r="P329" s="4" t="str">
        <f t="array" ref="P329">XLOOKUP(L329,'Dados Funil'!A:A,'Dados Funil'!AM:AM,"")</f>
        <v/>
      </c>
      <c r="Q329" s="9" t="str">
        <f t="array" ref="Q329">XLOOKUP(L329,'Dados Funil'!A:A,'Dados Funil'!AN:AN,"")</f>
        <v/>
      </c>
      <c r="T329" s="7" t="str">
        <f t="shared" si="4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5"/>
        <v/>
      </c>
      <c r="AA329" s="4" t="str">
        <f t="shared" si="13"/>
        <v/>
      </c>
      <c r="AB329" s="4" t="str">
        <f t="array" ref="AB329">XLOOKUP(X329,'Dados Funil'!A:A,'Dados Funil'!O:O,"")</f>
        <v/>
      </c>
      <c r="AE329" s="7" t="str">
        <f t="shared" si="6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9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G330" s="4"/>
      <c r="H330" s="4"/>
      <c r="I330" s="7" t="str">
        <f t="shared" si="2"/>
        <v/>
      </c>
      <c r="J330" s="4" t="str">
        <f t="shared" si="10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1"/>
        <v/>
      </c>
      <c r="P330" s="4" t="str">
        <f t="array" ref="P330">XLOOKUP(L330,'Dados Funil'!A:A,'Dados Funil'!AM:AM,"")</f>
        <v/>
      </c>
      <c r="Q330" s="9" t="str">
        <f t="array" ref="Q330">XLOOKUP(L330,'Dados Funil'!A:A,'Dados Funil'!AN:AN,"")</f>
        <v/>
      </c>
      <c r="T330" s="7" t="str">
        <f t="shared" si="4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5"/>
        <v/>
      </c>
      <c r="AA330" s="4" t="str">
        <f t="shared" si="13"/>
        <v/>
      </c>
      <c r="AB330" s="4" t="str">
        <f t="array" ref="AB330">XLOOKUP(X330,'Dados Funil'!A:A,'Dados Funil'!O:O,"")</f>
        <v/>
      </c>
      <c r="AE330" s="7" t="str">
        <f t="shared" si="6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9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G331" s="4"/>
      <c r="H331" s="4"/>
      <c r="I331" s="7" t="str">
        <f t="shared" si="2"/>
        <v/>
      </c>
      <c r="J331" s="4" t="str">
        <f t="shared" si="10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1"/>
        <v/>
      </c>
      <c r="P331" s="4" t="str">
        <f t="array" ref="P331">XLOOKUP(L331,'Dados Funil'!A:A,'Dados Funil'!AM:AM,"")</f>
        <v/>
      </c>
      <c r="Q331" s="9" t="str">
        <f t="array" ref="Q331">XLOOKUP(L331,'Dados Funil'!A:A,'Dados Funil'!AN:AN,"")</f>
        <v/>
      </c>
      <c r="T331" s="7" t="str">
        <f t="shared" si="4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5"/>
        <v/>
      </c>
      <c r="AA331" s="4" t="str">
        <f t="shared" si="13"/>
        <v/>
      </c>
      <c r="AB331" s="4" t="str">
        <f t="array" ref="AB331">XLOOKUP(X331,'Dados Funil'!A:A,'Dados Funil'!O:O,"")</f>
        <v/>
      </c>
      <c r="AE331" s="7" t="str">
        <f t="shared" si="6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9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G332" s="4"/>
      <c r="H332" s="4"/>
      <c r="I332" s="7" t="str">
        <f t="shared" si="2"/>
        <v/>
      </c>
      <c r="J332" s="4" t="str">
        <f t="shared" si="10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1"/>
        <v/>
      </c>
      <c r="P332" s="4" t="str">
        <f t="array" ref="P332">XLOOKUP(L332,'Dados Funil'!A:A,'Dados Funil'!AM:AM,"")</f>
        <v/>
      </c>
      <c r="Q332" s="9" t="str">
        <f t="array" ref="Q332">XLOOKUP(L332,'Dados Funil'!A:A,'Dados Funil'!AN:AN,"")</f>
        <v/>
      </c>
      <c r="T332" s="7" t="str">
        <f t="shared" si="4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5"/>
        <v/>
      </c>
      <c r="AA332" s="4" t="str">
        <f t="shared" si="13"/>
        <v/>
      </c>
      <c r="AB332" s="4" t="str">
        <f t="array" ref="AB332">XLOOKUP(X332,'Dados Funil'!A:A,'Dados Funil'!O:O,"")</f>
        <v/>
      </c>
      <c r="AE332" s="7" t="str">
        <f t="shared" si="6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9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G333" s="4"/>
      <c r="H333" s="4"/>
      <c r="I333" s="7" t="str">
        <f t="shared" si="2"/>
        <v/>
      </c>
      <c r="J333" s="4" t="str">
        <f t="shared" si="10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1"/>
        <v/>
      </c>
      <c r="P333" s="4" t="str">
        <f t="array" ref="P333">XLOOKUP(L333,'Dados Funil'!A:A,'Dados Funil'!AM:AM,"")</f>
        <v/>
      </c>
      <c r="Q333" s="9" t="str">
        <f t="array" ref="Q333">XLOOKUP(L333,'Dados Funil'!A:A,'Dados Funil'!AN:AN,"")</f>
        <v/>
      </c>
      <c r="T333" s="7" t="str">
        <f t="shared" si="4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5"/>
        <v/>
      </c>
      <c r="AA333" s="4" t="str">
        <f t="shared" si="13"/>
        <v/>
      </c>
      <c r="AB333" s="4" t="str">
        <f t="array" ref="AB333">XLOOKUP(X333,'Dados Funil'!A:A,'Dados Funil'!O:O,"")</f>
        <v/>
      </c>
      <c r="AE333" s="7" t="str">
        <f t="shared" si="6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9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G334" s="4"/>
      <c r="H334" s="4"/>
      <c r="I334" s="7" t="str">
        <f t="shared" si="2"/>
        <v/>
      </c>
      <c r="J334" s="4" t="str">
        <f t="shared" si="10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1"/>
        <v/>
      </c>
      <c r="P334" s="4" t="str">
        <f t="array" ref="P334">XLOOKUP(L334,'Dados Funil'!A:A,'Dados Funil'!AM:AM,"")</f>
        <v/>
      </c>
      <c r="Q334" s="9" t="str">
        <f t="array" ref="Q334">XLOOKUP(L334,'Dados Funil'!A:A,'Dados Funil'!AN:AN,"")</f>
        <v/>
      </c>
      <c r="T334" s="7" t="str">
        <f t="shared" si="4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5"/>
        <v/>
      </c>
      <c r="AA334" s="4" t="str">
        <f t="shared" si="13"/>
        <v/>
      </c>
      <c r="AB334" s="4" t="str">
        <f t="array" ref="AB334">XLOOKUP(X334,'Dados Funil'!A:A,'Dados Funil'!O:O,"")</f>
        <v/>
      </c>
      <c r="AE334" s="7" t="str">
        <f t="shared" si="6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9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G335" s="4"/>
      <c r="H335" s="4"/>
      <c r="I335" s="7" t="str">
        <f t="shared" si="2"/>
        <v/>
      </c>
      <c r="J335" s="4" t="str">
        <f t="shared" si="10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1"/>
        <v/>
      </c>
      <c r="P335" s="4" t="str">
        <f t="array" ref="P335">XLOOKUP(L335,'Dados Funil'!A:A,'Dados Funil'!AM:AM,"")</f>
        <v/>
      </c>
      <c r="Q335" s="9" t="str">
        <f t="array" ref="Q335">XLOOKUP(L335,'Dados Funil'!A:A,'Dados Funil'!AN:AN,"")</f>
        <v/>
      </c>
      <c r="T335" s="7" t="str">
        <f t="shared" si="4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5"/>
        <v/>
      </c>
      <c r="AA335" s="4" t="str">
        <f t="shared" si="13"/>
        <v/>
      </c>
      <c r="AB335" s="4" t="str">
        <f t="array" ref="AB335">XLOOKUP(X335,'Dados Funil'!A:A,'Dados Funil'!O:O,"")</f>
        <v/>
      </c>
      <c r="AE335" s="7" t="str">
        <f t="shared" si="6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9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G336" s="4"/>
      <c r="H336" s="4"/>
      <c r="I336" s="7" t="str">
        <f t="shared" si="2"/>
        <v/>
      </c>
      <c r="J336" s="4" t="str">
        <f t="shared" si="10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1"/>
        <v/>
      </c>
      <c r="P336" s="4" t="str">
        <f t="array" ref="P336">XLOOKUP(L336,'Dados Funil'!A:A,'Dados Funil'!AM:AM,"")</f>
        <v/>
      </c>
      <c r="Q336" s="9" t="str">
        <f t="array" ref="Q336">XLOOKUP(L336,'Dados Funil'!A:A,'Dados Funil'!AN:AN,"")</f>
        <v/>
      </c>
      <c r="T336" s="7" t="str">
        <f t="shared" si="4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5"/>
        <v/>
      </c>
      <c r="AA336" s="4" t="str">
        <f t="shared" si="13"/>
        <v/>
      </c>
      <c r="AB336" s="4" t="str">
        <f t="array" ref="AB336">XLOOKUP(X336,'Dados Funil'!A:A,'Dados Funil'!O:O,"")</f>
        <v/>
      </c>
      <c r="AE336" s="7" t="str">
        <f t="shared" si="6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9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G337" s="4"/>
      <c r="H337" s="4"/>
      <c r="I337" s="7" t="str">
        <f t="shared" si="2"/>
        <v/>
      </c>
      <c r="J337" s="4" t="str">
        <f t="shared" si="10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1"/>
        <v/>
      </c>
      <c r="P337" s="4" t="str">
        <f t="array" ref="P337">XLOOKUP(L337,'Dados Funil'!A:A,'Dados Funil'!AM:AM,"")</f>
        <v/>
      </c>
      <c r="Q337" s="9" t="str">
        <f t="array" ref="Q337">XLOOKUP(L337,'Dados Funil'!A:A,'Dados Funil'!AN:AN,"")</f>
        <v/>
      </c>
      <c r="T337" s="7" t="str">
        <f t="shared" si="4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5"/>
        <v/>
      </c>
      <c r="AA337" s="4" t="str">
        <f t="shared" si="13"/>
        <v/>
      </c>
      <c r="AB337" s="4" t="str">
        <f t="array" ref="AB337">XLOOKUP(X337,'Dados Funil'!A:A,'Dados Funil'!O:O,"")</f>
        <v/>
      </c>
      <c r="AE337" s="7" t="str">
        <f t="shared" si="6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9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G338" s="4"/>
      <c r="H338" s="4"/>
      <c r="I338" s="7" t="str">
        <f t="shared" si="2"/>
        <v/>
      </c>
      <c r="J338" s="4" t="str">
        <f t="shared" si="10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1"/>
        <v/>
      </c>
      <c r="P338" s="4" t="str">
        <f t="array" ref="P338">XLOOKUP(L338,'Dados Funil'!A:A,'Dados Funil'!AM:AM,"")</f>
        <v/>
      </c>
      <c r="Q338" s="9" t="str">
        <f t="array" ref="Q338">XLOOKUP(L338,'Dados Funil'!A:A,'Dados Funil'!AN:AN,"")</f>
        <v/>
      </c>
      <c r="T338" s="7" t="str">
        <f t="shared" si="4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5"/>
        <v/>
      </c>
      <c r="AA338" s="4" t="str">
        <f t="shared" si="13"/>
        <v/>
      </c>
      <c r="AB338" s="4" t="str">
        <f t="array" ref="AB338">XLOOKUP(X338,'Dados Funil'!A:A,'Dados Funil'!O:O,"")</f>
        <v/>
      </c>
      <c r="AE338" s="7" t="str">
        <f t="shared" si="6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9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G339" s="4"/>
      <c r="H339" s="4"/>
      <c r="I339" s="7" t="str">
        <f t="shared" si="2"/>
        <v/>
      </c>
      <c r="J339" s="4" t="str">
        <f t="shared" si="10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1"/>
        <v/>
      </c>
      <c r="P339" s="4" t="str">
        <f t="array" ref="P339">XLOOKUP(L339,'Dados Funil'!A:A,'Dados Funil'!AM:AM,"")</f>
        <v/>
      </c>
      <c r="Q339" s="9" t="str">
        <f t="array" ref="Q339">XLOOKUP(L339,'Dados Funil'!A:A,'Dados Funil'!AN:AN,"")</f>
        <v/>
      </c>
      <c r="T339" s="7" t="str">
        <f t="shared" si="4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5"/>
        <v/>
      </c>
      <c r="AA339" s="4" t="str">
        <f t="shared" si="13"/>
        <v/>
      </c>
      <c r="AB339" s="4" t="str">
        <f t="array" ref="AB339">XLOOKUP(X339,'Dados Funil'!A:A,'Dados Funil'!O:O,"")</f>
        <v/>
      </c>
      <c r="AE339" s="7" t="str">
        <f t="shared" si="6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9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G340" s="4"/>
      <c r="H340" s="4"/>
      <c r="I340" s="7" t="str">
        <f t="shared" si="2"/>
        <v/>
      </c>
      <c r="J340" s="4" t="str">
        <f t="shared" si="10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1"/>
        <v/>
      </c>
      <c r="P340" s="4" t="str">
        <f t="array" ref="P340">XLOOKUP(L340,'Dados Funil'!A:A,'Dados Funil'!AM:AM,"")</f>
        <v/>
      </c>
      <c r="Q340" s="9" t="str">
        <f t="array" ref="Q340">XLOOKUP(L340,'Dados Funil'!A:A,'Dados Funil'!AN:AN,"")</f>
        <v/>
      </c>
      <c r="T340" s="7" t="str">
        <f t="shared" si="4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5"/>
        <v/>
      </c>
      <c r="AA340" s="4" t="str">
        <f t="shared" si="13"/>
        <v/>
      </c>
      <c r="AB340" s="4" t="str">
        <f t="array" ref="AB340">XLOOKUP(X340,'Dados Funil'!A:A,'Dados Funil'!O:O,"")</f>
        <v/>
      </c>
      <c r="AE340" s="7" t="str">
        <f t="shared" si="6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9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G341" s="4"/>
      <c r="H341" s="4"/>
      <c r="I341" s="7" t="str">
        <f t="shared" si="2"/>
        <v/>
      </c>
      <c r="J341" s="4" t="str">
        <f t="shared" si="10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1"/>
        <v/>
      </c>
      <c r="P341" s="4" t="str">
        <f t="array" ref="P341">XLOOKUP(L341,'Dados Funil'!A:A,'Dados Funil'!AM:AM,"")</f>
        <v/>
      </c>
      <c r="Q341" s="9" t="str">
        <f t="array" ref="Q341">XLOOKUP(L341,'Dados Funil'!A:A,'Dados Funil'!AN:AN,"")</f>
        <v/>
      </c>
      <c r="T341" s="7" t="str">
        <f t="shared" si="4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5"/>
        <v/>
      </c>
      <c r="AA341" s="4" t="str">
        <f t="shared" si="13"/>
        <v/>
      </c>
      <c r="AB341" s="4" t="str">
        <f t="array" ref="AB341">XLOOKUP(X341,'Dados Funil'!A:A,'Dados Funil'!O:O,"")</f>
        <v/>
      </c>
      <c r="AE341" s="7" t="str">
        <f t="shared" si="6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9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G342" s="4"/>
      <c r="H342" s="4"/>
      <c r="I342" s="7" t="str">
        <f t="shared" si="2"/>
        <v/>
      </c>
      <c r="J342" s="4" t="str">
        <f t="shared" si="10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1"/>
        <v/>
      </c>
      <c r="P342" s="4" t="str">
        <f t="array" ref="P342">XLOOKUP(L342,'Dados Funil'!A:A,'Dados Funil'!AM:AM,"")</f>
        <v/>
      </c>
      <c r="Q342" s="9" t="str">
        <f t="array" ref="Q342">XLOOKUP(L342,'Dados Funil'!A:A,'Dados Funil'!AN:AN,"")</f>
        <v/>
      </c>
      <c r="T342" s="7" t="str">
        <f t="shared" si="4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5"/>
        <v/>
      </c>
      <c r="AA342" s="4" t="str">
        <f t="shared" si="13"/>
        <v/>
      </c>
      <c r="AB342" s="4" t="str">
        <f t="array" ref="AB342">XLOOKUP(X342,'Dados Funil'!A:A,'Dados Funil'!O:O,"")</f>
        <v/>
      </c>
      <c r="AE342" s="7" t="str">
        <f t="shared" si="6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9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G343" s="4"/>
      <c r="H343" s="4"/>
      <c r="I343" s="7" t="str">
        <f t="shared" si="2"/>
        <v/>
      </c>
      <c r="J343" s="4" t="str">
        <f t="shared" si="10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1"/>
        <v/>
      </c>
      <c r="P343" s="4" t="str">
        <f t="array" ref="P343">XLOOKUP(L343,'Dados Funil'!A:A,'Dados Funil'!AM:AM,"")</f>
        <v/>
      </c>
      <c r="Q343" s="9" t="str">
        <f t="array" ref="Q343">XLOOKUP(L343,'Dados Funil'!A:A,'Dados Funil'!AN:AN,"")</f>
        <v/>
      </c>
      <c r="T343" s="7" t="str">
        <f t="shared" si="4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5"/>
        <v/>
      </c>
      <c r="AA343" s="4" t="str">
        <f t="shared" si="13"/>
        <v/>
      </c>
      <c r="AB343" s="4" t="str">
        <f t="array" ref="AB343">XLOOKUP(X343,'Dados Funil'!A:A,'Dados Funil'!O:O,"")</f>
        <v/>
      </c>
      <c r="AE343" s="7" t="str">
        <f t="shared" si="6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9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G344" s="4"/>
      <c r="H344" s="4"/>
      <c r="I344" s="7" t="str">
        <f t="shared" si="2"/>
        <v/>
      </c>
      <c r="J344" s="4" t="str">
        <f t="shared" si="10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1"/>
        <v/>
      </c>
      <c r="P344" s="4" t="str">
        <f t="array" ref="P344">XLOOKUP(L344,'Dados Funil'!A:A,'Dados Funil'!AM:AM,"")</f>
        <v/>
      </c>
      <c r="Q344" s="9" t="str">
        <f t="array" ref="Q344">XLOOKUP(L344,'Dados Funil'!A:A,'Dados Funil'!AN:AN,"")</f>
        <v/>
      </c>
      <c r="T344" s="7" t="str">
        <f t="shared" si="4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5"/>
        <v/>
      </c>
      <c r="AA344" s="4" t="str">
        <f t="shared" si="13"/>
        <v/>
      </c>
      <c r="AB344" s="4" t="str">
        <f t="array" ref="AB344">XLOOKUP(X344,'Dados Funil'!A:A,'Dados Funil'!O:O,"")</f>
        <v/>
      </c>
      <c r="AE344" s="7" t="str">
        <f t="shared" si="6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9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G345" s="4"/>
      <c r="H345" s="4"/>
      <c r="I345" s="7" t="str">
        <f t="shared" si="2"/>
        <v/>
      </c>
      <c r="J345" s="4" t="str">
        <f t="shared" si="10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1"/>
        <v/>
      </c>
      <c r="P345" s="4" t="str">
        <f t="array" ref="P345">XLOOKUP(L345,'Dados Funil'!A:A,'Dados Funil'!AM:AM,"")</f>
        <v/>
      </c>
      <c r="Q345" s="9" t="str">
        <f t="array" ref="Q345">XLOOKUP(L345,'Dados Funil'!A:A,'Dados Funil'!AN:AN,"")</f>
        <v/>
      </c>
      <c r="T345" s="7" t="str">
        <f t="shared" si="4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5"/>
        <v/>
      </c>
      <c r="AA345" s="4" t="str">
        <f t="shared" si="13"/>
        <v/>
      </c>
      <c r="AB345" s="4" t="str">
        <f t="array" ref="AB345">XLOOKUP(X345,'Dados Funil'!A:A,'Dados Funil'!O:O,"")</f>
        <v/>
      </c>
      <c r="AE345" s="7" t="str">
        <f t="shared" si="6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9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G346" s="4"/>
      <c r="H346" s="4"/>
      <c r="I346" s="7" t="str">
        <f t="shared" si="2"/>
        <v/>
      </c>
      <c r="J346" s="4" t="str">
        <f t="shared" si="10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1"/>
        <v/>
      </c>
      <c r="P346" s="4" t="str">
        <f t="array" ref="P346">XLOOKUP(L346,'Dados Funil'!A:A,'Dados Funil'!AM:AM,"")</f>
        <v/>
      </c>
      <c r="Q346" s="9" t="str">
        <f t="array" ref="Q346">XLOOKUP(L346,'Dados Funil'!A:A,'Dados Funil'!AN:AN,"")</f>
        <v/>
      </c>
      <c r="T346" s="7" t="str">
        <f t="shared" si="4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5"/>
        <v/>
      </c>
      <c r="AA346" s="4" t="str">
        <f t="shared" si="13"/>
        <v/>
      </c>
      <c r="AB346" s="4" t="str">
        <f t="array" ref="AB346">XLOOKUP(X346,'Dados Funil'!A:A,'Dados Funil'!O:O,"")</f>
        <v/>
      </c>
      <c r="AE346" s="7" t="str">
        <f t="shared" si="6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9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G347" s="4"/>
      <c r="H347" s="4"/>
      <c r="I347" s="7" t="str">
        <f t="shared" si="2"/>
        <v/>
      </c>
      <c r="J347" s="4" t="str">
        <f t="shared" si="10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1"/>
        <v/>
      </c>
      <c r="P347" s="4" t="str">
        <f t="array" ref="P347">XLOOKUP(L347,'Dados Funil'!A:A,'Dados Funil'!AM:AM,"")</f>
        <v/>
      </c>
      <c r="Q347" s="9" t="str">
        <f t="array" ref="Q347">XLOOKUP(L347,'Dados Funil'!A:A,'Dados Funil'!AN:AN,"")</f>
        <v/>
      </c>
      <c r="T347" s="7" t="str">
        <f t="shared" si="4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5"/>
        <v/>
      </c>
      <c r="AA347" s="4" t="str">
        <f t="shared" si="13"/>
        <v/>
      </c>
      <c r="AB347" s="4" t="str">
        <f t="array" ref="AB347">XLOOKUP(X347,'Dados Funil'!A:A,'Dados Funil'!O:O,"")</f>
        <v/>
      </c>
      <c r="AE347" s="7" t="str">
        <f t="shared" si="6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9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G348" s="4"/>
      <c r="H348" s="4"/>
      <c r="I348" s="7" t="str">
        <f t="shared" si="2"/>
        <v/>
      </c>
      <c r="J348" s="4" t="str">
        <f t="shared" si="10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1"/>
        <v/>
      </c>
      <c r="P348" s="4" t="str">
        <f t="array" ref="P348">XLOOKUP(L348,'Dados Funil'!A:A,'Dados Funil'!AM:AM,"")</f>
        <v/>
      </c>
      <c r="Q348" s="9" t="str">
        <f t="array" ref="Q348">XLOOKUP(L348,'Dados Funil'!A:A,'Dados Funil'!AN:AN,"")</f>
        <v/>
      </c>
      <c r="T348" s="7" t="str">
        <f t="shared" si="4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5"/>
        <v/>
      </c>
      <c r="AA348" s="4" t="str">
        <f t="shared" si="13"/>
        <v/>
      </c>
      <c r="AB348" s="4" t="str">
        <f t="array" ref="AB348">XLOOKUP(X348,'Dados Funil'!A:A,'Dados Funil'!O:O,"")</f>
        <v/>
      </c>
      <c r="AE348" s="7" t="str">
        <f t="shared" si="6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9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G349" s="4"/>
      <c r="H349" s="4"/>
      <c r="I349" s="7" t="str">
        <f t="shared" si="2"/>
        <v/>
      </c>
      <c r="J349" s="4" t="str">
        <f t="shared" si="10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1"/>
        <v/>
      </c>
      <c r="P349" s="4" t="str">
        <f t="array" ref="P349">XLOOKUP(L349,'Dados Funil'!A:A,'Dados Funil'!AM:AM,"")</f>
        <v/>
      </c>
      <c r="Q349" s="9" t="str">
        <f t="array" ref="Q349">XLOOKUP(L349,'Dados Funil'!A:A,'Dados Funil'!AN:AN,"")</f>
        <v/>
      </c>
      <c r="T349" s="7" t="str">
        <f t="shared" si="4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5"/>
        <v/>
      </c>
      <c r="AA349" s="4" t="str">
        <f t="shared" si="13"/>
        <v/>
      </c>
      <c r="AB349" s="4" t="str">
        <f t="array" ref="AB349">XLOOKUP(X349,'Dados Funil'!A:A,'Dados Funil'!O:O,"")</f>
        <v/>
      </c>
      <c r="AE349" s="7" t="str">
        <f t="shared" si="6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9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G350" s="4"/>
      <c r="H350" s="4"/>
      <c r="I350" s="7" t="str">
        <f t="shared" si="2"/>
        <v/>
      </c>
      <c r="J350" s="4" t="str">
        <f t="shared" si="10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1"/>
        <v/>
      </c>
      <c r="P350" s="4" t="str">
        <f t="array" ref="P350">XLOOKUP(L350,'Dados Funil'!A:A,'Dados Funil'!AM:AM,"")</f>
        <v/>
      </c>
      <c r="Q350" s="9" t="str">
        <f t="array" ref="Q350">XLOOKUP(L350,'Dados Funil'!A:A,'Dados Funil'!AN:AN,"")</f>
        <v/>
      </c>
      <c r="T350" s="7" t="str">
        <f t="shared" si="4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5"/>
        <v/>
      </c>
      <c r="AA350" s="4" t="str">
        <f t="shared" si="13"/>
        <v/>
      </c>
      <c r="AB350" s="4" t="str">
        <f t="array" ref="AB350">XLOOKUP(X350,'Dados Funil'!A:A,'Dados Funil'!O:O,"")</f>
        <v/>
      </c>
      <c r="AE350" s="7" t="str">
        <f t="shared" si="6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9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G351" s="4"/>
      <c r="H351" s="4"/>
      <c r="I351" s="7" t="str">
        <f t="shared" si="2"/>
        <v/>
      </c>
      <c r="J351" s="4" t="str">
        <f t="shared" si="10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1"/>
        <v/>
      </c>
      <c r="P351" s="4" t="str">
        <f t="array" ref="P351">XLOOKUP(L351,'Dados Funil'!A:A,'Dados Funil'!AM:AM,"")</f>
        <v/>
      </c>
      <c r="Q351" s="9" t="str">
        <f t="array" ref="Q351">XLOOKUP(L351,'Dados Funil'!A:A,'Dados Funil'!AN:AN,"")</f>
        <v/>
      </c>
      <c r="T351" s="7" t="str">
        <f t="shared" si="4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5"/>
        <v/>
      </c>
      <c r="AA351" s="4" t="str">
        <f t="shared" si="13"/>
        <v/>
      </c>
      <c r="AB351" s="4" t="str">
        <f t="array" ref="AB351">XLOOKUP(X351,'Dados Funil'!A:A,'Dados Funil'!O:O,"")</f>
        <v/>
      </c>
      <c r="AE351" s="7" t="str">
        <f t="shared" si="6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9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G352" s="4"/>
      <c r="H352" s="4"/>
      <c r="I352" s="7" t="str">
        <f t="shared" si="2"/>
        <v/>
      </c>
      <c r="J352" s="4" t="str">
        <f t="shared" si="10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1"/>
        <v/>
      </c>
      <c r="P352" s="4" t="str">
        <f t="array" ref="P352">XLOOKUP(L352,'Dados Funil'!A:A,'Dados Funil'!AM:AM,"")</f>
        <v/>
      </c>
      <c r="Q352" s="9" t="str">
        <f t="array" ref="Q352">XLOOKUP(L352,'Dados Funil'!A:A,'Dados Funil'!AN:AN,"")</f>
        <v/>
      </c>
      <c r="T352" s="7" t="str">
        <f t="shared" si="4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5"/>
        <v/>
      </c>
      <c r="AA352" s="4" t="str">
        <f t="shared" si="13"/>
        <v/>
      </c>
      <c r="AB352" s="4" t="str">
        <f t="array" ref="AB352">XLOOKUP(X352,'Dados Funil'!A:A,'Dados Funil'!O:O,"")</f>
        <v/>
      </c>
      <c r="AE352" s="7" t="str">
        <f t="shared" si="6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9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G353" s="4"/>
      <c r="H353" s="4"/>
      <c r="I353" s="7" t="str">
        <f t="shared" si="2"/>
        <v/>
      </c>
      <c r="J353" s="4" t="str">
        <f t="shared" si="10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1"/>
        <v/>
      </c>
      <c r="P353" s="4" t="str">
        <f t="array" ref="P353">XLOOKUP(L353,'Dados Funil'!A:A,'Dados Funil'!AM:AM,"")</f>
        <v/>
      </c>
      <c r="Q353" s="9" t="str">
        <f t="array" ref="Q353">XLOOKUP(L353,'Dados Funil'!A:A,'Dados Funil'!AN:AN,"")</f>
        <v/>
      </c>
      <c r="T353" s="7" t="str">
        <f t="shared" si="4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5"/>
        <v/>
      </c>
      <c r="AA353" s="4" t="str">
        <f t="shared" si="13"/>
        <v/>
      </c>
      <c r="AB353" s="4" t="str">
        <f t="array" ref="AB353">XLOOKUP(X353,'Dados Funil'!A:A,'Dados Funil'!O:O,"")</f>
        <v/>
      </c>
      <c r="AE353" s="7" t="str">
        <f t="shared" si="6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9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G354" s="4"/>
      <c r="H354" s="4"/>
      <c r="I354" s="7" t="str">
        <f t="shared" si="2"/>
        <v/>
      </c>
      <c r="J354" s="4" t="str">
        <f t="shared" si="10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1"/>
        <v/>
      </c>
      <c r="P354" s="4" t="str">
        <f t="array" ref="P354">XLOOKUP(L354,'Dados Funil'!A:A,'Dados Funil'!AM:AM,"")</f>
        <v/>
      </c>
      <c r="Q354" s="9" t="str">
        <f t="array" ref="Q354">XLOOKUP(L354,'Dados Funil'!A:A,'Dados Funil'!AN:AN,"")</f>
        <v/>
      </c>
      <c r="T354" s="7" t="str">
        <f t="shared" si="4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5"/>
        <v/>
      </c>
      <c r="AA354" s="4" t="str">
        <f t="shared" si="13"/>
        <v/>
      </c>
      <c r="AB354" s="4" t="str">
        <f t="array" ref="AB354">XLOOKUP(X354,'Dados Funil'!A:A,'Dados Funil'!O:O,"")</f>
        <v/>
      </c>
      <c r="AE354" s="7" t="str">
        <f t="shared" si="6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9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G355" s="4"/>
      <c r="H355" s="4"/>
      <c r="I355" s="7" t="str">
        <f t="shared" si="2"/>
        <v/>
      </c>
      <c r="J355" s="4" t="str">
        <f t="shared" si="10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1"/>
        <v/>
      </c>
      <c r="P355" s="4" t="str">
        <f t="array" ref="P355">XLOOKUP(L355,'Dados Funil'!A:A,'Dados Funil'!AM:AM,"")</f>
        <v/>
      </c>
      <c r="Q355" s="9" t="str">
        <f t="array" ref="Q355">XLOOKUP(L355,'Dados Funil'!A:A,'Dados Funil'!AN:AN,"")</f>
        <v/>
      </c>
      <c r="T355" s="7" t="str">
        <f t="shared" si="4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5"/>
        <v/>
      </c>
      <c r="AA355" s="4" t="str">
        <f t="shared" si="13"/>
        <v/>
      </c>
      <c r="AB355" s="4" t="str">
        <f t="array" ref="AB355">XLOOKUP(X355,'Dados Funil'!A:A,'Dados Funil'!O:O,"")</f>
        <v/>
      </c>
      <c r="AE355" s="7" t="str">
        <f t="shared" si="6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9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G356" s="4"/>
      <c r="H356" s="4"/>
      <c r="I356" s="7" t="str">
        <f t="shared" si="2"/>
        <v/>
      </c>
      <c r="J356" s="4" t="str">
        <f t="shared" si="10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1"/>
        <v/>
      </c>
      <c r="P356" s="4" t="str">
        <f t="array" ref="P356">XLOOKUP(L356,'Dados Funil'!A:A,'Dados Funil'!AM:AM,"")</f>
        <v/>
      </c>
      <c r="Q356" s="9" t="str">
        <f t="array" ref="Q356">XLOOKUP(L356,'Dados Funil'!A:A,'Dados Funil'!AN:AN,"")</f>
        <v/>
      </c>
      <c r="T356" s="7" t="str">
        <f t="shared" si="4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5"/>
        <v/>
      </c>
      <c r="AA356" s="4" t="str">
        <f t="shared" si="13"/>
        <v/>
      </c>
      <c r="AB356" s="4" t="str">
        <f t="array" ref="AB356">XLOOKUP(X356,'Dados Funil'!A:A,'Dados Funil'!O:O,"")</f>
        <v/>
      </c>
      <c r="AE356" s="7" t="str">
        <f t="shared" si="6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9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G357" s="4"/>
      <c r="H357" s="4"/>
      <c r="I357" s="7" t="str">
        <f t="shared" si="2"/>
        <v/>
      </c>
      <c r="J357" s="4" t="str">
        <f t="shared" si="10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1"/>
        <v/>
      </c>
      <c r="P357" s="4" t="str">
        <f t="array" ref="P357">XLOOKUP(L357,'Dados Funil'!A:A,'Dados Funil'!AM:AM,"")</f>
        <v/>
      </c>
      <c r="Q357" s="9" t="str">
        <f t="array" ref="Q357">XLOOKUP(L357,'Dados Funil'!A:A,'Dados Funil'!AN:AN,"")</f>
        <v/>
      </c>
      <c r="T357" s="7" t="str">
        <f t="shared" si="4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5"/>
        <v/>
      </c>
      <c r="AA357" s="4" t="str">
        <f t="shared" si="13"/>
        <v/>
      </c>
      <c r="AB357" s="4" t="str">
        <f t="array" ref="AB357">XLOOKUP(X357,'Dados Funil'!A:A,'Dados Funil'!O:O,"")</f>
        <v/>
      </c>
      <c r="AE357" s="7" t="str">
        <f t="shared" si="6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9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G358" s="4"/>
      <c r="H358" s="4"/>
      <c r="I358" s="7" t="str">
        <f t="shared" si="2"/>
        <v/>
      </c>
      <c r="J358" s="4" t="str">
        <f t="shared" si="10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1"/>
        <v/>
      </c>
      <c r="P358" s="4" t="str">
        <f t="array" ref="P358">XLOOKUP(L358,'Dados Funil'!A:A,'Dados Funil'!AM:AM,"")</f>
        <v/>
      </c>
      <c r="Q358" s="9" t="str">
        <f t="array" ref="Q358">XLOOKUP(L358,'Dados Funil'!A:A,'Dados Funil'!AN:AN,"")</f>
        <v/>
      </c>
      <c r="T358" s="7" t="str">
        <f t="shared" si="4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5"/>
        <v/>
      </c>
      <c r="AA358" s="4" t="str">
        <f t="shared" si="13"/>
        <v/>
      </c>
      <c r="AB358" s="4" t="str">
        <f t="array" ref="AB358">XLOOKUP(X358,'Dados Funil'!A:A,'Dados Funil'!O:O,"")</f>
        <v/>
      </c>
      <c r="AE358" s="7" t="str">
        <f t="shared" si="6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9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G359" s="4"/>
      <c r="H359" s="4"/>
      <c r="I359" s="7" t="str">
        <f t="shared" si="2"/>
        <v/>
      </c>
      <c r="J359" s="4" t="str">
        <f t="shared" si="10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1"/>
        <v/>
      </c>
      <c r="P359" s="4" t="str">
        <f t="array" ref="P359">XLOOKUP(L359,'Dados Funil'!A:A,'Dados Funil'!AM:AM,"")</f>
        <v/>
      </c>
      <c r="Q359" s="9" t="str">
        <f t="array" ref="Q359">XLOOKUP(L359,'Dados Funil'!A:A,'Dados Funil'!AN:AN,"")</f>
        <v/>
      </c>
      <c r="T359" s="7" t="str">
        <f t="shared" si="4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5"/>
        <v/>
      </c>
      <c r="AA359" s="4" t="str">
        <f t="shared" si="13"/>
        <v/>
      </c>
      <c r="AB359" s="4" t="str">
        <f t="array" ref="AB359">XLOOKUP(X359,'Dados Funil'!A:A,'Dados Funil'!O:O,"")</f>
        <v/>
      </c>
      <c r="AE359" s="7" t="str">
        <f t="shared" si="6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9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G360" s="4"/>
      <c r="H360" s="4"/>
      <c r="I360" s="7" t="str">
        <f t="shared" si="2"/>
        <v/>
      </c>
      <c r="J360" s="4" t="str">
        <f t="shared" si="10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1"/>
        <v/>
      </c>
      <c r="P360" s="4" t="str">
        <f t="array" ref="P360">XLOOKUP(L360,'Dados Funil'!A:A,'Dados Funil'!AM:AM,"")</f>
        <v/>
      </c>
      <c r="Q360" s="9" t="str">
        <f t="array" ref="Q360">XLOOKUP(L360,'Dados Funil'!A:A,'Dados Funil'!AN:AN,"")</f>
        <v/>
      </c>
      <c r="T360" s="7" t="str">
        <f t="shared" si="4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5"/>
        <v/>
      </c>
      <c r="AA360" s="4" t="str">
        <f t="shared" si="13"/>
        <v/>
      </c>
      <c r="AB360" s="4" t="str">
        <f t="array" ref="AB360">XLOOKUP(X360,'Dados Funil'!A:A,'Dados Funil'!O:O,"")</f>
        <v/>
      </c>
      <c r="AE360" s="7" t="str">
        <f t="shared" si="6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9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G361" s="4"/>
      <c r="H361" s="4"/>
      <c r="I361" s="7" t="str">
        <f t="shared" si="2"/>
        <v/>
      </c>
      <c r="J361" s="4" t="str">
        <f t="shared" si="10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1"/>
        <v/>
      </c>
      <c r="P361" s="4" t="str">
        <f t="array" ref="P361">XLOOKUP(L361,'Dados Funil'!A:A,'Dados Funil'!AM:AM,"")</f>
        <v/>
      </c>
      <c r="Q361" s="9" t="str">
        <f t="array" ref="Q361">XLOOKUP(L361,'Dados Funil'!A:A,'Dados Funil'!AN:AN,"")</f>
        <v/>
      </c>
      <c r="T361" s="7" t="str">
        <f t="shared" si="4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5"/>
        <v/>
      </c>
      <c r="AA361" s="4" t="str">
        <f t="shared" si="13"/>
        <v/>
      </c>
      <c r="AB361" s="4" t="str">
        <f t="array" ref="AB361">XLOOKUP(X361,'Dados Funil'!A:A,'Dados Funil'!O:O,"")</f>
        <v/>
      </c>
      <c r="AE361" s="7" t="str">
        <f t="shared" si="6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9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G362" s="4"/>
      <c r="H362" s="4"/>
      <c r="I362" s="7" t="str">
        <f t="shared" si="2"/>
        <v/>
      </c>
      <c r="J362" s="4" t="str">
        <f t="shared" si="10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1"/>
        <v/>
      </c>
      <c r="P362" s="4" t="str">
        <f t="array" ref="P362">XLOOKUP(L362,'Dados Funil'!A:A,'Dados Funil'!AM:AM,"")</f>
        <v/>
      </c>
      <c r="Q362" s="9" t="str">
        <f t="array" ref="Q362">XLOOKUP(L362,'Dados Funil'!A:A,'Dados Funil'!AN:AN,"")</f>
        <v/>
      </c>
      <c r="T362" s="7" t="str">
        <f t="shared" si="4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5"/>
        <v/>
      </c>
      <c r="AA362" s="4" t="str">
        <f t="shared" si="13"/>
        <v/>
      </c>
      <c r="AB362" s="4" t="str">
        <f t="array" ref="AB362">XLOOKUP(X362,'Dados Funil'!A:A,'Dados Funil'!O:O,"")</f>
        <v/>
      </c>
      <c r="AE362" s="7" t="str">
        <f t="shared" si="6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9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G363" s="4"/>
      <c r="H363" s="4"/>
      <c r="I363" s="7" t="str">
        <f t="shared" si="2"/>
        <v/>
      </c>
      <c r="J363" s="4" t="str">
        <f t="shared" si="10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1"/>
        <v/>
      </c>
      <c r="P363" s="4" t="str">
        <f t="array" ref="P363">XLOOKUP(L363,'Dados Funil'!A:A,'Dados Funil'!AM:AM,"")</f>
        <v/>
      </c>
      <c r="Q363" s="9" t="str">
        <f t="array" ref="Q363">XLOOKUP(L363,'Dados Funil'!A:A,'Dados Funil'!AN:AN,"")</f>
        <v/>
      </c>
      <c r="T363" s="7" t="str">
        <f t="shared" si="4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5"/>
        <v/>
      </c>
      <c r="AA363" s="4" t="str">
        <f t="shared" si="13"/>
        <v/>
      </c>
      <c r="AB363" s="4" t="str">
        <f t="array" ref="AB363">XLOOKUP(X363,'Dados Funil'!A:A,'Dados Funil'!O:O,"")</f>
        <v/>
      </c>
      <c r="AE363" s="7" t="str">
        <f t="shared" si="6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9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G364" s="4"/>
      <c r="H364" s="4"/>
      <c r="I364" s="7" t="str">
        <f t="shared" si="2"/>
        <v/>
      </c>
      <c r="J364" s="4" t="str">
        <f t="shared" si="10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1"/>
        <v/>
      </c>
      <c r="P364" s="4" t="str">
        <f t="array" ref="P364">XLOOKUP(L364,'Dados Funil'!A:A,'Dados Funil'!AM:AM,"")</f>
        <v/>
      </c>
      <c r="Q364" s="9" t="str">
        <f t="array" ref="Q364">XLOOKUP(L364,'Dados Funil'!A:A,'Dados Funil'!AN:AN,"")</f>
        <v/>
      </c>
      <c r="T364" s="7" t="str">
        <f t="shared" si="4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5"/>
        <v/>
      </c>
      <c r="AA364" s="4" t="str">
        <f t="shared" si="13"/>
        <v/>
      </c>
      <c r="AB364" s="4" t="str">
        <f t="array" ref="AB364">XLOOKUP(X364,'Dados Funil'!A:A,'Dados Funil'!O:O,"")</f>
        <v/>
      </c>
      <c r="AE364" s="7" t="str">
        <f t="shared" si="6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9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G365" s="4"/>
      <c r="H365" s="4"/>
      <c r="I365" s="7" t="str">
        <f t="shared" si="2"/>
        <v/>
      </c>
      <c r="J365" s="4" t="str">
        <f t="shared" si="10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1"/>
        <v/>
      </c>
      <c r="P365" s="4" t="str">
        <f t="array" ref="P365">XLOOKUP(L365,'Dados Funil'!A:A,'Dados Funil'!AM:AM,"")</f>
        <v/>
      </c>
      <c r="Q365" s="9" t="str">
        <f t="array" ref="Q365">XLOOKUP(L365,'Dados Funil'!A:A,'Dados Funil'!AN:AN,"")</f>
        <v/>
      </c>
      <c r="T365" s="7" t="str">
        <f t="shared" si="4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5"/>
        <v/>
      </c>
      <c r="AA365" s="4" t="str">
        <f t="shared" si="13"/>
        <v/>
      </c>
      <c r="AB365" s="4" t="str">
        <f t="array" ref="AB365">XLOOKUP(X365,'Dados Funil'!A:A,'Dados Funil'!O:O,"")</f>
        <v/>
      </c>
      <c r="AE365" s="7" t="str">
        <f t="shared" si="6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9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G366" s="4"/>
      <c r="H366" s="4"/>
      <c r="I366" s="7" t="str">
        <f t="shared" si="2"/>
        <v/>
      </c>
      <c r="J366" s="4" t="str">
        <f t="shared" si="10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1"/>
        <v/>
      </c>
      <c r="P366" s="4" t="str">
        <f t="array" ref="P366">XLOOKUP(L366,'Dados Funil'!A:A,'Dados Funil'!AM:AM,"")</f>
        <v/>
      </c>
      <c r="Q366" s="9" t="str">
        <f t="array" ref="Q366">XLOOKUP(L366,'Dados Funil'!A:A,'Dados Funil'!AN:AN,"")</f>
        <v/>
      </c>
      <c r="T366" s="7" t="str">
        <f t="shared" si="4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5"/>
        <v/>
      </c>
      <c r="AA366" s="4" t="str">
        <f t="shared" si="13"/>
        <v/>
      </c>
      <c r="AB366" s="4" t="str">
        <f t="array" ref="AB366">XLOOKUP(X366,'Dados Funil'!A:A,'Dados Funil'!O:O,"")</f>
        <v/>
      </c>
      <c r="AE366" s="7" t="str">
        <f t="shared" si="6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9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G367" s="4"/>
      <c r="H367" s="4"/>
      <c r="I367" s="7" t="str">
        <f t="shared" si="2"/>
        <v/>
      </c>
      <c r="J367" s="4" t="str">
        <f t="shared" si="10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1"/>
        <v/>
      </c>
      <c r="P367" s="4" t="str">
        <f t="array" ref="P367">XLOOKUP(L367,'Dados Funil'!A:A,'Dados Funil'!AM:AM,"")</f>
        <v/>
      </c>
      <c r="Q367" s="9" t="str">
        <f t="array" ref="Q367">XLOOKUP(L367,'Dados Funil'!A:A,'Dados Funil'!AN:AN,"")</f>
        <v/>
      </c>
      <c r="T367" s="7" t="str">
        <f t="shared" si="4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5"/>
        <v/>
      </c>
      <c r="AA367" s="4" t="str">
        <f t="shared" si="13"/>
        <v/>
      </c>
      <c r="AB367" s="4" t="str">
        <f t="array" ref="AB367">XLOOKUP(X367,'Dados Funil'!A:A,'Dados Funil'!O:O,"")</f>
        <v/>
      </c>
      <c r="AE367" s="7" t="str">
        <f t="shared" si="6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9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G368" s="4"/>
      <c r="H368" s="4"/>
      <c r="I368" s="7" t="str">
        <f t="shared" si="2"/>
        <v/>
      </c>
      <c r="J368" s="4" t="str">
        <f t="shared" si="10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1"/>
        <v/>
      </c>
      <c r="P368" s="4" t="str">
        <f t="array" ref="P368">XLOOKUP(L368,'Dados Funil'!A:A,'Dados Funil'!AM:AM,"")</f>
        <v/>
      </c>
      <c r="Q368" s="9" t="str">
        <f t="array" ref="Q368">XLOOKUP(L368,'Dados Funil'!A:A,'Dados Funil'!AN:AN,"")</f>
        <v/>
      </c>
      <c r="T368" s="7" t="str">
        <f t="shared" si="4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5"/>
        <v/>
      </c>
      <c r="AA368" s="4" t="str">
        <f t="shared" si="13"/>
        <v/>
      </c>
      <c r="AB368" s="4" t="str">
        <f t="array" ref="AB368">XLOOKUP(X368,'Dados Funil'!A:A,'Dados Funil'!O:O,"")</f>
        <v/>
      </c>
      <c r="AE368" s="7" t="str">
        <f t="shared" si="6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9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G369" s="4"/>
      <c r="H369" s="4"/>
      <c r="I369" s="7" t="str">
        <f t="shared" si="2"/>
        <v/>
      </c>
      <c r="J369" s="4" t="str">
        <f t="shared" si="10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1"/>
        <v/>
      </c>
      <c r="P369" s="4" t="str">
        <f t="array" ref="P369">XLOOKUP(L369,'Dados Funil'!A:A,'Dados Funil'!AM:AM,"")</f>
        <v/>
      </c>
      <c r="Q369" s="9" t="str">
        <f t="array" ref="Q369">XLOOKUP(L369,'Dados Funil'!A:A,'Dados Funil'!AN:AN,"")</f>
        <v/>
      </c>
      <c r="T369" s="7" t="str">
        <f t="shared" si="4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5"/>
        <v/>
      </c>
      <c r="AA369" s="4" t="str">
        <f t="shared" si="13"/>
        <v/>
      </c>
      <c r="AB369" s="4" t="str">
        <f t="array" ref="AB369">XLOOKUP(X369,'Dados Funil'!A:A,'Dados Funil'!O:O,"")</f>
        <v/>
      </c>
      <c r="AE369" s="7" t="str">
        <f t="shared" si="6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9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G370" s="4"/>
      <c r="H370" s="4"/>
      <c r="I370" s="7" t="str">
        <f t="shared" si="2"/>
        <v/>
      </c>
      <c r="J370" s="4" t="str">
        <f t="shared" si="10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1"/>
        <v/>
      </c>
      <c r="P370" s="4" t="str">
        <f t="array" ref="P370">XLOOKUP(L370,'Dados Funil'!A:A,'Dados Funil'!AM:AM,"")</f>
        <v/>
      </c>
      <c r="Q370" s="9" t="str">
        <f t="array" ref="Q370">XLOOKUP(L370,'Dados Funil'!A:A,'Dados Funil'!AN:AN,"")</f>
        <v/>
      </c>
      <c r="T370" s="7" t="str">
        <f t="shared" si="4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5"/>
        <v/>
      </c>
      <c r="AA370" s="4" t="str">
        <f t="shared" si="13"/>
        <v/>
      </c>
      <c r="AB370" s="4" t="str">
        <f t="array" ref="AB370">XLOOKUP(X370,'Dados Funil'!A:A,'Dados Funil'!O:O,"")</f>
        <v/>
      </c>
      <c r="AE370" s="7" t="str">
        <f t="shared" si="6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9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G371" s="4"/>
      <c r="H371" s="4"/>
      <c r="I371" s="7" t="str">
        <f t="shared" si="2"/>
        <v/>
      </c>
      <c r="J371" s="4" t="str">
        <f t="shared" si="10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1"/>
        <v/>
      </c>
      <c r="P371" s="4" t="str">
        <f t="array" ref="P371">XLOOKUP(L371,'Dados Funil'!A:A,'Dados Funil'!AM:AM,"")</f>
        <v/>
      </c>
      <c r="Q371" s="9" t="str">
        <f t="array" ref="Q371">XLOOKUP(L371,'Dados Funil'!A:A,'Dados Funil'!AN:AN,"")</f>
        <v/>
      </c>
      <c r="T371" s="7" t="str">
        <f t="shared" si="4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5"/>
        <v/>
      </c>
      <c r="AA371" s="4" t="str">
        <f t="shared" si="13"/>
        <v/>
      </c>
      <c r="AB371" s="4" t="str">
        <f t="array" ref="AB371">XLOOKUP(X371,'Dados Funil'!A:A,'Dados Funil'!O:O,"")</f>
        <v/>
      </c>
      <c r="AE371" s="7" t="str">
        <f t="shared" si="6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9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G372" s="4"/>
      <c r="H372" s="4"/>
      <c r="I372" s="7" t="str">
        <f t="shared" si="2"/>
        <v/>
      </c>
      <c r="J372" s="4" t="str">
        <f t="shared" si="10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1"/>
        <v/>
      </c>
      <c r="P372" s="4" t="str">
        <f t="array" ref="P372">XLOOKUP(L372,'Dados Funil'!A:A,'Dados Funil'!AM:AM,"")</f>
        <v/>
      </c>
      <c r="Q372" s="9" t="str">
        <f t="array" ref="Q372">XLOOKUP(L372,'Dados Funil'!A:A,'Dados Funil'!AN:AN,"")</f>
        <v/>
      </c>
      <c r="T372" s="7" t="str">
        <f t="shared" si="4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5"/>
        <v/>
      </c>
      <c r="AA372" s="4" t="str">
        <f t="shared" si="13"/>
        <v/>
      </c>
      <c r="AB372" s="4" t="str">
        <f t="array" ref="AB372">XLOOKUP(X372,'Dados Funil'!A:A,'Dados Funil'!O:O,"")</f>
        <v/>
      </c>
      <c r="AE372" s="7" t="str">
        <f t="shared" si="6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9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G373" s="4"/>
      <c r="H373" s="4"/>
      <c r="I373" s="7" t="str">
        <f t="shared" si="2"/>
        <v/>
      </c>
      <c r="J373" s="4" t="str">
        <f t="shared" si="10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1"/>
        <v/>
      </c>
      <c r="P373" s="4" t="str">
        <f t="array" ref="P373">XLOOKUP(L373,'Dados Funil'!A:A,'Dados Funil'!AM:AM,"")</f>
        <v/>
      </c>
      <c r="Q373" s="9" t="str">
        <f t="array" ref="Q373">XLOOKUP(L373,'Dados Funil'!A:A,'Dados Funil'!AN:AN,"")</f>
        <v/>
      </c>
      <c r="T373" s="7" t="str">
        <f t="shared" si="4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5"/>
        <v/>
      </c>
      <c r="AA373" s="4" t="str">
        <f t="shared" si="13"/>
        <v/>
      </c>
      <c r="AB373" s="4" t="str">
        <f t="array" ref="AB373">XLOOKUP(X373,'Dados Funil'!A:A,'Dados Funil'!O:O,"")</f>
        <v/>
      </c>
      <c r="AE373" s="7" t="str">
        <f t="shared" si="6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9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G374" s="4"/>
      <c r="H374" s="4"/>
      <c r="I374" s="7" t="str">
        <f t="shared" si="2"/>
        <v/>
      </c>
      <c r="J374" s="4" t="str">
        <f t="shared" si="10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1"/>
        <v/>
      </c>
      <c r="P374" s="4" t="str">
        <f t="array" ref="P374">XLOOKUP(L374,'Dados Funil'!A:A,'Dados Funil'!AM:AM,"")</f>
        <v/>
      </c>
      <c r="Q374" s="9" t="str">
        <f t="array" ref="Q374">XLOOKUP(L374,'Dados Funil'!A:A,'Dados Funil'!AN:AN,"")</f>
        <v/>
      </c>
      <c r="T374" s="7" t="str">
        <f t="shared" si="4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5"/>
        <v/>
      </c>
      <c r="AA374" s="4" t="str">
        <f t="shared" si="13"/>
        <v/>
      </c>
      <c r="AB374" s="4" t="str">
        <f t="array" ref="AB374">XLOOKUP(X374,'Dados Funil'!A:A,'Dados Funil'!O:O,"")</f>
        <v/>
      </c>
      <c r="AE374" s="7" t="str">
        <f t="shared" si="6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9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G375" s="4"/>
      <c r="H375" s="4"/>
      <c r="I375" s="7" t="str">
        <f t="shared" si="2"/>
        <v/>
      </c>
      <c r="J375" s="4" t="str">
        <f t="shared" si="10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1"/>
        <v/>
      </c>
      <c r="P375" s="4" t="str">
        <f t="array" ref="P375">XLOOKUP(L375,'Dados Funil'!A:A,'Dados Funil'!AM:AM,"")</f>
        <v/>
      </c>
      <c r="Q375" s="9" t="str">
        <f t="array" ref="Q375">XLOOKUP(L375,'Dados Funil'!A:A,'Dados Funil'!AN:AN,"")</f>
        <v/>
      </c>
      <c r="T375" s="7" t="str">
        <f t="shared" si="4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5"/>
        <v/>
      </c>
      <c r="AA375" s="4" t="str">
        <f t="shared" si="13"/>
        <v/>
      </c>
      <c r="AB375" s="4" t="str">
        <f t="array" ref="AB375">XLOOKUP(X375,'Dados Funil'!A:A,'Dados Funil'!O:O,"")</f>
        <v/>
      </c>
      <c r="AE375" s="7" t="str">
        <f t="shared" si="6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9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G376" s="4"/>
      <c r="H376" s="4"/>
      <c r="I376" s="7" t="str">
        <f t="shared" si="2"/>
        <v/>
      </c>
      <c r="J376" s="4" t="str">
        <f t="shared" si="10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1"/>
        <v/>
      </c>
      <c r="P376" s="4" t="str">
        <f t="array" ref="P376">XLOOKUP(L376,'Dados Funil'!A:A,'Dados Funil'!AM:AM,"")</f>
        <v/>
      </c>
      <c r="Q376" s="9" t="str">
        <f t="array" ref="Q376">XLOOKUP(L376,'Dados Funil'!A:A,'Dados Funil'!AN:AN,"")</f>
        <v/>
      </c>
      <c r="T376" s="7" t="str">
        <f t="shared" si="4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5"/>
        <v/>
      </c>
      <c r="AA376" s="4" t="str">
        <f t="shared" si="13"/>
        <v/>
      </c>
      <c r="AB376" s="4" t="str">
        <f t="array" ref="AB376">XLOOKUP(X376,'Dados Funil'!A:A,'Dados Funil'!O:O,"")</f>
        <v/>
      </c>
      <c r="AE376" s="7" t="str">
        <f t="shared" si="6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9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G377" s="4"/>
      <c r="H377" s="4"/>
      <c r="I377" s="7" t="str">
        <f t="shared" si="2"/>
        <v/>
      </c>
      <c r="J377" s="4" t="str">
        <f t="shared" si="10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1"/>
        <v/>
      </c>
      <c r="P377" s="4" t="str">
        <f t="array" ref="P377">XLOOKUP(L377,'Dados Funil'!A:A,'Dados Funil'!AM:AM,"")</f>
        <v/>
      </c>
      <c r="Q377" s="9" t="str">
        <f t="array" ref="Q377">XLOOKUP(L377,'Dados Funil'!A:A,'Dados Funil'!AN:AN,"")</f>
        <v/>
      </c>
      <c r="T377" s="7" t="str">
        <f t="shared" si="4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5"/>
        <v/>
      </c>
      <c r="AA377" s="4" t="str">
        <f t="shared" si="13"/>
        <v/>
      </c>
      <c r="AB377" s="4" t="str">
        <f t="array" ref="AB377">XLOOKUP(X377,'Dados Funil'!A:A,'Dados Funil'!O:O,"")</f>
        <v/>
      </c>
      <c r="AE377" s="7" t="str">
        <f t="shared" si="6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9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G378" s="4"/>
      <c r="H378" s="4"/>
      <c r="I378" s="7" t="str">
        <f t="shared" si="2"/>
        <v/>
      </c>
      <c r="J378" s="4" t="str">
        <f t="shared" si="10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1"/>
        <v/>
      </c>
      <c r="P378" s="4" t="str">
        <f t="array" ref="P378">XLOOKUP(L378,'Dados Funil'!A:A,'Dados Funil'!AM:AM,"")</f>
        <v/>
      </c>
      <c r="Q378" s="9" t="str">
        <f t="array" ref="Q378">XLOOKUP(L378,'Dados Funil'!A:A,'Dados Funil'!AN:AN,"")</f>
        <v/>
      </c>
      <c r="T378" s="7" t="str">
        <f t="shared" si="4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5"/>
        <v/>
      </c>
      <c r="AA378" s="4" t="str">
        <f t="shared" si="13"/>
        <v/>
      </c>
      <c r="AB378" s="4" t="str">
        <f t="array" ref="AB378">XLOOKUP(X378,'Dados Funil'!A:A,'Dados Funil'!O:O,"")</f>
        <v/>
      </c>
      <c r="AE378" s="7" t="str">
        <f t="shared" si="6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9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G379" s="4"/>
      <c r="H379" s="4"/>
      <c r="I379" s="7" t="str">
        <f t="shared" si="2"/>
        <v/>
      </c>
      <c r="J379" s="4" t="str">
        <f t="shared" si="10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1"/>
        <v/>
      </c>
      <c r="P379" s="4" t="str">
        <f t="array" ref="P379">XLOOKUP(L379,'Dados Funil'!A:A,'Dados Funil'!AM:AM,"")</f>
        <v/>
      </c>
      <c r="Q379" s="9" t="str">
        <f t="array" ref="Q379">XLOOKUP(L379,'Dados Funil'!A:A,'Dados Funil'!AN:AN,"")</f>
        <v/>
      </c>
      <c r="T379" s="7" t="str">
        <f t="shared" si="4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5"/>
        <v/>
      </c>
      <c r="AA379" s="4" t="str">
        <f t="shared" si="13"/>
        <v/>
      </c>
      <c r="AB379" s="4" t="str">
        <f t="array" ref="AB379">XLOOKUP(X379,'Dados Funil'!A:A,'Dados Funil'!O:O,"")</f>
        <v/>
      </c>
      <c r="AE379" s="7" t="str">
        <f t="shared" si="6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9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G380" s="4"/>
      <c r="H380" s="4"/>
      <c r="I380" s="7" t="str">
        <f t="shared" si="2"/>
        <v/>
      </c>
      <c r="J380" s="4" t="str">
        <f t="shared" si="10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1"/>
        <v/>
      </c>
      <c r="P380" s="4" t="str">
        <f t="array" ref="P380">XLOOKUP(L380,'Dados Funil'!A:A,'Dados Funil'!AM:AM,"")</f>
        <v/>
      </c>
      <c r="Q380" s="9" t="str">
        <f t="array" ref="Q380">XLOOKUP(L380,'Dados Funil'!A:A,'Dados Funil'!AN:AN,"")</f>
        <v/>
      </c>
      <c r="T380" s="7" t="str">
        <f t="shared" si="4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5"/>
        <v/>
      </c>
      <c r="AA380" s="4" t="str">
        <f t="shared" si="13"/>
        <v/>
      </c>
      <c r="AB380" s="4" t="str">
        <f t="array" ref="AB380">XLOOKUP(X380,'Dados Funil'!A:A,'Dados Funil'!O:O,"")</f>
        <v/>
      </c>
      <c r="AE380" s="7" t="str">
        <f t="shared" si="6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9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G381" s="4"/>
      <c r="H381" s="4"/>
      <c r="I381" s="7" t="str">
        <f t="shared" si="2"/>
        <v/>
      </c>
      <c r="J381" s="4" t="str">
        <f t="shared" si="10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1"/>
        <v/>
      </c>
      <c r="P381" s="4" t="str">
        <f t="array" ref="P381">XLOOKUP(L381,'Dados Funil'!A:A,'Dados Funil'!AM:AM,"")</f>
        <v/>
      </c>
      <c r="Q381" s="9" t="str">
        <f t="array" ref="Q381">XLOOKUP(L381,'Dados Funil'!A:A,'Dados Funil'!AN:AN,"")</f>
        <v/>
      </c>
      <c r="T381" s="7" t="str">
        <f t="shared" si="4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5"/>
        <v/>
      </c>
      <c r="AA381" s="4" t="str">
        <f t="shared" si="13"/>
        <v/>
      </c>
      <c r="AB381" s="4" t="str">
        <f t="array" ref="AB381">XLOOKUP(X381,'Dados Funil'!A:A,'Dados Funil'!O:O,"")</f>
        <v/>
      </c>
      <c r="AE381" s="7" t="str">
        <f t="shared" si="6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9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G382" s="4"/>
      <c r="H382" s="4"/>
      <c r="I382" s="7" t="str">
        <f t="shared" si="2"/>
        <v/>
      </c>
      <c r="J382" s="4" t="str">
        <f t="shared" si="10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1"/>
        <v/>
      </c>
      <c r="P382" s="4" t="str">
        <f t="array" ref="P382">XLOOKUP(L382,'Dados Funil'!A:A,'Dados Funil'!AM:AM,"")</f>
        <v/>
      </c>
      <c r="Q382" s="9" t="str">
        <f t="array" ref="Q382">XLOOKUP(L382,'Dados Funil'!A:A,'Dados Funil'!AN:AN,"")</f>
        <v/>
      </c>
      <c r="T382" s="7" t="str">
        <f t="shared" si="4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5"/>
        <v/>
      </c>
      <c r="AA382" s="4" t="str">
        <f t="shared" si="13"/>
        <v/>
      </c>
      <c r="AB382" s="4" t="str">
        <f t="array" ref="AB382">XLOOKUP(X382,'Dados Funil'!A:A,'Dados Funil'!O:O,"")</f>
        <v/>
      </c>
      <c r="AE382" s="7" t="str">
        <f t="shared" si="6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9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G383" s="4"/>
      <c r="H383" s="4"/>
      <c r="I383" s="7" t="str">
        <f t="shared" si="2"/>
        <v/>
      </c>
      <c r="J383" s="4" t="str">
        <f t="shared" si="10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1"/>
        <v/>
      </c>
      <c r="P383" s="4" t="str">
        <f t="array" ref="P383">XLOOKUP(L383,'Dados Funil'!A:A,'Dados Funil'!AM:AM,"")</f>
        <v/>
      </c>
      <c r="Q383" s="9" t="str">
        <f t="array" ref="Q383">XLOOKUP(L383,'Dados Funil'!A:A,'Dados Funil'!AN:AN,"")</f>
        <v/>
      </c>
      <c r="T383" s="7" t="str">
        <f t="shared" si="4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5"/>
        <v/>
      </c>
      <c r="AA383" s="4" t="str">
        <f t="shared" si="13"/>
        <v/>
      </c>
      <c r="AB383" s="4" t="str">
        <f t="array" ref="AB383">XLOOKUP(X383,'Dados Funil'!A:A,'Dados Funil'!O:O,"")</f>
        <v/>
      </c>
      <c r="AE383" s="7" t="str">
        <f t="shared" si="6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9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G384" s="4"/>
      <c r="H384" s="4"/>
      <c r="I384" s="7" t="str">
        <f t="shared" si="2"/>
        <v/>
      </c>
      <c r="J384" s="4" t="str">
        <f t="shared" si="10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1"/>
        <v/>
      </c>
      <c r="P384" s="4" t="str">
        <f t="array" ref="P384">XLOOKUP(L384,'Dados Funil'!A:A,'Dados Funil'!AM:AM,"")</f>
        <v/>
      </c>
      <c r="Q384" s="9" t="str">
        <f t="array" ref="Q384">XLOOKUP(L384,'Dados Funil'!A:A,'Dados Funil'!AN:AN,"")</f>
        <v/>
      </c>
      <c r="T384" s="7" t="str">
        <f t="shared" si="4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5"/>
        <v/>
      </c>
      <c r="AA384" s="4" t="str">
        <f t="shared" si="13"/>
        <v/>
      </c>
      <c r="AB384" s="4" t="str">
        <f t="array" ref="AB384">XLOOKUP(X384,'Dados Funil'!A:A,'Dados Funil'!O:O,"")</f>
        <v/>
      </c>
      <c r="AE384" s="7" t="str">
        <f t="shared" si="6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9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G385" s="4"/>
      <c r="H385" s="4"/>
      <c r="I385" s="7" t="str">
        <f t="shared" si="2"/>
        <v/>
      </c>
      <c r="J385" s="4" t="str">
        <f t="shared" si="10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1"/>
        <v/>
      </c>
      <c r="P385" s="4" t="str">
        <f t="array" ref="P385">XLOOKUP(L385,'Dados Funil'!A:A,'Dados Funil'!AM:AM,"")</f>
        <v/>
      </c>
      <c r="Q385" s="9" t="str">
        <f t="array" ref="Q385">XLOOKUP(L385,'Dados Funil'!A:A,'Dados Funil'!AN:AN,"")</f>
        <v/>
      </c>
      <c r="T385" s="7" t="str">
        <f t="shared" si="4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5"/>
        <v/>
      </c>
      <c r="AA385" s="4" t="str">
        <f t="shared" si="13"/>
        <v/>
      </c>
      <c r="AB385" s="4" t="str">
        <f t="array" ref="AB385">XLOOKUP(X385,'Dados Funil'!A:A,'Dados Funil'!O:O,"")</f>
        <v/>
      </c>
      <c r="AE385" s="7" t="str">
        <f t="shared" si="6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9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G386" s="4"/>
      <c r="H386" s="4"/>
      <c r="I386" s="7" t="str">
        <f t="shared" si="2"/>
        <v/>
      </c>
      <c r="J386" s="4" t="str">
        <f t="shared" si="10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1"/>
        <v/>
      </c>
      <c r="P386" s="4" t="str">
        <f t="array" ref="P386">XLOOKUP(L386,'Dados Funil'!A:A,'Dados Funil'!AM:AM,"")</f>
        <v/>
      </c>
      <c r="Q386" s="9" t="str">
        <f t="array" ref="Q386">XLOOKUP(L386,'Dados Funil'!A:A,'Dados Funil'!AN:AN,"")</f>
        <v/>
      </c>
      <c r="T386" s="7" t="str">
        <f t="shared" si="4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5"/>
        <v/>
      </c>
      <c r="AA386" s="4" t="str">
        <f t="shared" si="13"/>
        <v/>
      </c>
      <c r="AB386" s="4" t="str">
        <f t="array" ref="AB386">XLOOKUP(X386,'Dados Funil'!A:A,'Dados Funil'!O:O,"")</f>
        <v/>
      </c>
      <c r="AE386" s="7" t="str">
        <f t="shared" si="6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9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G387" s="4"/>
      <c r="H387" s="4"/>
      <c r="I387" s="7" t="str">
        <f t="shared" si="2"/>
        <v/>
      </c>
      <c r="J387" s="4" t="str">
        <f t="shared" si="10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1"/>
        <v/>
      </c>
      <c r="P387" s="4" t="str">
        <f t="array" ref="P387">XLOOKUP(L387,'Dados Funil'!A:A,'Dados Funil'!AM:AM,"")</f>
        <v/>
      </c>
      <c r="Q387" s="9" t="str">
        <f t="array" ref="Q387">XLOOKUP(L387,'Dados Funil'!A:A,'Dados Funil'!AN:AN,"")</f>
        <v/>
      </c>
      <c r="T387" s="7" t="str">
        <f t="shared" si="4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5"/>
        <v/>
      </c>
      <c r="AA387" s="4" t="str">
        <f t="shared" si="13"/>
        <v/>
      </c>
      <c r="AB387" s="4" t="str">
        <f t="array" ref="AB387">XLOOKUP(X387,'Dados Funil'!A:A,'Dados Funil'!O:O,"")</f>
        <v/>
      </c>
      <c r="AE387" s="7" t="str">
        <f t="shared" si="6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9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G388" s="4"/>
      <c r="H388" s="4"/>
      <c r="I388" s="7" t="str">
        <f t="shared" si="2"/>
        <v/>
      </c>
      <c r="J388" s="4" t="str">
        <f t="shared" si="10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1"/>
        <v/>
      </c>
      <c r="P388" s="4" t="str">
        <f t="array" ref="P388">XLOOKUP(L388,'Dados Funil'!A:A,'Dados Funil'!AM:AM,"")</f>
        <v/>
      </c>
      <c r="Q388" s="9" t="str">
        <f t="array" ref="Q388">XLOOKUP(L388,'Dados Funil'!A:A,'Dados Funil'!AN:AN,"")</f>
        <v/>
      </c>
      <c r="T388" s="7" t="str">
        <f t="shared" si="4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5"/>
        <v/>
      </c>
      <c r="AA388" s="4" t="str">
        <f t="shared" si="13"/>
        <v/>
      </c>
      <c r="AB388" s="4" t="str">
        <f t="array" ref="AB388">XLOOKUP(X388,'Dados Funil'!A:A,'Dados Funil'!O:O,"")</f>
        <v/>
      </c>
      <c r="AE388" s="7" t="str">
        <f t="shared" si="6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9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G389" s="4"/>
      <c r="H389" s="4"/>
      <c r="I389" s="7" t="str">
        <f t="shared" si="2"/>
        <v/>
      </c>
      <c r="J389" s="4" t="str">
        <f t="shared" si="10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1"/>
        <v/>
      </c>
      <c r="P389" s="4" t="str">
        <f t="array" ref="P389">XLOOKUP(L389,'Dados Funil'!A:A,'Dados Funil'!AM:AM,"")</f>
        <v/>
      </c>
      <c r="Q389" s="9" t="str">
        <f t="array" ref="Q389">XLOOKUP(L389,'Dados Funil'!A:A,'Dados Funil'!AN:AN,"")</f>
        <v/>
      </c>
      <c r="T389" s="7" t="str">
        <f t="shared" si="4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5"/>
        <v/>
      </c>
      <c r="AA389" s="4" t="str">
        <f t="shared" si="13"/>
        <v/>
      </c>
      <c r="AB389" s="4" t="str">
        <f t="array" ref="AB389">XLOOKUP(X389,'Dados Funil'!A:A,'Dados Funil'!O:O,"")</f>
        <v/>
      </c>
      <c r="AE389" s="7" t="str">
        <f t="shared" si="6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9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G390" s="4"/>
      <c r="H390" s="4"/>
      <c r="I390" s="7" t="str">
        <f t="shared" si="2"/>
        <v/>
      </c>
      <c r="J390" s="4" t="str">
        <f t="shared" si="10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1"/>
        <v/>
      </c>
      <c r="P390" s="4" t="str">
        <f t="array" ref="P390">XLOOKUP(L390,'Dados Funil'!A:A,'Dados Funil'!AM:AM,"")</f>
        <v/>
      </c>
      <c r="Q390" s="9" t="str">
        <f t="array" ref="Q390">XLOOKUP(L390,'Dados Funil'!A:A,'Dados Funil'!AN:AN,"")</f>
        <v/>
      </c>
      <c r="T390" s="7" t="str">
        <f t="shared" si="4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5"/>
        <v/>
      </c>
      <c r="AA390" s="4" t="str">
        <f t="shared" si="13"/>
        <v/>
      </c>
      <c r="AB390" s="4" t="str">
        <f t="array" ref="AB390">XLOOKUP(X390,'Dados Funil'!A:A,'Dados Funil'!O:O,"")</f>
        <v/>
      </c>
      <c r="AE390" s="7" t="str">
        <f t="shared" si="6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9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G391" s="4"/>
      <c r="H391" s="4"/>
      <c r="I391" s="7" t="str">
        <f t="shared" si="2"/>
        <v/>
      </c>
      <c r="J391" s="4" t="str">
        <f t="shared" si="10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1"/>
        <v/>
      </c>
      <c r="P391" s="4" t="str">
        <f t="array" ref="P391">XLOOKUP(L391,'Dados Funil'!A:A,'Dados Funil'!AM:AM,"")</f>
        <v/>
      </c>
      <c r="Q391" s="9" t="str">
        <f t="array" ref="Q391">XLOOKUP(L391,'Dados Funil'!A:A,'Dados Funil'!AN:AN,"")</f>
        <v/>
      </c>
      <c r="T391" s="7" t="str">
        <f t="shared" si="4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5"/>
        <v/>
      </c>
      <c r="AA391" s="4" t="str">
        <f t="shared" si="13"/>
        <v/>
      </c>
      <c r="AB391" s="4" t="str">
        <f t="array" ref="AB391">XLOOKUP(X391,'Dados Funil'!A:A,'Dados Funil'!O:O,"")</f>
        <v/>
      </c>
      <c r="AE391" s="7" t="str">
        <f t="shared" si="6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9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G392" s="4"/>
      <c r="H392" s="4"/>
      <c r="I392" s="7" t="str">
        <f t="shared" si="2"/>
        <v/>
      </c>
      <c r="J392" s="4" t="str">
        <f t="shared" si="10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1"/>
        <v/>
      </c>
      <c r="P392" s="4" t="str">
        <f t="array" ref="P392">XLOOKUP(L392,'Dados Funil'!A:A,'Dados Funil'!AM:AM,"")</f>
        <v/>
      </c>
      <c r="Q392" s="9" t="str">
        <f t="array" ref="Q392">XLOOKUP(L392,'Dados Funil'!A:A,'Dados Funil'!AN:AN,"")</f>
        <v/>
      </c>
      <c r="T392" s="7" t="str">
        <f t="shared" si="4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5"/>
        <v/>
      </c>
      <c r="AA392" s="4" t="str">
        <f t="shared" si="13"/>
        <v/>
      </c>
      <c r="AB392" s="4" t="str">
        <f t="array" ref="AB392">XLOOKUP(X392,'Dados Funil'!A:A,'Dados Funil'!O:O,"")</f>
        <v/>
      </c>
      <c r="AE392" s="7" t="str">
        <f t="shared" si="6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9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G393" s="4"/>
      <c r="H393" s="4"/>
      <c r="I393" s="7" t="str">
        <f t="shared" si="2"/>
        <v/>
      </c>
      <c r="J393" s="4" t="str">
        <f t="shared" si="10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1"/>
        <v/>
      </c>
      <c r="P393" s="4" t="str">
        <f t="array" ref="P393">XLOOKUP(L393,'Dados Funil'!A:A,'Dados Funil'!AM:AM,"")</f>
        <v/>
      </c>
      <c r="Q393" s="9" t="str">
        <f t="array" ref="Q393">XLOOKUP(L393,'Dados Funil'!A:A,'Dados Funil'!AN:AN,"")</f>
        <v/>
      </c>
      <c r="T393" s="7" t="str">
        <f t="shared" si="4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5"/>
        <v/>
      </c>
      <c r="AA393" s="4" t="str">
        <f t="shared" si="13"/>
        <v/>
      </c>
      <c r="AB393" s="4" t="str">
        <f t="array" ref="AB393">XLOOKUP(X393,'Dados Funil'!A:A,'Dados Funil'!O:O,"")</f>
        <v/>
      </c>
      <c r="AE393" s="7" t="str">
        <f t="shared" si="6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9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G394" s="4"/>
      <c r="H394" s="4"/>
      <c r="I394" s="7" t="str">
        <f t="shared" si="2"/>
        <v/>
      </c>
      <c r="J394" s="4" t="str">
        <f t="shared" si="10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1"/>
        <v/>
      </c>
      <c r="P394" s="4" t="str">
        <f t="array" ref="P394">XLOOKUP(L394,'Dados Funil'!A:A,'Dados Funil'!AM:AM,"")</f>
        <v/>
      </c>
      <c r="Q394" s="9" t="str">
        <f t="array" ref="Q394">XLOOKUP(L394,'Dados Funil'!A:A,'Dados Funil'!AN:AN,"")</f>
        <v/>
      </c>
      <c r="T394" s="7" t="str">
        <f t="shared" si="4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5"/>
        <v/>
      </c>
      <c r="AA394" s="4" t="str">
        <f t="shared" si="13"/>
        <v/>
      </c>
      <c r="AB394" s="4" t="str">
        <f t="array" ref="AB394">XLOOKUP(X394,'Dados Funil'!A:A,'Dados Funil'!O:O,"")</f>
        <v/>
      </c>
      <c r="AE394" s="7" t="str">
        <f t="shared" si="6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9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G395" s="4"/>
      <c r="H395" s="4"/>
      <c r="I395" s="7" t="str">
        <f t="shared" si="2"/>
        <v/>
      </c>
      <c r="J395" s="4" t="str">
        <f t="shared" si="10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1"/>
        <v/>
      </c>
      <c r="P395" s="4" t="str">
        <f t="array" ref="P395">XLOOKUP(L395,'Dados Funil'!A:A,'Dados Funil'!AM:AM,"")</f>
        <v/>
      </c>
      <c r="Q395" s="9" t="str">
        <f t="array" ref="Q395">XLOOKUP(L395,'Dados Funil'!A:A,'Dados Funil'!AN:AN,"")</f>
        <v/>
      </c>
      <c r="T395" s="7" t="str">
        <f t="shared" si="4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5"/>
        <v/>
      </c>
      <c r="AA395" s="4" t="str">
        <f t="shared" si="13"/>
        <v/>
      </c>
      <c r="AB395" s="4" t="str">
        <f t="array" ref="AB395">XLOOKUP(X395,'Dados Funil'!A:A,'Dados Funil'!O:O,"")</f>
        <v/>
      </c>
      <c r="AE395" s="7" t="str">
        <f t="shared" si="6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9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G396" s="4"/>
      <c r="H396" s="4"/>
      <c r="I396" s="7" t="str">
        <f t="shared" si="2"/>
        <v/>
      </c>
      <c r="J396" s="4" t="str">
        <f t="shared" si="10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1"/>
        <v/>
      </c>
      <c r="P396" s="4" t="str">
        <f t="array" ref="P396">XLOOKUP(L396,'Dados Funil'!A:A,'Dados Funil'!AM:AM,"")</f>
        <v/>
      </c>
      <c r="Q396" s="9" t="str">
        <f t="array" ref="Q396">XLOOKUP(L396,'Dados Funil'!A:A,'Dados Funil'!AN:AN,"")</f>
        <v/>
      </c>
      <c r="T396" s="7" t="str">
        <f t="shared" si="4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5"/>
        <v/>
      </c>
      <c r="AA396" s="4" t="str">
        <f t="shared" si="13"/>
        <v/>
      </c>
      <c r="AB396" s="4" t="str">
        <f t="array" ref="AB396">XLOOKUP(X396,'Dados Funil'!A:A,'Dados Funil'!O:O,"")</f>
        <v/>
      </c>
      <c r="AE396" s="7" t="str">
        <f t="shared" si="6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9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G397" s="4"/>
      <c r="H397" s="4"/>
      <c r="I397" s="7" t="str">
        <f t="shared" si="2"/>
        <v/>
      </c>
      <c r="J397" s="4" t="str">
        <f t="shared" si="10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1"/>
        <v/>
      </c>
      <c r="P397" s="4" t="str">
        <f t="array" ref="P397">XLOOKUP(L397,'Dados Funil'!A:A,'Dados Funil'!AM:AM,"")</f>
        <v/>
      </c>
      <c r="Q397" s="9" t="str">
        <f t="array" ref="Q397">XLOOKUP(L397,'Dados Funil'!A:A,'Dados Funil'!AN:AN,"")</f>
        <v/>
      </c>
      <c r="T397" s="7" t="str">
        <f t="shared" si="4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5"/>
        <v/>
      </c>
      <c r="AA397" s="4" t="str">
        <f t="shared" si="13"/>
        <v/>
      </c>
      <c r="AB397" s="4" t="str">
        <f t="array" ref="AB397">XLOOKUP(X397,'Dados Funil'!A:A,'Dados Funil'!O:O,"")</f>
        <v/>
      </c>
      <c r="AE397" s="7" t="str">
        <f t="shared" si="6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9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G398" s="4"/>
      <c r="H398" s="4"/>
      <c r="I398" s="7" t="str">
        <f t="shared" si="2"/>
        <v/>
      </c>
      <c r="J398" s="4" t="str">
        <f t="shared" si="10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1"/>
        <v/>
      </c>
      <c r="P398" s="4" t="str">
        <f t="array" ref="P398">XLOOKUP(L398,'Dados Funil'!A:A,'Dados Funil'!AM:AM,"")</f>
        <v/>
      </c>
      <c r="Q398" s="9" t="str">
        <f t="array" ref="Q398">XLOOKUP(L398,'Dados Funil'!A:A,'Dados Funil'!AN:AN,"")</f>
        <v/>
      </c>
      <c r="T398" s="7" t="str">
        <f t="shared" si="4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5"/>
        <v/>
      </c>
      <c r="AA398" s="4" t="str">
        <f t="shared" si="13"/>
        <v/>
      </c>
      <c r="AB398" s="4" t="str">
        <f t="array" ref="AB398">XLOOKUP(X398,'Dados Funil'!A:A,'Dados Funil'!O:O,"")</f>
        <v/>
      </c>
      <c r="AE398" s="7" t="str">
        <f t="shared" si="6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9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G399" s="4"/>
      <c r="H399" s="4"/>
      <c r="I399" s="7" t="str">
        <f t="shared" si="2"/>
        <v/>
      </c>
      <c r="J399" s="4" t="str">
        <f t="shared" si="10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1"/>
        <v/>
      </c>
      <c r="P399" s="4" t="str">
        <f t="array" ref="P399">XLOOKUP(L399,'Dados Funil'!A:A,'Dados Funil'!AM:AM,"")</f>
        <v/>
      </c>
      <c r="Q399" s="9" t="str">
        <f t="array" ref="Q399">XLOOKUP(L399,'Dados Funil'!A:A,'Dados Funil'!AN:AN,"")</f>
        <v/>
      </c>
      <c r="T399" s="7" t="str">
        <f t="shared" si="4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5"/>
        <v/>
      </c>
      <c r="AA399" s="4" t="str">
        <f t="shared" si="13"/>
        <v/>
      </c>
      <c r="AB399" s="4" t="str">
        <f t="array" ref="AB399">XLOOKUP(X399,'Dados Funil'!A:A,'Dados Funil'!O:O,"")</f>
        <v/>
      </c>
      <c r="AE399" s="7" t="str">
        <f t="shared" si="6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9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G400" s="4"/>
      <c r="H400" s="4"/>
      <c r="I400" s="7" t="str">
        <f t="shared" si="2"/>
        <v/>
      </c>
      <c r="J400" s="4" t="str">
        <f t="shared" si="10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1"/>
        <v/>
      </c>
      <c r="P400" s="4" t="str">
        <f t="array" ref="P400">XLOOKUP(L400,'Dados Funil'!A:A,'Dados Funil'!AM:AM,"")</f>
        <v/>
      </c>
      <c r="Q400" s="9" t="str">
        <f t="array" ref="Q400">XLOOKUP(L400,'Dados Funil'!A:A,'Dados Funil'!AN:AN,"")</f>
        <v/>
      </c>
      <c r="T400" s="7" t="str">
        <f t="shared" si="4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5"/>
        <v/>
      </c>
      <c r="AA400" s="4" t="str">
        <f t="shared" si="13"/>
        <v/>
      </c>
      <c r="AB400" s="4" t="str">
        <f t="array" ref="AB400">XLOOKUP(X400,'Dados Funil'!A:A,'Dados Funil'!O:O,"")</f>
        <v/>
      </c>
      <c r="AE400" s="7" t="str">
        <f t="shared" si="6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9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G401" s="4"/>
      <c r="H401" s="4"/>
      <c r="I401" s="7" t="str">
        <f t="shared" si="2"/>
        <v/>
      </c>
      <c r="J401" s="4" t="str">
        <f t="shared" si="10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1"/>
        <v/>
      </c>
      <c r="P401" s="4" t="str">
        <f t="array" ref="P401">XLOOKUP(L401,'Dados Funil'!A:A,'Dados Funil'!AM:AM,"")</f>
        <v/>
      </c>
      <c r="Q401" s="9" t="str">
        <f t="array" ref="Q401">XLOOKUP(L401,'Dados Funil'!A:A,'Dados Funil'!AN:AN,"")</f>
        <v/>
      </c>
      <c r="T401" s="7" t="str">
        <f t="shared" si="4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5"/>
        <v/>
      </c>
      <c r="AA401" s="4" t="str">
        <f t="shared" si="13"/>
        <v/>
      </c>
      <c r="AB401" s="4" t="str">
        <f t="array" ref="AB401">XLOOKUP(X401,'Dados Funil'!A:A,'Dados Funil'!O:O,"")</f>
        <v/>
      </c>
      <c r="AE401" s="7" t="str">
        <f t="shared" si="6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9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G402" s="4"/>
      <c r="H402" s="4"/>
      <c r="I402" s="7" t="str">
        <f t="shared" si="2"/>
        <v/>
      </c>
      <c r="J402" s="4" t="str">
        <f t="shared" si="10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1"/>
        <v/>
      </c>
      <c r="P402" s="4" t="str">
        <f t="array" ref="P402">XLOOKUP(L402,'Dados Funil'!A:A,'Dados Funil'!AM:AM,"")</f>
        <v/>
      </c>
      <c r="Q402" s="9" t="str">
        <f t="array" ref="Q402">XLOOKUP(L402,'Dados Funil'!A:A,'Dados Funil'!AN:AN,"")</f>
        <v/>
      </c>
      <c r="T402" s="7" t="str">
        <f t="shared" si="4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5"/>
        <v/>
      </c>
      <c r="AA402" s="4" t="str">
        <f t="shared" si="13"/>
        <v/>
      </c>
      <c r="AB402" s="4" t="str">
        <f t="array" ref="AB402">XLOOKUP(X402,'Dados Funil'!A:A,'Dados Funil'!O:O,"")</f>
        <v/>
      </c>
      <c r="AE402" s="7" t="str">
        <f t="shared" si="6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9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G403" s="4"/>
      <c r="H403" s="4"/>
      <c r="I403" s="7" t="str">
        <f t="shared" si="2"/>
        <v/>
      </c>
      <c r="J403" s="4" t="str">
        <f t="shared" si="10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1"/>
        <v/>
      </c>
      <c r="P403" s="4" t="str">
        <f t="array" ref="P403">XLOOKUP(L403,'Dados Funil'!A:A,'Dados Funil'!AM:AM,"")</f>
        <v/>
      </c>
      <c r="Q403" s="9" t="str">
        <f t="array" ref="Q403">XLOOKUP(L403,'Dados Funil'!A:A,'Dados Funil'!AN:AN,"")</f>
        <v/>
      </c>
      <c r="T403" s="7" t="str">
        <f t="shared" si="4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5"/>
        <v/>
      </c>
      <c r="AA403" s="4" t="str">
        <f t="shared" si="13"/>
        <v/>
      </c>
      <c r="AB403" s="4" t="str">
        <f t="array" ref="AB403">XLOOKUP(X403,'Dados Funil'!A:A,'Dados Funil'!O:O,"")</f>
        <v/>
      </c>
      <c r="AE403" s="7" t="str">
        <f t="shared" si="6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9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G404" s="4"/>
      <c r="H404" s="4"/>
      <c r="I404" s="7" t="str">
        <f t="shared" si="2"/>
        <v/>
      </c>
      <c r="J404" s="4" t="str">
        <f t="shared" si="10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1"/>
        <v/>
      </c>
      <c r="P404" s="4" t="str">
        <f t="array" ref="P404">XLOOKUP(L404,'Dados Funil'!A:A,'Dados Funil'!AM:AM,"")</f>
        <v/>
      </c>
      <c r="Q404" s="9" t="str">
        <f t="array" ref="Q404">XLOOKUP(L404,'Dados Funil'!A:A,'Dados Funil'!AN:AN,"")</f>
        <v/>
      </c>
      <c r="T404" s="7" t="str">
        <f t="shared" si="4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5"/>
        <v/>
      </c>
      <c r="AA404" s="4" t="str">
        <f t="shared" si="13"/>
        <v/>
      </c>
      <c r="AB404" s="4" t="str">
        <f t="array" ref="AB404">XLOOKUP(X404,'Dados Funil'!A:A,'Dados Funil'!O:O,"")</f>
        <v/>
      </c>
      <c r="AE404" s="7" t="str">
        <f t="shared" si="6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9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G405" s="4"/>
      <c r="H405" s="4"/>
      <c r="I405" s="7" t="str">
        <f t="shared" si="2"/>
        <v/>
      </c>
      <c r="J405" s="4" t="str">
        <f t="shared" si="10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1"/>
        <v/>
      </c>
      <c r="P405" s="4" t="str">
        <f t="array" ref="P405">XLOOKUP(L405,'Dados Funil'!A:A,'Dados Funil'!AM:AM,"")</f>
        <v/>
      </c>
      <c r="Q405" s="9" t="str">
        <f t="array" ref="Q405">XLOOKUP(L405,'Dados Funil'!A:A,'Dados Funil'!AN:AN,"")</f>
        <v/>
      </c>
      <c r="T405" s="7" t="str">
        <f t="shared" si="4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5"/>
        <v/>
      </c>
      <c r="AA405" s="4" t="str">
        <f t="shared" si="13"/>
        <v/>
      </c>
      <c r="AB405" s="4" t="str">
        <f t="array" ref="AB405">XLOOKUP(X405,'Dados Funil'!A:A,'Dados Funil'!O:O,"")</f>
        <v/>
      </c>
      <c r="AE405" s="7" t="str">
        <f t="shared" si="6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9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G406" s="4"/>
      <c r="H406" s="4"/>
      <c r="I406" s="7" t="str">
        <f t="shared" si="2"/>
        <v/>
      </c>
      <c r="J406" s="4" t="str">
        <f t="shared" si="10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1"/>
        <v/>
      </c>
      <c r="P406" s="4" t="str">
        <f t="array" ref="P406">XLOOKUP(L406,'Dados Funil'!A:A,'Dados Funil'!AM:AM,"")</f>
        <v/>
      </c>
      <c r="Q406" s="9" t="str">
        <f t="array" ref="Q406">XLOOKUP(L406,'Dados Funil'!A:A,'Dados Funil'!AN:AN,"")</f>
        <v/>
      </c>
      <c r="T406" s="7" t="str">
        <f t="shared" si="4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5"/>
        <v/>
      </c>
      <c r="AA406" s="4" t="str">
        <f t="shared" si="13"/>
        <v/>
      </c>
      <c r="AB406" s="4" t="str">
        <f t="array" ref="AB406">XLOOKUP(X406,'Dados Funil'!A:A,'Dados Funil'!O:O,"")</f>
        <v/>
      </c>
      <c r="AE406" s="7" t="str">
        <f t="shared" si="6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9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G407" s="4"/>
      <c r="H407" s="4"/>
      <c r="I407" s="7" t="str">
        <f t="shared" si="2"/>
        <v/>
      </c>
      <c r="J407" s="4" t="str">
        <f t="shared" si="10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1"/>
        <v/>
      </c>
      <c r="P407" s="4" t="str">
        <f t="array" ref="P407">XLOOKUP(L407,'Dados Funil'!A:A,'Dados Funil'!AM:AM,"")</f>
        <v/>
      </c>
      <c r="Q407" s="9" t="str">
        <f t="array" ref="Q407">XLOOKUP(L407,'Dados Funil'!A:A,'Dados Funil'!AN:AN,"")</f>
        <v/>
      </c>
      <c r="T407" s="7" t="str">
        <f t="shared" si="4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5"/>
        <v/>
      </c>
      <c r="AA407" s="4" t="str">
        <f t="shared" si="13"/>
        <v/>
      </c>
      <c r="AB407" s="4" t="str">
        <f t="array" ref="AB407">XLOOKUP(X407,'Dados Funil'!A:A,'Dados Funil'!O:O,"")</f>
        <v/>
      </c>
      <c r="AE407" s="7" t="str">
        <f t="shared" si="6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9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G408" s="4"/>
      <c r="H408" s="4"/>
      <c r="I408" s="7" t="str">
        <f t="shared" si="2"/>
        <v/>
      </c>
      <c r="J408" s="4" t="str">
        <f t="shared" si="10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1"/>
        <v/>
      </c>
      <c r="P408" s="4" t="str">
        <f t="array" ref="P408">XLOOKUP(L408,'Dados Funil'!A:A,'Dados Funil'!AM:AM,"")</f>
        <v/>
      </c>
      <c r="Q408" s="9" t="str">
        <f t="array" ref="Q408">XLOOKUP(L408,'Dados Funil'!A:A,'Dados Funil'!AN:AN,"")</f>
        <v/>
      </c>
      <c r="T408" s="7" t="str">
        <f t="shared" si="4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5"/>
        <v/>
      </c>
      <c r="AA408" s="4" t="str">
        <f t="shared" si="13"/>
        <v/>
      </c>
      <c r="AB408" s="4" t="str">
        <f t="array" ref="AB408">XLOOKUP(X408,'Dados Funil'!A:A,'Dados Funil'!O:O,"")</f>
        <v/>
      </c>
      <c r="AE408" s="7" t="str">
        <f t="shared" si="6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9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G409" s="4"/>
      <c r="H409" s="4"/>
      <c r="I409" s="7" t="str">
        <f t="shared" si="2"/>
        <v/>
      </c>
      <c r="J409" s="4" t="str">
        <f t="shared" si="10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1"/>
        <v/>
      </c>
      <c r="P409" s="4" t="str">
        <f t="array" ref="P409">XLOOKUP(L409,'Dados Funil'!A:A,'Dados Funil'!AM:AM,"")</f>
        <v/>
      </c>
      <c r="Q409" s="9" t="str">
        <f t="array" ref="Q409">XLOOKUP(L409,'Dados Funil'!A:A,'Dados Funil'!AN:AN,"")</f>
        <v/>
      </c>
      <c r="T409" s="7" t="str">
        <f t="shared" si="4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5"/>
        <v/>
      </c>
      <c r="AA409" s="4" t="str">
        <f t="shared" si="13"/>
        <v/>
      </c>
      <c r="AB409" s="4" t="str">
        <f t="array" ref="AB409">XLOOKUP(X409,'Dados Funil'!A:A,'Dados Funil'!O:O,"")</f>
        <v/>
      </c>
      <c r="AE409" s="7" t="str">
        <f t="shared" si="6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9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G410" s="4"/>
      <c r="H410" s="4"/>
      <c r="I410" s="7" t="str">
        <f t="shared" si="2"/>
        <v/>
      </c>
      <c r="J410" s="4" t="str">
        <f t="shared" si="10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1"/>
        <v/>
      </c>
      <c r="P410" s="4" t="str">
        <f t="array" ref="P410">XLOOKUP(L410,'Dados Funil'!A:A,'Dados Funil'!AM:AM,"")</f>
        <v/>
      </c>
      <c r="Q410" s="9" t="str">
        <f t="array" ref="Q410">XLOOKUP(L410,'Dados Funil'!A:A,'Dados Funil'!AN:AN,"")</f>
        <v/>
      </c>
      <c r="T410" s="7" t="str">
        <f t="shared" si="4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5"/>
        <v/>
      </c>
      <c r="AA410" s="4" t="str">
        <f t="shared" si="13"/>
        <v/>
      </c>
      <c r="AB410" s="4" t="str">
        <f t="array" ref="AB410">XLOOKUP(X410,'Dados Funil'!A:A,'Dados Funil'!O:O,"")</f>
        <v/>
      </c>
      <c r="AE410" s="7" t="str">
        <f t="shared" si="6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9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G411" s="4"/>
      <c r="H411" s="4"/>
      <c r="I411" s="7" t="str">
        <f t="shared" si="2"/>
        <v/>
      </c>
      <c r="J411" s="4" t="str">
        <f t="shared" si="10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1"/>
        <v/>
      </c>
      <c r="P411" s="4" t="str">
        <f t="array" ref="P411">XLOOKUP(L411,'Dados Funil'!A:A,'Dados Funil'!AM:AM,"")</f>
        <v/>
      </c>
      <c r="Q411" s="9" t="str">
        <f t="array" ref="Q411">XLOOKUP(L411,'Dados Funil'!A:A,'Dados Funil'!AN:AN,"")</f>
        <v/>
      </c>
      <c r="T411" s="7" t="str">
        <f t="shared" si="4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5"/>
        <v/>
      </c>
      <c r="AA411" s="4" t="str">
        <f t="shared" si="13"/>
        <v/>
      </c>
      <c r="AB411" s="4" t="str">
        <f t="array" ref="AB411">XLOOKUP(X411,'Dados Funil'!A:A,'Dados Funil'!O:O,"")</f>
        <v/>
      </c>
      <c r="AE411" s="7" t="str">
        <f t="shared" si="6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9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G412" s="4"/>
      <c r="H412" s="4"/>
      <c r="I412" s="7" t="str">
        <f t="shared" si="2"/>
        <v/>
      </c>
      <c r="J412" s="4" t="str">
        <f t="shared" si="10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1"/>
        <v/>
      </c>
      <c r="P412" s="4" t="str">
        <f t="array" ref="P412">XLOOKUP(L412,'Dados Funil'!A:A,'Dados Funil'!AM:AM,"")</f>
        <v/>
      </c>
      <c r="Q412" s="9" t="str">
        <f t="array" ref="Q412">XLOOKUP(L412,'Dados Funil'!A:A,'Dados Funil'!AN:AN,"")</f>
        <v/>
      </c>
      <c r="T412" s="7" t="str">
        <f t="shared" si="4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5"/>
        <v/>
      </c>
      <c r="AA412" s="4" t="str">
        <f t="shared" si="13"/>
        <v/>
      </c>
      <c r="AB412" s="4" t="str">
        <f t="array" ref="AB412">XLOOKUP(X412,'Dados Funil'!A:A,'Dados Funil'!O:O,"")</f>
        <v/>
      </c>
      <c r="AE412" s="7" t="str">
        <f t="shared" si="6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9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G413" s="4"/>
      <c r="H413" s="4"/>
      <c r="I413" s="7" t="str">
        <f t="shared" si="2"/>
        <v/>
      </c>
      <c r="J413" s="4" t="str">
        <f t="shared" si="10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1"/>
        <v/>
      </c>
      <c r="P413" s="4" t="str">
        <f t="array" ref="P413">XLOOKUP(L413,'Dados Funil'!A:A,'Dados Funil'!AM:AM,"")</f>
        <v/>
      </c>
      <c r="Q413" s="9" t="str">
        <f t="array" ref="Q413">XLOOKUP(L413,'Dados Funil'!A:A,'Dados Funil'!AN:AN,"")</f>
        <v/>
      </c>
      <c r="T413" s="7" t="str">
        <f t="shared" si="4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5"/>
        <v/>
      </c>
      <c r="AA413" s="4" t="str">
        <f t="shared" si="13"/>
        <v/>
      </c>
      <c r="AB413" s="4" t="str">
        <f t="array" ref="AB413">XLOOKUP(X413,'Dados Funil'!A:A,'Dados Funil'!O:O,"")</f>
        <v/>
      </c>
      <c r="AE413" s="7" t="str">
        <f t="shared" si="6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9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G414" s="4"/>
      <c r="H414" s="4"/>
      <c r="I414" s="7" t="str">
        <f t="shared" si="2"/>
        <v/>
      </c>
      <c r="J414" s="4" t="str">
        <f t="shared" si="10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1"/>
        <v/>
      </c>
      <c r="P414" s="4" t="str">
        <f t="array" ref="P414">XLOOKUP(L414,'Dados Funil'!A:A,'Dados Funil'!AM:AM,"")</f>
        <v/>
      </c>
      <c r="Q414" s="9" t="str">
        <f t="array" ref="Q414">XLOOKUP(L414,'Dados Funil'!A:A,'Dados Funil'!AN:AN,"")</f>
        <v/>
      </c>
      <c r="T414" s="7" t="str">
        <f t="shared" si="4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5"/>
        <v/>
      </c>
      <c r="AA414" s="4" t="str">
        <f t="shared" si="13"/>
        <v/>
      </c>
      <c r="AB414" s="4" t="str">
        <f t="array" ref="AB414">XLOOKUP(X414,'Dados Funil'!A:A,'Dados Funil'!O:O,"")</f>
        <v/>
      </c>
      <c r="AE414" s="7" t="str">
        <f t="shared" si="6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9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G415" s="4"/>
      <c r="H415" s="4"/>
      <c r="I415" s="7" t="str">
        <f t="shared" si="2"/>
        <v/>
      </c>
      <c r="J415" s="4" t="str">
        <f t="shared" si="10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1"/>
        <v/>
      </c>
      <c r="P415" s="4" t="str">
        <f t="array" ref="P415">XLOOKUP(L415,'Dados Funil'!A:A,'Dados Funil'!AM:AM,"")</f>
        <v/>
      </c>
      <c r="Q415" s="9" t="str">
        <f t="array" ref="Q415">XLOOKUP(L415,'Dados Funil'!A:A,'Dados Funil'!AN:AN,"")</f>
        <v/>
      </c>
      <c r="T415" s="7" t="str">
        <f t="shared" si="4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5"/>
        <v/>
      </c>
      <c r="AA415" s="4" t="str">
        <f t="shared" si="13"/>
        <v/>
      </c>
      <c r="AB415" s="4" t="str">
        <f t="array" ref="AB415">XLOOKUP(X415,'Dados Funil'!A:A,'Dados Funil'!O:O,"")</f>
        <v/>
      </c>
      <c r="AE415" s="7" t="str">
        <f t="shared" si="6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9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G416" s="4"/>
      <c r="H416" s="4"/>
      <c r="I416" s="7" t="str">
        <f t="shared" si="2"/>
        <v/>
      </c>
      <c r="J416" s="4" t="str">
        <f t="shared" si="10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1"/>
        <v/>
      </c>
      <c r="P416" s="4" t="str">
        <f t="array" ref="P416">XLOOKUP(L416,'Dados Funil'!A:A,'Dados Funil'!AM:AM,"")</f>
        <v/>
      </c>
      <c r="Q416" s="9" t="str">
        <f t="array" ref="Q416">XLOOKUP(L416,'Dados Funil'!A:A,'Dados Funil'!AN:AN,"")</f>
        <v/>
      </c>
      <c r="T416" s="7" t="str">
        <f t="shared" si="4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5"/>
        <v/>
      </c>
      <c r="AA416" s="4" t="str">
        <f t="shared" si="13"/>
        <v/>
      </c>
      <c r="AB416" s="4" t="str">
        <f t="array" ref="AB416">XLOOKUP(X416,'Dados Funil'!A:A,'Dados Funil'!O:O,"")</f>
        <v/>
      </c>
      <c r="AE416" s="7" t="str">
        <f t="shared" si="6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9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G417" s="4"/>
      <c r="H417" s="4"/>
      <c r="I417" s="7" t="str">
        <f t="shared" si="2"/>
        <v/>
      </c>
      <c r="J417" s="4" t="str">
        <f t="shared" si="10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1"/>
        <v/>
      </c>
      <c r="P417" s="4" t="str">
        <f t="array" ref="P417">XLOOKUP(L417,'Dados Funil'!A:A,'Dados Funil'!AM:AM,"")</f>
        <v/>
      </c>
      <c r="Q417" s="9" t="str">
        <f t="array" ref="Q417">XLOOKUP(L417,'Dados Funil'!A:A,'Dados Funil'!AN:AN,"")</f>
        <v/>
      </c>
      <c r="T417" s="7" t="str">
        <f t="shared" si="4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5"/>
        <v/>
      </c>
      <c r="AA417" s="4" t="str">
        <f t="shared" si="13"/>
        <v/>
      </c>
      <c r="AB417" s="4" t="str">
        <f t="array" ref="AB417">XLOOKUP(X417,'Dados Funil'!A:A,'Dados Funil'!O:O,"")</f>
        <v/>
      </c>
      <c r="AE417" s="7" t="str">
        <f t="shared" si="6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9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G418" s="4"/>
      <c r="H418" s="4"/>
      <c r="I418" s="7" t="str">
        <f t="shared" si="2"/>
        <v/>
      </c>
      <c r="J418" s="4" t="str">
        <f t="shared" si="10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1"/>
        <v/>
      </c>
      <c r="P418" s="4" t="str">
        <f t="array" ref="P418">XLOOKUP(L418,'Dados Funil'!A:A,'Dados Funil'!AM:AM,"")</f>
        <v/>
      </c>
      <c r="Q418" s="9" t="str">
        <f t="array" ref="Q418">XLOOKUP(L418,'Dados Funil'!A:A,'Dados Funil'!AN:AN,"")</f>
        <v/>
      </c>
      <c r="T418" s="7" t="str">
        <f t="shared" si="4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5"/>
        <v/>
      </c>
      <c r="AA418" s="4" t="str">
        <f t="shared" si="13"/>
        <v/>
      </c>
      <c r="AB418" s="4" t="str">
        <f t="array" ref="AB418">XLOOKUP(X418,'Dados Funil'!A:A,'Dados Funil'!O:O,"")</f>
        <v/>
      </c>
      <c r="AE418" s="7" t="str">
        <f t="shared" si="6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9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G419" s="4"/>
      <c r="H419" s="4"/>
      <c r="I419" s="7" t="str">
        <f t="shared" si="2"/>
        <v/>
      </c>
      <c r="J419" s="4" t="str">
        <f t="shared" si="10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1"/>
        <v/>
      </c>
      <c r="P419" s="4" t="str">
        <f t="array" ref="P419">XLOOKUP(L419,'Dados Funil'!A:A,'Dados Funil'!AM:AM,"")</f>
        <v/>
      </c>
      <c r="Q419" s="9" t="str">
        <f t="array" ref="Q419">XLOOKUP(L419,'Dados Funil'!A:A,'Dados Funil'!AN:AN,"")</f>
        <v/>
      </c>
      <c r="T419" s="7" t="str">
        <f t="shared" si="4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5"/>
        <v/>
      </c>
      <c r="AA419" s="4" t="str">
        <f t="shared" si="13"/>
        <v/>
      </c>
      <c r="AB419" s="4" t="str">
        <f t="array" ref="AB419">XLOOKUP(X419,'Dados Funil'!A:A,'Dados Funil'!O:O,"")</f>
        <v/>
      </c>
      <c r="AE419" s="7" t="str">
        <f t="shared" si="6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9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G420" s="4"/>
      <c r="H420" s="4"/>
      <c r="I420" s="7" t="str">
        <f t="shared" si="2"/>
        <v/>
      </c>
      <c r="J420" s="4" t="str">
        <f t="shared" si="10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1"/>
        <v/>
      </c>
      <c r="P420" s="4" t="str">
        <f t="array" ref="P420">XLOOKUP(L420,'Dados Funil'!A:A,'Dados Funil'!AM:AM,"")</f>
        <v/>
      </c>
      <c r="Q420" s="9" t="str">
        <f t="array" ref="Q420">XLOOKUP(L420,'Dados Funil'!A:A,'Dados Funil'!AN:AN,"")</f>
        <v/>
      </c>
      <c r="T420" s="7" t="str">
        <f t="shared" si="4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5"/>
        <v/>
      </c>
      <c r="AA420" s="4" t="str">
        <f t="shared" si="13"/>
        <v/>
      </c>
      <c r="AB420" s="4" t="str">
        <f t="array" ref="AB420">XLOOKUP(X420,'Dados Funil'!A:A,'Dados Funil'!O:O,"")</f>
        <v/>
      </c>
      <c r="AE420" s="7" t="str">
        <f t="shared" si="6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9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G421" s="4"/>
      <c r="H421" s="4"/>
      <c r="I421" s="7" t="str">
        <f t="shared" si="2"/>
        <v/>
      </c>
      <c r="J421" s="4" t="str">
        <f t="shared" si="10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1"/>
        <v/>
      </c>
      <c r="P421" s="4" t="str">
        <f t="array" ref="P421">XLOOKUP(L421,'Dados Funil'!A:A,'Dados Funil'!AM:AM,"")</f>
        <v/>
      </c>
      <c r="Q421" s="9" t="str">
        <f t="array" ref="Q421">XLOOKUP(L421,'Dados Funil'!A:A,'Dados Funil'!AN:AN,"")</f>
        <v/>
      </c>
      <c r="T421" s="7" t="str">
        <f t="shared" si="4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5"/>
        <v/>
      </c>
      <c r="AA421" s="4" t="str">
        <f t="shared" si="13"/>
        <v/>
      </c>
      <c r="AB421" s="4" t="str">
        <f t="array" ref="AB421">XLOOKUP(X421,'Dados Funil'!A:A,'Dados Funil'!O:O,"")</f>
        <v/>
      </c>
      <c r="AE421" s="7" t="str">
        <f t="shared" si="6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9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G422" s="4"/>
      <c r="H422" s="4"/>
      <c r="I422" s="7" t="str">
        <f t="shared" si="2"/>
        <v/>
      </c>
      <c r="J422" s="4" t="str">
        <f t="shared" si="10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1"/>
        <v/>
      </c>
      <c r="P422" s="4" t="str">
        <f t="array" ref="P422">XLOOKUP(L422,'Dados Funil'!A:A,'Dados Funil'!AM:AM,"")</f>
        <v/>
      </c>
      <c r="Q422" s="9" t="str">
        <f t="array" ref="Q422">XLOOKUP(L422,'Dados Funil'!A:A,'Dados Funil'!AN:AN,"")</f>
        <v/>
      </c>
      <c r="T422" s="7" t="str">
        <f t="shared" si="4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5"/>
        <v/>
      </c>
      <c r="AA422" s="4" t="str">
        <f t="shared" si="13"/>
        <v/>
      </c>
      <c r="AB422" s="4" t="str">
        <f t="array" ref="AB422">XLOOKUP(X422,'Dados Funil'!A:A,'Dados Funil'!O:O,"")</f>
        <v/>
      </c>
      <c r="AE422" s="7" t="str">
        <f t="shared" si="6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9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G423" s="4"/>
      <c r="H423" s="4"/>
      <c r="I423" s="7" t="str">
        <f t="shared" si="2"/>
        <v/>
      </c>
      <c r="J423" s="4" t="str">
        <f t="shared" si="10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1"/>
        <v/>
      </c>
      <c r="P423" s="4" t="str">
        <f t="array" ref="P423">XLOOKUP(L423,'Dados Funil'!A:A,'Dados Funil'!AM:AM,"")</f>
        <v/>
      </c>
      <c r="Q423" s="9" t="str">
        <f t="array" ref="Q423">XLOOKUP(L423,'Dados Funil'!A:A,'Dados Funil'!AN:AN,"")</f>
        <v/>
      </c>
      <c r="T423" s="7" t="str">
        <f t="shared" si="4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5"/>
        <v/>
      </c>
      <c r="AA423" s="4" t="str">
        <f t="shared" si="13"/>
        <v/>
      </c>
      <c r="AB423" s="4" t="str">
        <f t="array" ref="AB423">XLOOKUP(X423,'Dados Funil'!A:A,'Dados Funil'!O:O,"")</f>
        <v/>
      </c>
      <c r="AE423" s="7" t="str">
        <f t="shared" si="6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9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G424" s="4"/>
      <c r="H424" s="4"/>
      <c r="I424" s="7" t="str">
        <f t="shared" si="2"/>
        <v/>
      </c>
      <c r="J424" s="4" t="str">
        <f t="shared" si="10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1"/>
        <v/>
      </c>
      <c r="P424" s="4" t="str">
        <f t="array" ref="P424">XLOOKUP(L424,'Dados Funil'!A:A,'Dados Funil'!AM:AM,"")</f>
        <v/>
      </c>
      <c r="Q424" s="9" t="str">
        <f t="array" ref="Q424">XLOOKUP(L424,'Dados Funil'!A:A,'Dados Funil'!AN:AN,"")</f>
        <v/>
      </c>
      <c r="T424" s="7" t="str">
        <f t="shared" si="4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5"/>
        <v/>
      </c>
      <c r="AA424" s="4" t="str">
        <f t="shared" si="13"/>
        <v/>
      </c>
      <c r="AB424" s="4" t="str">
        <f t="array" ref="AB424">XLOOKUP(X424,'Dados Funil'!A:A,'Dados Funil'!O:O,"")</f>
        <v/>
      </c>
      <c r="AE424" s="7" t="str">
        <f t="shared" si="6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9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G425" s="4"/>
      <c r="H425" s="4"/>
      <c r="I425" s="7" t="str">
        <f t="shared" si="2"/>
        <v/>
      </c>
      <c r="J425" s="4" t="str">
        <f t="shared" si="10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1"/>
        <v/>
      </c>
      <c r="P425" s="4" t="str">
        <f t="array" ref="P425">XLOOKUP(L425,'Dados Funil'!A:A,'Dados Funil'!AM:AM,"")</f>
        <v/>
      </c>
      <c r="Q425" s="9" t="str">
        <f t="array" ref="Q425">XLOOKUP(L425,'Dados Funil'!A:A,'Dados Funil'!AN:AN,"")</f>
        <v/>
      </c>
      <c r="T425" s="7" t="str">
        <f t="shared" si="4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5"/>
        <v/>
      </c>
      <c r="AA425" s="4" t="str">
        <f t="shared" si="13"/>
        <v/>
      </c>
      <c r="AB425" s="4" t="str">
        <f t="array" ref="AB425">XLOOKUP(X425,'Dados Funil'!A:A,'Dados Funil'!O:O,"")</f>
        <v/>
      </c>
      <c r="AE425" s="7" t="str">
        <f t="shared" si="6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9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G426" s="4"/>
      <c r="H426" s="4"/>
      <c r="I426" s="7" t="str">
        <f t="shared" si="2"/>
        <v/>
      </c>
      <c r="J426" s="4" t="str">
        <f t="shared" si="10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1"/>
        <v/>
      </c>
      <c r="P426" s="4" t="str">
        <f t="array" ref="P426">XLOOKUP(L426,'Dados Funil'!A:A,'Dados Funil'!AM:AM,"")</f>
        <v/>
      </c>
      <c r="Q426" s="9" t="str">
        <f t="array" ref="Q426">XLOOKUP(L426,'Dados Funil'!A:A,'Dados Funil'!AN:AN,"")</f>
        <v/>
      </c>
      <c r="T426" s="7" t="str">
        <f t="shared" si="4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5"/>
        <v/>
      </c>
      <c r="AA426" s="4" t="str">
        <f t="shared" si="13"/>
        <v/>
      </c>
      <c r="AB426" s="4" t="str">
        <f t="array" ref="AB426">XLOOKUP(X426,'Dados Funil'!A:A,'Dados Funil'!O:O,"")</f>
        <v/>
      </c>
      <c r="AE426" s="7" t="str">
        <f t="shared" si="6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9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G427" s="4"/>
      <c r="H427" s="4"/>
      <c r="I427" s="7" t="str">
        <f t="shared" si="2"/>
        <v/>
      </c>
      <c r="J427" s="4" t="str">
        <f t="shared" si="10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1"/>
        <v/>
      </c>
      <c r="P427" s="4" t="str">
        <f t="array" ref="P427">XLOOKUP(L427,'Dados Funil'!A:A,'Dados Funil'!AM:AM,"")</f>
        <v/>
      </c>
      <c r="Q427" s="9" t="str">
        <f t="array" ref="Q427">XLOOKUP(L427,'Dados Funil'!A:A,'Dados Funil'!AN:AN,"")</f>
        <v/>
      </c>
      <c r="T427" s="7" t="str">
        <f t="shared" si="4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5"/>
        <v/>
      </c>
      <c r="AA427" s="4" t="str">
        <f t="shared" si="13"/>
        <v/>
      </c>
      <c r="AB427" s="4" t="str">
        <f t="array" ref="AB427">XLOOKUP(X427,'Dados Funil'!A:A,'Dados Funil'!O:O,"")</f>
        <v/>
      </c>
      <c r="AE427" s="7" t="str">
        <f t="shared" si="6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9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G428" s="4"/>
      <c r="H428" s="4"/>
      <c r="I428" s="7" t="str">
        <f t="shared" si="2"/>
        <v/>
      </c>
      <c r="J428" s="4" t="str">
        <f t="shared" si="10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1"/>
        <v/>
      </c>
      <c r="P428" s="4" t="str">
        <f t="array" ref="P428">XLOOKUP(L428,'Dados Funil'!A:A,'Dados Funil'!AM:AM,"")</f>
        <v/>
      </c>
      <c r="Q428" s="9" t="str">
        <f t="array" ref="Q428">XLOOKUP(L428,'Dados Funil'!A:A,'Dados Funil'!AN:AN,"")</f>
        <v/>
      </c>
      <c r="T428" s="7" t="str">
        <f t="shared" si="4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5"/>
        <v/>
      </c>
      <c r="AA428" s="4" t="str">
        <f t="shared" si="13"/>
        <v/>
      </c>
      <c r="AB428" s="4" t="str">
        <f t="array" ref="AB428">XLOOKUP(X428,'Dados Funil'!A:A,'Dados Funil'!O:O,"")</f>
        <v/>
      </c>
      <c r="AE428" s="7" t="str">
        <f t="shared" si="6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9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G429" s="4"/>
      <c r="H429" s="4"/>
      <c r="I429" s="7" t="str">
        <f t="shared" si="2"/>
        <v/>
      </c>
      <c r="J429" s="4" t="str">
        <f t="shared" si="10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1"/>
        <v/>
      </c>
      <c r="P429" s="4" t="str">
        <f t="array" ref="P429">XLOOKUP(L429,'Dados Funil'!A:A,'Dados Funil'!AM:AM,"")</f>
        <v/>
      </c>
      <c r="Q429" s="9" t="str">
        <f t="array" ref="Q429">XLOOKUP(L429,'Dados Funil'!A:A,'Dados Funil'!AN:AN,"")</f>
        <v/>
      </c>
      <c r="T429" s="7" t="str">
        <f t="shared" si="4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5"/>
        <v/>
      </c>
      <c r="AA429" s="4" t="str">
        <f t="shared" si="13"/>
        <v/>
      </c>
      <c r="AB429" s="4" t="str">
        <f t="array" ref="AB429">XLOOKUP(X429,'Dados Funil'!A:A,'Dados Funil'!O:O,"")</f>
        <v/>
      </c>
      <c r="AE429" s="7" t="str">
        <f t="shared" si="6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9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G430" s="4"/>
      <c r="H430" s="4"/>
      <c r="I430" s="7" t="str">
        <f t="shared" si="2"/>
        <v/>
      </c>
      <c r="J430" s="4" t="str">
        <f t="shared" si="10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1"/>
        <v/>
      </c>
      <c r="P430" s="4" t="str">
        <f t="array" ref="P430">XLOOKUP(L430,'Dados Funil'!A:A,'Dados Funil'!AM:AM,"")</f>
        <v/>
      </c>
      <c r="Q430" s="9" t="str">
        <f t="array" ref="Q430">XLOOKUP(L430,'Dados Funil'!A:A,'Dados Funil'!AN:AN,"")</f>
        <v/>
      </c>
      <c r="T430" s="7" t="str">
        <f t="shared" si="4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5"/>
        <v/>
      </c>
      <c r="AA430" s="4" t="str">
        <f t="shared" si="13"/>
        <v/>
      </c>
      <c r="AB430" s="4" t="str">
        <f t="array" ref="AB430">XLOOKUP(X430,'Dados Funil'!A:A,'Dados Funil'!O:O,"")</f>
        <v/>
      </c>
      <c r="AE430" s="7" t="str">
        <f t="shared" si="6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9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G431" s="4"/>
      <c r="H431" s="4"/>
      <c r="I431" s="7" t="str">
        <f t="shared" si="2"/>
        <v/>
      </c>
      <c r="J431" s="4" t="str">
        <f t="shared" si="10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1"/>
        <v/>
      </c>
      <c r="P431" s="4" t="str">
        <f t="array" ref="P431">XLOOKUP(L431,'Dados Funil'!A:A,'Dados Funil'!AM:AM,"")</f>
        <v/>
      </c>
      <c r="Q431" s="9" t="str">
        <f t="array" ref="Q431">XLOOKUP(L431,'Dados Funil'!A:A,'Dados Funil'!AN:AN,"")</f>
        <v/>
      </c>
      <c r="T431" s="7" t="str">
        <f t="shared" si="4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5"/>
        <v/>
      </c>
      <c r="AA431" s="4" t="str">
        <f t="shared" si="13"/>
        <v/>
      </c>
      <c r="AB431" s="4" t="str">
        <f t="array" ref="AB431">XLOOKUP(X431,'Dados Funil'!A:A,'Dados Funil'!O:O,"")</f>
        <v/>
      </c>
      <c r="AE431" s="7" t="str">
        <f t="shared" si="6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9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G432" s="4"/>
      <c r="H432" s="4"/>
      <c r="I432" s="7" t="str">
        <f t="shared" si="2"/>
        <v/>
      </c>
      <c r="J432" s="4" t="str">
        <f t="shared" si="10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1"/>
        <v/>
      </c>
      <c r="P432" s="4" t="str">
        <f t="array" ref="P432">XLOOKUP(L432,'Dados Funil'!A:A,'Dados Funil'!AM:AM,"")</f>
        <v/>
      </c>
      <c r="Q432" s="9" t="str">
        <f t="array" ref="Q432">XLOOKUP(L432,'Dados Funil'!A:A,'Dados Funil'!AN:AN,"")</f>
        <v/>
      </c>
      <c r="T432" s="7" t="str">
        <f t="shared" si="4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5"/>
        <v/>
      </c>
      <c r="AA432" s="4" t="str">
        <f t="shared" si="13"/>
        <v/>
      </c>
      <c r="AB432" s="4" t="str">
        <f t="array" ref="AB432">XLOOKUP(X432,'Dados Funil'!A:A,'Dados Funil'!O:O,"")</f>
        <v/>
      </c>
      <c r="AE432" s="7" t="str">
        <f t="shared" si="6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9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G433" s="4"/>
      <c r="H433" s="4"/>
      <c r="I433" s="7" t="str">
        <f t="shared" si="2"/>
        <v/>
      </c>
      <c r="J433" s="4" t="str">
        <f t="shared" si="10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1"/>
        <v/>
      </c>
      <c r="P433" s="4" t="str">
        <f t="array" ref="P433">XLOOKUP(L433,'Dados Funil'!A:A,'Dados Funil'!AM:AM,"")</f>
        <v/>
      </c>
      <c r="Q433" s="9" t="str">
        <f t="array" ref="Q433">XLOOKUP(L433,'Dados Funil'!A:A,'Dados Funil'!AN:AN,"")</f>
        <v/>
      </c>
      <c r="T433" s="7" t="str">
        <f t="shared" si="4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5"/>
        <v/>
      </c>
      <c r="AA433" s="4" t="str">
        <f t="shared" si="13"/>
        <v/>
      </c>
      <c r="AB433" s="4" t="str">
        <f t="array" ref="AB433">XLOOKUP(X433,'Dados Funil'!A:A,'Dados Funil'!O:O,"")</f>
        <v/>
      </c>
      <c r="AE433" s="7" t="str">
        <f t="shared" si="6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9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G434" s="4"/>
      <c r="H434" s="4"/>
      <c r="I434" s="7" t="str">
        <f t="shared" si="2"/>
        <v/>
      </c>
      <c r="J434" s="4" t="str">
        <f t="shared" si="10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1"/>
        <v/>
      </c>
      <c r="P434" s="4" t="str">
        <f t="array" ref="P434">XLOOKUP(L434,'Dados Funil'!A:A,'Dados Funil'!AM:AM,"")</f>
        <v/>
      </c>
      <c r="Q434" s="9" t="str">
        <f t="array" ref="Q434">XLOOKUP(L434,'Dados Funil'!A:A,'Dados Funil'!AN:AN,"")</f>
        <v/>
      </c>
      <c r="T434" s="7" t="str">
        <f t="shared" si="4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5"/>
        <v/>
      </c>
      <c r="AA434" s="4" t="str">
        <f t="shared" si="13"/>
        <v/>
      </c>
      <c r="AB434" s="4" t="str">
        <f t="array" ref="AB434">XLOOKUP(X434,'Dados Funil'!A:A,'Dados Funil'!O:O,"")</f>
        <v/>
      </c>
      <c r="AE434" s="7" t="str">
        <f t="shared" si="6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9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G435" s="4"/>
      <c r="H435" s="4"/>
      <c r="I435" s="7" t="str">
        <f t="shared" si="2"/>
        <v/>
      </c>
      <c r="J435" s="4" t="str">
        <f t="shared" si="10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1"/>
        <v/>
      </c>
      <c r="P435" s="4" t="str">
        <f t="array" ref="P435">XLOOKUP(L435,'Dados Funil'!A:A,'Dados Funil'!AM:AM,"")</f>
        <v/>
      </c>
      <c r="Q435" s="9" t="str">
        <f t="array" ref="Q435">XLOOKUP(L435,'Dados Funil'!A:A,'Dados Funil'!AN:AN,"")</f>
        <v/>
      </c>
      <c r="T435" s="7" t="str">
        <f t="shared" si="4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5"/>
        <v/>
      </c>
      <c r="AA435" s="4" t="str">
        <f t="shared" si="13"/>
        <v/>
      </c>
      <c r="AB435" s="4" t="str">
        <f t="array" ref="AB435">XLOOKUP(X435,'Dados Funil'!A:A,'Dados Funil'!O:O,"")</f>
        <v/>
      </c>
      <c r="AE435" s="7" t="str">
        <f t="shared" si="6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9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G436" s="4"/>
      <c r="H436" s="4"/>
      <c r="I436" s="7" t="str">
        <f t="shared" si="2"/>
        <v/>
      </c>
      <c r="J436" s="4" t="str">
        <f t="shared" si="10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1"/>
        <v/>
      </c>
      <c r="P436" s="4" t="str">
        <f t="array" ref="P436">XLOOKUP(L436,'Dados Funil'!A:A,'Dados Funil'!AM:AM,"")</f>
        <v/>
      </c>
      <c r="Q436" s="9" t="str">
        <f t="array" ref="Q436">XLOOKUP(L436,'Dados Funil'!A:A,'Dados Funil'!AN:AN,"")</f>
        <v/>
      </c>
      <c r="T436" s="7" t="str">
        <f t="shared" si="4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5"/>
        <v/>
      </c>
      <c r="AA436" s="4" t="str">
        <f t="shared" si="13"/>
        <v/>
      </c>
      <c r="AB436" s="4" t="str">
        <f t="array" ref="AB436">XLOOKUP(X436,'Dados Funil'!A:A,'Dados Funil'!O:O,"")</f>
        <v/>
      </c>
      <c r="AE436" s="7" t="str">
        <f t="shared" si="6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9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G437" s="4"/>
      <c r="H437" s="4"/>
      <c r="I437" s="7" t="str">
        <f t="shared" si="2"/>
        <v/>
      </c>
      <c r="J437" s="4" t="str">
        <f t="shared" si="10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1"/>
        <v/>
      </c>
      <c r="P437" s="4" t="str">
        <f t="array" ref="P437">XLOOKUP(L437,'Dados Funil'!A:A,'Dados Funil'!AM:AM,"")</f>
        <v/>
      </c>
      <c r="Q437" s="9" t="str">
        <f t="array" ref="Q437">XLOOKUP(L437,'Dados Funil'!A:A,'Dados Funil'!AN:AN,"")</f>
        <v/>
      </c>
      <c r="T437" s="7" t="str">
        <f t="shared" si="4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5"/>
        <v/>
      </c>
      <c r="AA437" s="4" t="str">
        <f t="shared" si="13"/>
        <v/>
      </c>
      <c r="AB437" s="4" t="str">
        <f t="array" ref="AB437">XLOOKUP(X437,'Dados Funil'!A:A,'Dados Funil'!O:O,"")</f>
        <v/>
      </c>
      <c r="AE437" s="7" t="str">
        <f t="shared" si="6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9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G438" s="4"/>
      <c r="H438" s="4"/>
      <c r="I438" s="7" t="str">
        <f t="shared" si="2"/>
        <v/>
      </c>
      <c r="J438" s="4" t="str">
        <f t="shared" si="10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1"/>
        <v/>
      </c>
      <c r="P438" s="4" t="str">
        <f t="array" ref="P438">XLOOKUP(L438,'Dados Funil'!A:A,'Dados Funil'!AM:AM,"")</f>
        <v/>
      </c>
      <c r="Q438" s="9" t="str">
        <f t="array" ref="Q438">XLOOKUP(L438,'Dados Funil'!A:A,'Dados Funil'!AN:AN,"")</f>
        <v/>
      </c>
      <c r="T438" s="7" t="str">
        <f t="shared" si="4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5"/>
        <v/>
      </c>
      <c r="AA438" s="4" t="str">
        <f t="shared" si="13"/>
        <v/>
      </c>
      <c r="AB438" s="4" t="str">
        <f t="array" ref="AB438">XLOOKUP(X438,'Dados Funil'!A:A,'Dados Funil'!O:O,"")</f>
        <v/>
      </c>
      <c r="AE438" s="7" t="str">
        <f t="shared" si="6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9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G439" s="4"/>
      <c r="H439" s="4"/>
      <c r="I439" s="7" t="str">
        <f t="shared" si="2"/>
        <v/>
      </c>
      <c r="J439" s="4" t="str">
        <f t="shared" si="10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1"/>
        <v/>
      </c>
      <c r="P439" s="4" t="str">
        <f t="array" ref="P439">XLOOKUP(L439,'Dados Funil'!A:A,'Dados Funil'!AM:AM,"")</f>
        <v/>
      </c>
      <c r="Q439" s="9" t="str">
        <f t="array" ref="Q439">XLOOKUP(L439,'Dados Funil'!A:A,'Dados Funil'!AN:AN,"")</f>
        <v/>
      </c>
      <c r="T439" s="7" t="str">
        <f t="shared" si="4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5"/>
        <v/>
      </c>
      <c r="AA439" s="4" t="str">
        <f t="shared" si="13"/>
        <v/>
      </c>
      <c r="AB439" s="4" t="str">
        <f t="array" ref="AB439">XLOOKUP(X439,'Dados Funil'!A:A,'Dados Funil'!O:O,"")</f>
        <v/>
      </c>
      <c r="AE439" s="7" t="str">
        <f t="shared" si="6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9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G440" s="4"/>
      <c r="H440" s="4"/>
      <c r="I440" s="7" t="str">
        <f t="shared" si="2"/>
        <v/>
      </c>
      <c r="J440" s="4" t="str">
        <f t="shared" si="10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1"/>
        <v/>
      </c>
      <c r="P440" s="4" t="str">
        <f t="array" ref="P440">XLOOKUP(L440,'Dados Funil'!A:A,'Dados Funil'!AM:AM,"")</f>
        <v/>
      </c>
      <c r="Q440" s="9" t="str">
        <f t="array" ref="Q440">XLOOKUP(L440,'Dados Funil'!A:A,'Dados Funil'!AN:AN,"")</f>
        <v/>
      </c>
      <c r="T440" s="7" t="str">
        <f t="shared" si="4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5"/>
        <v/>
      </c>
      <c r="AA440" s="4" t="str">
        <f t="shared" si="13"/>
        <v/>
      </c>
      <c r="AB440" s="4" t="str">
        <f t="array" ref="AB440">XLOOKUP(X440,'Dados Funil'!A:A,'Dados Funil'!O:O,"")</f>
        <v/>
      </c>
      <c r="AE440" s="7" t="str">
        <f t="shared" si="6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9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G441" s="4"/>
      <c r="H441" s="4"/>
      <c r="I441" s="7" t="str">
        <f t="shared" si="2"/>
        <v/>
      </c>
      <c r="J441" s="4" t="str">
        <f t="shared" si="10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1"/>
        <v/>
      </c>
      <c r="P441" s="4" t="str">
        <f t="array" ref="P441">XLOOKUP(L441,'Dados Funil'!A:A,'Dados Funil'!AM:AM,"")</f>
        <v/>
      </c>
      <c r="Q441" s="9" t="str">
        <f t="array" ref="Q441">XLOOKUP(L441,'Dados Funil'!A:A,'Dados Funil'!AN:AN,"")</f>
        <v/>
      </c>
      <c r="T441" s="7" t="str">
        <f t="shared" si="4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5"/>
        <v/>
      </c>
      <c r="AA441" s="4" t="str">
        <f t="shared" si="13"/>
        <v/>
      </c>
      <c r="AB441" s="4" t="str">
        <f t="array" ref="AB441">XLOOKUP(X441,'Dados Funil'!A:A,'Dados Funil'!O:O,"")</f>
        <v/>
      </c>
      <c r="AE441" s="7" t="str">
        <f t="shared" si="6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9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G442" s="4"/>
      <c r="H442" s="4"/>
      <c r="I442" s="7" t="str">
        <f t="shared" si="2"/>
        <v/>
      </c>
      <c r="J442" s="4" t="str">
        <f t="shared" si="10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1"/>
        <v/>
      </c>
      <c r="P442" s="4" t="str">
        <f t="array" ref="P442">XLOOKUP(L442,'Dados Funil'!A:A,'Dados Funil'!AM:AM,"")</f>
        <v/>
      </c>
      <c r="Q442" s="9" t="str">
        <f t="array" ref="Q442">XLOOKUP(L442,'Dados Funil'!A:A,'Dados Funil'!AN:AN,"")</f>
        <v/>
      </c>
      <c r="T442" s="7" t="str">
        <f t="shared" si="4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5"/>
        <v/>
      </c>
      <c r="AA442" s="4" t="str">
        <f t="shared" si="13"/>
        <v/>
      </c>
      <c r="AB442" s="4" t="str">
        <f t="array" ref="AB442">XLOOKUP(X442,'Dados Funil'!A:A,'Dados Funil'!O:O,"")</f>
        <v/>
      </c>
      <c r="AE442" s="7" t="str">
        <f t="shared" si="6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9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G443" s="4"/>
      <c r="H443" s="4"/>
      <c r="I443" s="7" t="str">
        <f t="shared" si="2"/>
        <v/>
      </c>
      <c r="J443" s="4" t="str">
        <f t="shared" si="10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1"/>
        <v/>
      </c>
      <c r="P443" s="4" t="str">
        <f t="array" ref="P443">XLOOKUP(L443,'Dados Funil'!A:A,'Dados Funil'!AM:AM,"")</f>
        <v/>
      </c>
      <c r="Q443" s="9" t="str">
        <f t="array" ref="Q443">XLOOKUP(L443,'Dados Funil'!A:A,'Dados Funil'!AN:AN,"")</f>
        <v/>
      </c>
      <c r="T443" s="7" t="str">
        <f t="shared" si="4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5"/>
        <v/>
      </c>
      <c r="AA443" s="4" t="str">
        <f t="shared" si="13"/>
        <v/>
      </c>
      <c r="AB443" s="4" t="str">
        <f t="array" ref="AB443">XLOOKUP(X443,'Dados Funil'!A:A,'Dados Funil'!O:O,"")</f>
        <v/>
      </c>
      <c r="AE443" s="7" t="str">
        <f t="shared" si="6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9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G444" s="4"/>
      <c r="H444" s="4"/>
      <c r="I444" s="7" t="str">
        <f t="shared" si="2"/>
        <v/>
      </c>
      <c r="J444" s="4" t="str">
        <f t="shared" si="10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1"/>
        <v/>
      </c>
      <c r="P444" s="4" t="str">
        <f t="array" ref="P444">XLOOKUP(L444,'Dados Funil'!A:A,'Dados Funil'!AM:AM,"")</f>
        <v/>
      </c>
      <c r="Q444" s="9" t="str">
        <f t="array" ref="Q444">XLOOKUP(L444,'Dados Funil'!A:A,'Dados Funil'!AN:AN,"")</f>
        <v/>
      </c>
      <c r="T444" s="7" t="str">
        <f t="shared" si="4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5"/>
        <v/>
      </c>
      <c r="AA444" s="4" t="str">
        <f t="shared" si="13"/>
        <v/>
      </c>
      <c r="AB444" s="4" t="str">
        <f t="array" ref="AB444">XLOOKUP(X444,'Dados Funil'!A:A,'Dados Funil'!O:O,"")</f>
        <v/>
      </c>
      <c r="AE444" s="7" t="str">
        <f t="shared" si="6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9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G445" s="4"/>
      <c r="H445" s="4"/>
      <c r="I445" s="7" t="str">
        <f t="shared" si="2"/>
        <v/>
      </c>
      <c r="J445" s="4" t="str">
        <f t="shared" si="10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1"/>
        <v/>
      </c>
      <c r="P445" s="4" t="str">
        <f t="array" ref="P445">XLOOKUP(L445,'Dados Funil'!A:A,'Dados Funil'!AM:AM,"")</f>
        <v/>
      </c>
      <c r="Q445" s="9" t="str">
        <f t="array" ref="Q445">XLOOKUP(L445,'Dados Funil'!A:A,'Dados Funil'!AN:AN,"")</f>
        <v/>
      </c>
      <c r="T445" s="7" t="str">
        <f t="shared" si="4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5"/>
        <v/>
      </c>
      <c r="AA445" s="4" t="str">
        <f t="shared" si="13"/>
        <v/>
      </c>
      <c r="AB445" s="4" t="str">
        <f t="array" ref="AB445">XLOOKUP(X445,'Dados Funil'!A:A,'Dados Funil'!O:O,"")</f>
        <v/>
      </c>
      <c r="AE445" s="7" t="str">
        <f t="shared" si="6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9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G446" s="4"/>
      <c r="H446" s="4"/>
      <c r="I446" s="7" t="str">
        <f t="shared" si="2"/>
        <v/>
      </c>
      <c r="J446" s="4" t="str">
        <f t="shared" si="10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1"/>
        <v/>
      </c>
      <c r="P446" s="4" t="str">
        <f t="array" ref="P446">XLOOKUP(L446,'Dados Funil'!A:A,'Dados Funil'!AM:AM,"")</f>
        <v/>
      </c>
      <c r="Q446" s="9" t="str">
        <f t="array" ref="Q446">XLOOKUP(L446,'Dados Funil'!A:A,'Dados Funil'!AN:AN,"")</f>
        <v/>
      </c>
      <c r="T446" s="7" t="str">
        <f t="shared" si="4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5"/>
        <v/>
      </c>
      <c r="AA446" s="4" t="str">
        <f t="shared" si="13"/>
        <v/>
      </c>
      <c r="AB446" s="4" t="str">
        <f t="array" ref="AB446">XLOOKUP(X446,'Dados Funil'!A:A,'Dados Funil'!O:O,"")</f>
        <v/>
      </c>
      <c r="AE446" s="7" t="str">
        <f t="shared" si="6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9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G447" s="4"/>
      <c r="H447" s="4"/>
      <c r="I447" s="7" t="str">
        <f t="shared" si="2"/>
        <v/>
      </c>
      <c r="J447" s="4" t="str">
        <f t="shared" si="10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1"/>
        <v/>
      </c>
      <c r="P447" s="4" t="str">
        <f t="array" ref="P447">XLOOKUP(L447,'Dados Funil'!A:A,'Dados Funil'!AM:AM,"")</f>
        <v/>
      </c>
      <c r="Q447" s="9" t="str">
        <f t="array" ref="Q447">XLOOKUP(L447,'Dados Funil'!A:A,'Dados Funil'!AN:AN,"")</f>
        <v/>
      </c>
      <c r="T447" s="7" t="str">
        <f t="shared" si="4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5"/>
        <v/>
      </c>
      <c r="AA447" s="4" t="str">
        <f t="shared" si="13"/>
        <v/>
      </c>
      <c r="AB447" s="4" t="str">
        <f t="array" ref="AB447">XLOOKUP(X447,'Dados Funil'!A:A,'Dados Funil'!O:O,"")</f>
        <v/>
      </c>
      <c r="AE447" s="7" t="str">
        <f t="shared" si="6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9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G448" s="4"/>
      <c r="H448" s="4"/>
      <c r="I448" s="7" t="str">
        <f t="shared" si="2"/>
        <v/>
      </c>
      <c r="J448" s="4" t="str">
        <f t="shared" si="10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1"/>
        <v/>
      </c>
      <c r="P448" s="4" t="str">
        <f t="array" ref="P448">XLOOKUP(L448,'Dados Funil'!A:A,'Dados Funil'!AM:AM,"")</f>
        <v/>
      </c>
      <c r="Q448" s="9" t="str">
        <f t="array" ref="Q448">XLOOKUP(L448,'Dados Funil'!A:A,'Dados Funil'!AN:AN,"")</f>
        <v/>
      </c>
      <c r="T448" s="7" t="str">
        <f t="shared" si="4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5"/>
        <v/>
      </c>
      <c r="AA448" s="4" t="str">
        <f t="shared" si="13"/>
        <v/>
      </c>
      <c r="AB448" s="4" t="str">
        <f t="array" ref="AB448">XLOOKUP(X448,'Dados Funil'!A:A,'Dados Funil'!O:O,"")</f>
        <v/>
      </c>
      <c r="AE448" s="7" t="str">
        <f t="shared" si="6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9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G449" s="4"/>
      <c r="H449" s="4"/>
      <c r="I449" s="7" t="str">
        <f t="shared" si="2"/>
        <v/>
      </c>
      <c r="J449" s="4" t="str">
        <f t="shared" si="10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1"/>
        <v/>
      </c>
      <c r="P449" s="4" t="str">
        <f t="array" ref="P449">XLOOKUP(L449,'Dados Funil'!A:A,'Dados Funil'!AM:AM,"")</f>
        <v/>
      </c>
      <c r="Q449" s="9" t="str">
        <f t="array" ref="Q449">XLOOKUP(L449,'Dados Funil'!A:A,'Dados Funil'!AN:AN,"")</f>
        <v/>
      </c>
      <c r="T449" s="7" t="str">
        <f t="shared" si="4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5"/>
        <v/>
      </c>
      <c r="AA449" s="4" t="str">
        <f t="shared" si="13"/>
        <v/>
      </c>
      <c r="AB449" s="4" t="str">
        <f t="array" ref="AB449">XLOOKUP(X449,'Dados Funil'!A:A,'Dados Funil'!O:O,"")</f>
        <v/>
      </c>
      <c r="AE449" s="7" t="str">
        <f t="shared" si="6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9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G450" s="4"/>
      <c r="H450" s="4"/>
      <c r="I450" s="7" t="str">
        <f t="shared" si="2"/>
        <v/>
      </c>
      <c r="J450" s="4" t="str">
        <f t="shared" si="10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1"/>
        <v/>
      </c>
      <c r="P450" s="4" t="str">
        <f t="array" ref="P450">XLOOKUP(L450,'Dados Funil'!A:A,'Dados Funil'!AM:AM,"")</f>
        <v/>
      </c>
      <c r="Q450" s="9" t="str">
        <f t="array" ref="Q450">XLOOKUP(L450,'Dados Funil'!A:A,'Dados Funil'!AN:AN,"")</f>
        <v/>
      </c>
      <c r="T450" s="7" t="str">
        <f t="shared" si="4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5"/>
        <v/>
      </c>
      <c r="AA450" s="4" t="str">
        <f t="shared" si="13"/>
        <v/>
      </c>
      <c r="AB450" s="4" t="str">
        <f t="array" ref="AB450">XLOOKUP(X450,'Dados Funil'!A:A,'Dados Funil'!O:O,"")</f>
        <v/>
      </c>
      <c r="AE450" s="7" t="str">
        <f t="shared" si="6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9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G451" s="4"/>
      <c r="H451" s="4"/>
      <c r="I451" s="7" t="str">
        <f t="shared" si="2"/>
        <v/>
      </c>
      <c r="J451" s="4" t="str">
        <f t="shared" si="10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1"/>
        <v/>
      </c>
      <c r="P451" s="4" t="str">
        <f t="array" ref="P451">XLOOKUP(L451,'Dados Funil'!A:A,'Dados Funil'!AM:AM,"")</f>
        <v/>
      </c>
      <c r="Q451" s="9" t="str">
        <f t="array" ref="Q451">XLOOKUP(L451,'Dados Funil'!A:A,'Dados Funil'!AN:AN,"")</f>
        <v/>
      </c>
      <c r="T451" s="7" t="str">
        <f t="shared" si="4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5"/>
        <v/>
      </c>
      <c r="AA451" s="4" t="str">
        <f t="shared" si="13"/>
        <v/>
      </c>
      <c r="AB451" s="4" t="str">
        <f t="array" ref="AB451">XLOOKUP(X451,'Dados Funil'!A:A,'Dados Funil'!O:O,"")</f>
        <v/>
      </c>
      <c r="AE451" s="7" t="str">
        <f t="shared" si="6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9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G452" s="4"/>
      <c r="H452" s="4"/>
      <c r="I452" s="7" t="str">
        <f t="shared" si="2"/>
        <v/>
      </c>
      <c r="J452" s="4" t="str">
        <f t="shared" si="10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1"/>
        <v/>
      </c>
      <c r="P452" s="4" t="str">
        <f t="array" ref="P452">XLOOKUP(L452,'Dados Funil'!A:A,'Dados Funil'!AM:AM,"")</f>
        <v/>
      </c>
      <c r="Q452" s="9" t="str">
        <f t="array" ref="Q452">XLOOKUP(L452,'Dados Funil'!A:A,'Dados Funil'!AN:AN,"")</f>
        <v/>
      </c>
      <c r="T452" s="7" t="str">
        <f t="shared" si="4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5"/>
        <v/>
      </c>
      <c r="AA452" s="4" t="str">
        <f t="shared" si="13"/>
        <v/>
      </c>
      <c r="AB452" s="4" t="str">
        <f t="array" ref="AB452">XLOOKUP(X452,'Dados Funil'!A:A,'Dados Funil'!O:O,"")</f>
        <v/>
      </c>
      <c r="AE452" s="7" t="str">
        <f t="shared" si="6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9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G453" s="4"/>
      <c r="H453" s="4"/>
      <c r="I453" s="7" t="str">
        <f t="shared" si="2"/>
        <v/>
      </c>
      <c r="J453" s="4" t="str">
        <f t="shared" si="10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1"/>
        <v/>
      </c>
      <c r="P453" s="4" t="str">
        <f t="array" ref="P453">XLOOKUP(L453,'Dados Funil'!A:A,'Dados Funil'!AM:AM,"")</f>
        <v/>
      </c>
      <c r="Q453" s="9" t="str">
        <f t="array" ref="Q453">XLOOKUP(L453,'Dados Funil'!A:A,'Dados Funil'!AN:AN,"")</f>
        <v/>
      </c>
      <c r="T453" s="7" t="str">
        <f t="shared" si="4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5"/>
        <v/>
      </c>
      <c r="AA453" s="4" t="str">
        <f t="shared" si="13"/>
        <v/>
      </c>
      <c r="AB453" s="4" t="str">
        <f t="array" ref="AB453">XLOOKUP(X453,'Dados Funil'!A:A,'Dados Funil'!O:O,"")</f>
        <v/>
      </c>
      <c r="AE453" s="7" t="str">
        <f t="shared" si="6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9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G454" s="4"/>
      <c r="H454" s="4"/>
      <c r="I454" s="7" t="str">
        <f t="shared" si="2"/>
        <v/>
      </c>
      <c r="J454" s="4" t="str">
        <f t="shared" si="10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1"/>
        <v/>
      </c>
      <c r="P454" s="4" t="str">
        <f t="array" ref="P454">XLOOKUP(L454,'Dados Funil'!A:A,'Dados Funil'!AM:AM,"")</f>
        <v/>
      </c>
      <c r="Q454" s="9" t="str">
        <f t="array" ref="Q454">XLOOKUP(L454,'Dados Funil'!A:A,'Dados Funil'!AN:AN,"")</f>
        <v/>
      </c>
      <c r="T454" s="7" t="str">
        <f t="shared" si="4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5"/>
        <v/>
      </c>
      <c r="AA454" s="4" t="str">
        <f t="shared" si="13"/>
        <v/>
      </c>
      <c r="AB454" s="4" t="str">
        <f t="array" ref="AB454">XLOOKUP(X454,'Dados Funil'!A:A,'Dados Funil'!O:O,"")</f>
        <v/>
      </c>
      <c r="AE454" s="7" t="str">
        <f t="shared" si="6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9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G455" s="4"/>
      <c r="H455" s="4"/>
      <c r="I455" s="7" t="str">
        <f t="shared" si="2"/>
        <v/>
      </c>
      <c r="J455" s="4" t="str">
        <f t="shared" si="10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1"/>
        <v/>
      </c>
      <c r="P455" s="4" t="str">
        <f t="array" ref="P455">XLOOKUP(L455,'Dados Funil'!A:A,'Dados Funil'!AM:AM,"")</f>
        <v/>
      </c>
      <c r="Q455" s="9" t="str">
        <f t="array" ref="Q455">XLOOKUP(L455,'Dados Funil'!A:A,'Dados Funil'!AN:AN,"")</f>
        <v/>
      </c>
      <c r="T455" s="7" t="str">
        <f t="shared" si="4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5"/>
        <v/>
      </c>
      <c r="AA455" s="4" t="str">
        <f t="shared" si="13"/>
        <v/>
      </c>
      <c r="AB455" s="4" t="str">
        <f t="array" ref="AB455">XLOOKUP(X455,'Dados Funil'!A:A,'Dados Funil'!O:O,"")</f>
        <v/>
      </c>
      <c r="AE455" s="7" t="str">
        <f t="shared" si="6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9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G456" s="4"/>
      <c r="H456" s="4"/>
      <c r="I456" s="7" t="str">
        <f t="shared" si="2"/>
        <v/>
      </c>
      <c r="J456" s="4" t="str">
        <f t="shared" si="10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1"/>
        <v/>
      </c>
      <c r="P456" s="4" t="str">
        <f t="array" ref="P456">XLOOKUP(L456,'Dados Funil'!A:A,'Dados Funil'!AM:AM,"")</f>
        <v/>
      </c>
      <c r="Q456" s="9" t="str">
        <f t="array" ref="Q456">XLOOKUP(L456,'Dados Funil'!A:A,'Dados Funil'!AN:AN,"")</f>
        <v/>
      </c>
      <c r="T456" s="7" t="str">
        <f t="shared" si="4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5"/>
        <v/>
      </c>
      <c r="AA456" s="4" t="str">
        <f t="shared" si="13"/>
        <v/>
      </c>
      <c r="AB456" s="4" t="str">
        <f t="array" ref="AB456">XLOOKUP(X456,'Dados Funil'!A:A,'Dados Funil'!O:O,"")</f>
        <v/>
      </c>
      <c r="AE456" s="7" t="str">
        <f t="shared" si="6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9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G457" s="4"/>
      <c r="H457" s="4"/>
      <c r="I457" s="7" t="str">
        <f t="shared" si="2"/>
        <v/>
      </c>
      <c r="J457" s="4" t="str">
        <f t="shared" si="10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1"/>
        <v/>
      </c>
      <c r="P457" s="4" t="str">
        <f t="array" ref="P457">XLOOKUP(L457,'Dados Funil'!A:A,'Dados Funil'!AM:AM,"")</f>
        <v/>
      </c>
      <c r="Q457" s="9" t="str">
        <f t="array" ref="Q457">XLOOKUP(L457,'Dados Funil'!A:A,'Dados Funil'!AN:AN,"")</f>
        <v/>
      </c>
      <c r="T457" s="7" t="str">
        <f t="shared" si="4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5"/>
        <v/>
      </c>
      <c r="AA457" s="4" t="str">
        <f t="shared" si="13"/>
        <v/>
      </c>
      <c r="AB457" s="4" t="str">
        <f t="array" ref="AB457">XLOOKUP(X457,'Dados Funil'!A:A,'Dados Funil'!O:O,"")</f>
        <v/>
      </c>
      <c r="AE457" s="7" t="str">
        <f t="shared" si="6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9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G458" s="4"/>
      <c r="H458" s="4"/>
      <c r="I458" s="7" t="str">
        <f t="shared" si="2"/>
        <v/>
      </c>
      <c r="J458" s="4" t="str">
        <f t="shared" si="10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1"/>
        <v/>
      </c>
      <c r="P458" s="4" t="str">
        <f t="array" ref="P458">XLOOKUP(L458,'Dados Funil'!A:A,'Dados Funil'!AM:AM,"")</f>
        <v/>
      </c>
      <c r="Q458" s="9" t="str">
        <f t="array" ref="Q458">XLOOKUP(L458,'Dados Funil'!A:A,'Dados Funil'!AN:AN,"")</f>
        <v/>
      </c>
      <c r="T458" s="7" t="str">
        <f t="shared" si="4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5"/>
        <v/>
      </c>
      <c r="AA458" s="4" t="str">
        <f t="shared" si="13"/>
        <v/>
      </c>
      <c r="AB458" s="4" t="str">
        <f t="array" ref="AB458">XLOOKUP(X458,'Dados Funil'!A:A,'Dados Funil'!O:O,"")</f>
        <v/>
      </c>
      <c r="AE458" s="7" t="str">
        <f t="shared" si="6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9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G459" s="4"/>
      <c r="H459" s="4"/>
      <c r="I459" s="7" t="str">
        <f t="shared" si="2"/>
        <v/>
      </c>
      <c r="J459" s="4" t="str">
        <f t="shared" si="10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1"/>
        <v/>
      </c>
      <c r="P459" s="4" t="str">
        <f t="array" ref="P459">XLOOKUP(L459,'Dados Funil'!A:A,'Dados Funil'!AM:AM,"")</f>
        <v/>
      </c>
      <c r="Q459" s="9" t="str">
        <f t="array" ref="Q459">XLOOKUP(L459,'Dados Funil'!A:A,'Dados Funil'!AN:AN,"")</f>
        <v/>
      </c>
      <c r="T459" s="7" t="str">
        <f t="shared" si="4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5"/>
        <v/>
      </c>
      <c r="AA459" s="4" t="str">
        <f t="shared" si="13"/>
        <v/>
      </c>
      <c r="AB459" s="4" t="str">
        <f t="array" ref="AB459">XLOOKUP(X459,'Dados Funil'!A:A,'Dados Funil'!O:O,"")</f>
        <v/>
      </c>
      <c r="AE459" s="7" t="str">
        <f t="shared" si="6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9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G460" s="4"/>
      <c r="H460" s="4"/>
      <c r="I460" s="7" t="str">
        <f t="shared" si="2"/>
        <v/>
      </c>
      <c r="J460" s="4" t="str">
        <f t="shared" si="10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1"/>
        <v/>
      </c>
      <c r="P460" s="4" t="str">
        <f t="array" ref="P460">XLOOKUP(L460,'Dados Funil'!A:A,'Dados Funil'!AM:AM,"")</f>
        <v/>
      </c>
      <c r="Q460" s="9" t="str">
        <f t="array" ref="Q460">XLOOKUP(L460,'Dados Funil'!A:A,'Dados Funil'!AN:AN,"")</f>
        <v/>
      </c>
      <c r="T460" s="7" t="str">
        <f t="shared" si="4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5"/>
        <v/>
      </c>
      <c r="AA460" s="4" t="str">
        <f t="shared" si="13"/>
        <v/>
      </c>
      <c r="AB460" s="4" t="str">
        <f t="array" ref="AB460">XLOOKUP(X460,'Dados Funil'!A:A,'Dados Funil'!O:O,"")</f>
        <v/>
      </c>
      <c r="AE460" s="7" t="str">
        <f t="shared" si="6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9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G461" s="4"/>
      <c r="H461" s="4"/>
      <c r="I461" s="7" t="str">
        <f t="shared" si="2"/>
        <v/>
      </c>
      <c r="J461" s="4" t="str">
        <f t="shared" si="10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1"/>
        <v/>
      </c>
      <c r="P461" s="4" t="str">
        <f t="array" ref="P461">XLOOKUP(L461,'Dados Funil'!A:A,'Dados Funil'!AM:AM,"")</f>
        <v/>
      </c>
      <c r="Q461" s="9" t="str">
        <f t="array" ref="Q461">XLOOKUP(L461,'Dados Funil'!A:A,'Dados Funil'!AN:AN,"")</f>
        <v/>
      </c>
      <c r="T461" s="7" t="str">
        <f t="shared" si="4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5"/>
        <v/>
      </c>
      <c r="AA461" s="4" t="str">
        <f t="shared" si="13"/>
        <v/>
      </c>
      <c r="AB461" s="4" t="str">
        <f t="array" ref="AB461">XLOOKUP(X461,'Dados Funil'!A:A,'Dados Funil'!O:O,"")</f>
        <v/>
      </c>
      <c r="AE461" s="7" t="str">
        <f t="shared" si="6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9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G462" s="4"/>
      <c r="H462" s="4"/>
      <c r="I462" s="7" t="str">
        <f t="shared" si="2"/>
        <v/>
      </c>
      <c r="J462" s="4" t="str">
        <f t="shared" si="10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1"/>
        <v/>
      </c>
      <c r="P462" s="4" t="str">
        <f t="array" ref="P462">XLOOKUP(L462,'Dados Funil'!A:A,'Dados Funil'!AM:AM,"")</f>
        <v/>
      </c>
      <c r="Q462" s="9" t="str">
        <f t="array" ref="Q462">XLOOKUP(L462,'Dados Funil'!A:A,'Dados Funil'!AN:AN,"")</f>
        <v/>
      </c>
      <c r="T462" s="7" t="str">
        <f t="shared" si="4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5"/>
        <v/>
      </c>
      <c r="AA462" s="4" t="str">
        <f t="shared" si="13"/>
        <v/>
      </c>
      <c r="AB462" s="4" t="str">
        <f t="array" ref="AB462">XLOOKUP(X462,'Dados Funil'!A:A,'Dados Funil'!O:O,"")</f>
        <v/>
      </c>
      <c r="AE462" s="7" t="str">
        <f t="shared" si="6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9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G463" s="4"/>
      <c r="H463" s="4"/>
      <c r="I463" s="7" t="str">
        <f t="shared" si="2"/>
        <v/>
      </c>
      <c r="J463" s="4" t="str">
        <f t="shared" si="10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1"/>
        <v/>
      </c>
      <c r="P463" s="4" t="str">
        <f t="array" ref="P463">XLOOKUP(L463,'Dados Funil'!A:A,'Dados Funil'!AM:AM,"")</f>
        <v/>
      </c>
      <c r="Q463" s="9" t="str">
        <f t="array" ref="Q463">XLOOKUP(L463,'Dados Funil'!A:A,'Dados Funil'!AN:AN,"")</f>
        <v/>
      </c>
      <c r="T463" s="7" t="str">
        <f t="shared" si="4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5"/>
        <v/>
      </c>
      <c r="AA463" s="4" t="str">
        <f t="shared" si="13"/>
        <v/>
      </c>
      <c r="AB463" s="4" t="str">
        <f t="array" ref="AB463">XLOOKUP(X463,'Dados Funil'!A:A,'Dados Funil'!O:O,"")</f>
        <v/>
      </c>
      <c r="AE463" s="7" t="str">
        <f t="shared" si="6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9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G464" s="4"/>
      <c r="H464" s="4"/>
      <c r="I464" s="7" t="str">
        <f t="shared" si="2"/>
        <v/>
      </c>
      <c r="J464" s="4" t="str">
        <f t="shared" si="10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1"/>
        <v/>
      </c>
      <c r="P464" s="4" t="str">
        <f t="array" ref="P464">XLOOKUP(L464,'Dados Funil'!A:A,'Dados Funil'!AM:AM,"")</f>
        <v/>
      </c>
      <c r="Q464" s="9" t="str">
        <f t="array" ref="Q464">XLOOKUP(L464,'Dados Funil'!A:A,'Dados Funil'!AN:AN,"")</f>
        <v/>
      </c>
      <c r="T464" s="7" t="str">
        <f t="shared" si="4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5"/>
        <v/>
      </c>
      <c r="AA464" s="4" t="str">
        <f t="shared" si="13"/>
        <v/>
      </c>
      <c r="AB464" s="4" t="str">
        <f t="array" ref="AB464">XLOOKUP(X464,'Dados Funil'!A:A,'Dados Funil'!O:O,"")</f>
        <v/>
      </c>
      <c r="AE464" s="7" t="str">
        <f t="shared" si="6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9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G465" s="4"/>
      <c r="H465" s="4"/>
      <c r="I465" s="7" t="str">
        <f t="shared" si="2"/>
        <v/>
      </c>
      <c r="J465" s="4" t="str">
        <f t="shared" si="10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1"/>
        <v/>
      </c>
      <c r="P465" s="4" t="str">
        <f t="array" ref="P465">XLOOKUP(L465,'Dados Funil'!A:A,'Dados Funil'!AM:AM,"")</f>
        <v/>
      </c>
      <c r="Q465" s="9" t="str">
        <f t="array" ref="Q465">XLOOKUP(L465,'Dados Funil'!A:A,'Dados Funil'!AN:AN,"")</f>
        <v/>
      </c>
      <c r="T465" s="7" t="str">
        <f t="shared" si="4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5"/>
        <v/>
      </c>
      <c r="AA465" s="4" t="str">
        <f t="shared" si="13"/>
        <v/>
      </c>
      <c r="AB465" s="4" t="str">
        <f t="array" ref="AB465">XLOOKUP(X465,'Dados Funil'!A:A,'Dados Funil'!O:O,"")</f>
        <v/>
      </c>
      <c r="AE465" s="7" t="str">
        <f t="shared" si="6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9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G466" s="4"/>
      <c r="H466" s="4"/>
      <c r="I466" s="7" t="str">
        <f t="shared" si="2"/>
        <v/>
      </c>
      <c r="J466" s="4" t="str">
        <f t="shared" si="10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1"/>
        <v/>
      </c>
      <c r="P466" s="4" t="str">
        <f t="array" ref="P466">XLOOKUP(L466,'Dados Funil'!A:A,'Dados Funil'!AM:AM,"")</f>
        <v/>
      </c>
      <c r="Q466" s="9" t="str">
        <f t="array" ref="Q466">XLOOKUP(L466,'Dados Funil'!A:A,'Dados Funil'!AN:AN,"")</f>
        <v/>
      </c>
      <c r="T466" s="7" t="str">
        <f t="shared" si="4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5"/>
        <v/>
      </c>
      <c r="AA466" s="4" t="str">
        <f t="shared" si="13"/>
        <v/>
      </c>
      <c r="AB466" s="4" t="str">
        <f t="array" ref="AB466">XLOOKUP(X466,'Dados Funil'!A:A,'Dados Funil'!O:O,"")</f>
        <v/>
      </c>
      <c r="AE466" s="7" t="str">
        <f t="shared" si="6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9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G467" s="4"/>
      <c r="H467" s="4"/>
      <c r="I467" s="7" t="str">
        <f t="shared" si="2"/>
        <v/>
      </c>
      <c r="J467" s="4" t="str">
        <f t="shared" si="10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1"/>
        <v/>
      </c>
      <c r="P467" s="4" t="str">
        <f t="array" ref="P467">XLOOKUP(L467,'Dados Funil'!A:A,'Dados Funil'!AM:AM,"")</f>
        <v/>
      </c>
      <c r="Q467" s="9" t="str">
        <f t="array" ref="Q467">XLOOKUP(L467,'Dados Funil'!A:A,'Dados Funil'!AN:AN,"")</f>
        <v/>
      </c>
      <c r="T467" s="7" t="str">
        <f t="shared" si="4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5"/>
        <v/>
      </c>
      <c r="AA467" s="4" t="str">
        <f t="shared" si="13"/>
        <v/>
      </c>
      <c r="AB467" s="4" t="str">
        <f t="array" ref="AB467">XLOOKUP(X467,'Dados Funil'!A:A,'Dados Funil'!O:O,"")</f>
        <v/>
      </c>
      <c r="AE467" s="7" t="str">
        <f t="shared" si="6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9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G468" s="4"/>
      <c r="H468" s="4"/>
      <c r="I468" s="7" t="str">
        <f t="shared" si="2"/>
        <v/>
      </c>
      <c r="J468" s="4" t="str">
        <f t="shared" si="10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1"/>
        <v/>
      </c>
      <c r="P468" s="4" t="str">
        <f t="array" ref="P468">XLOOKUP(L468,'Dados Funil'!A:A,'Dados Funil'!AM:AM,"")</f>
        <v/>
      </c>
      <c r="Q468" s="9" t="str">
        <f t="array" ref="Q468">XLOOKUP(L468,'Dados Funil'!A:A,'Dados Funil'!AN:AN,"")</f>
        <v/>
      </c>
      <c r="T468" s="7" t="str">
        <f t="shared" si="4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5"/>
        <v/>
      </c>
      <c r="AA468" s="4" t="str">
        <f t="shared" si="13"/>
        <v/>
      </c>
      <c r="AB468" s="4" t="str">
        <f t="array" ref="AB468">XLOOKUP(X468,'Dados Funil'!A:A,'Dados Funil'!O:O,"")</f>
        <v/>
      </c>
      <c r="AE468" s="7" t="str">
        <f t="shared" si="6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9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G469" s="4"/>
      <c r="H469" s="4"/>
      <c r="I469" s="7" t="str">
        <f t="shared" si="2"/>
        <v/>
      </c>
      <c r="J469" s="4" t="str">
        <f t="shared" si="10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1"/>
        <v/>
      </c>
      <c r="P469" s="4" t="str">
        <f t="array" ref="P469">XLOOKUP(L469,'Dados Funil'!A:A,'Dados Funil'!AM:AM,"")</f>
        <v/>
      </c>
      <c r="Q469" s="9" t="str">
        <f t="array" ref="Q469">XLOOKUP(L469,'Dados Funil'!A:A,'Dados Funil'!AN:AN,"")</f>
        <v/>
      </c>
      <c r="T469" s="7" t="str">
        <f t="shared" si="4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5"/>
        <v/>
      </c>
      <c r="AA469" s="4" t="str">
        <f t="shared" si="13"/>
        <v/>
      </c>
      <c r="AB469" s="4" t="str">
        <f t="array" ref="AB469">XLOOKUP(X469,'Dados Funil'!A:A,'Dados Funil'!O:O,"")</f>
        <v/>
      </c>
      <c r="AE469" s="7" t="str">
        <f t="shared" si="6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9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G470" s="4"/>
      <c r="H470" s="4"/>
      <c r="I470" s="7" t="str">
        <f t="shared" si="2"/>
        <v/>
      </c>
      <c r="J470" s="4" t="str">
        <f t="shared" si="10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1"/>
        <v/>
      </c>
      <c r="P470" s="4" t="str">
        <f t="array" ref="P470">XLOOKUP(L470,'Dados Funil'!A:A,'Dados Funil'!AM:AM,"")</f>
        <v/>
      </c>
      <c r="Q470" s="9" t="str">
        <f t="array" ref="Q470">XLOOKUP(L470,'Dados Funil'!A:A,'Dados Funil'!AN:AN,"")</f>
        <v/>
      </c>
      <c r="T470" s="7" t="str">
        <f t="shared" si="4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5"/>
        <v/>
      </c>
      <c r="AA470" s="4" t="str">
        <f t="shared" si="13"/>
        <v/>
      </c>
      <c r="AB470" s="4" t="str">
        <f t="array" ref="AB470">XLOOKUP(X470,'Dados Funil'!A:A,'Dados Funil'!O:O,"")</f>
        <v/>
      </c>
      <c r="AE470" s="7" t="str">
        <f t="shared" si="6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9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G471" s="4"/>
      <c r="H471" s="4"/>
      <c r="I471" s="7" t="str">
        <f t="shared" si="2"/>
        <v/>
      </c>
      <c r="J471" s="4" t="str">
        <f t="shared" si="10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1"/>
        <v/>
      </c>
      <c r="P471" s="4" t="str">
        <f t="array" ref="P471">XLOOKUP(L471,'Dados Funil'!A:A,'Dados Funil'!AM:AM,"")</f>
        <v/>
      </c>
      <c r="Q471" s="9" t="str">
        <f t="array" ref="Q471">XLOOKUP(L471,'Dados Funil'!A:A,'Dados Funil'!AN:AN,"")</f>
        <v/>
      </c>
      <c r="T471" s="7" t="str">
        <f t="shared" si="4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5"/>
        <v/>
      </c>
      <c r="AA471" s="4" t="str">
        <f t="shared" si="13"/>
        <v/>
      </c>
      <c r="AB471" s="4" t="str">
        <f t="array" ref="AB471">XLOOKUP(X471,'Dados Funil'!A:A,'Dados Funil'!O:O,"")</f>
        <v/>
      </c>
      <c r="AE471" s="7" t="str">
        <f t="shared" si="6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9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G472" s="4"/>
      <c r="H472" s="4"/>
      <c r="I472" s="7" t="str">
        <f t="shared" si="2"/>
        <v/>
      </c>
      <c r="J472" s="4" t="str">
        <f t="shared" si="10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1"/>
        <v/>
      </c>
      <c r="P472" s="4" t="str">
        <f t="array" ref="P472">XLOOKUP(L472,'Dados Funil'!A:A,'Dados Funil'!AM:AM,"")</f>
        <v/>
      </c>
      <c r="Q472" s="9" t="str">
        <f t="array" ref="Q472">XLOOKUP(L472,'Dados Funil'!A:A,'Dados Funil'!AN:AN,"")</f>
        <v/>
      </c>
      <c r="T472" s="7" t="str">
        <f t="shared" si="4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5"/>
        <v/>
      </c>
      <c r="AA472" s="4" t="str">
        <f t="shared" si="13"/>
        <v/>
      </c>
      <c r="AB472" s="4" t="str">
        <f t="array" ref="AB472">XLOOKUP(X472,'Dados Funil'!A:A,'Dados Funil'!O:O,"")</f>
        <v/>
      </c>
      <c r="AE472" s="7" t="str">
        <f t="shared" si="6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9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G473" s="4"/>
      <c r="H473" s="4"/>
      <c r="I473" s="7" t="str">
        <f t="shared" si="2"/>
        <v/>
      </c>
      <c r="J473" s="4" t="str">
        <f t="shared" si="10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1"/>
        <v/>
      </c>
      <c r="P473" s="4" t="str">
        <f t="array" ref="P473">XLOOKUP(L473,'Dados Funil'!A:A,'Dados Funil'!AM:AM,"")</f>
        <v/>
      </c>
      <c r="Q473" s="9" t="str">
        <f t="array" ref="Q473">XLOOKUP(L473,'Dados Funil'!A:A,'Dados Funil'!AN:AN,"")</f>
        <v/>
      </c>
      <c r="T473" s="7" t="str">
        <f t="shared" si="4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5"/>
        <v/>
      </c>
      <c r="AA473" s="4" t="str">
        <f t="shared" si="13"/>
        <v/>
      </c>
      <c r="AB473" s="4" t="str">
        <f t="array" ref="AB473">XLOOKUP(X473,'Dados Funil'!A:A,'Dados Funil'!O:O,"")</f>
        <v/>
      </c>
      <c r="AE473" s="7" t="str">
        <f t="shared" si="6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9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G474" s="4"/>
      <c r="H474" s="4"/>
      <c r="I474" s="7" t="str">
        <f t="shared" si="2"/>
        <v/>
      </c>
      <c r="J474" s="4" t="str">
        <f t="shared" si="10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1"/>
        <v/>
      </c>
      <c r="P474" s="4" t="str">
        <f t="array" ref="P474">XLOOKUP(L474,'Dados Funil'!A:A,'Dados Funil'!AM:AM,"")</f>
        <v/>
      </c>
      <c r="Q474" s="9" t="str">
        <f t="array" ref="Q474">XLOOKUP(L474,'Dados Funil'!A:A,'Dados Funil'!AN:AN,"")</f>
        <v/>
      </c>
      <c r="T474" s="7" t="str">
        <f t="shared" si="4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5"/>
        <v/>
      </c>
      <c r="AA474" s="4" t="str">
        <f t="shared" si="13"/>
        <v/>
      </c>
      <c r="AB474" s="4" t="str">
        <f t="array" ref="AB474">XLOOKUP(X474,'Dados Funil'!A:A,'Dados Funil'!O:O,"")</f>
        <v/>
      </c>
      <c r="AE474" s="7" t="str">
        <f t="shared" si="6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9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G475" s="4"/>
      <c r="H475" s="4"/>
      <c r="I475" s="7" t="str">
        <f t="shared" si="2"/>
        <v/>
      </c>
      <c r="J475" s="4" t="str">
        <f t="shared" si="10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1"/>
        <v/>
      </c>
      <c r="P475" s="4" t="str">
        <f t="array" ref="P475">XLOOKUP(L475,'Dados Funil'!A:A,'Dados Funil'!AM:AM,"")</f>
        <v/>
      </c>
      <c r="Q475" s="9" t="str">
        <f t="array" ref="Q475">XLOOKUP(L475,'Dados Funil'!A:A,'Dados Funil'!AN:AN,"")</f>
        <v/>
      </c>
      <c r="T475" s="7" t="str">
        <f t="shared" si="4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5"/>
        <v/>
      </c>
      <c r="AA475" s="4" t="str">
        <f t="shared" si="13"/>
        <v/>
      </c>
      <c r="AB475" s="4" t="str">
        <f t="array" ref="AB475">XLOOKUP(X475,'Dados Funil'!A:A,'Dados Funil'!O:O,"")</f>
        <v/>
      </c>
      <c r="AE475" s="7" t="str">
        <f t="shared" si="6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9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G476" s="4"/>
      <c r="H476" s="4"/>
      <c r="I476" s="7" t="str">
        <f t="shared" si="2"/>
        <v/>
      </c>
      <c r="J476" s="4" t="str">
        <f t="shared" si="10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1"/>
        <v/>
      </c>
      <c r="P476" s="4" t="str">
        <f t="array" ref="P476">XLOOKUP(L476,'Dados Funil'!A:A,'Dados Funil'!AM:AM,"")</f>
        <v/>
      </c>
      <c r="Q476" s="9" t="str">
        <f t="array" ref="Q476">XLOOKUP(L476,'Dados Funil'!A:A,'Dados Funil'!AN:AN,"")</f>
        <v/>
      </c>
      <c r="T476" s="7" t="str">
        <f t="shared" si="4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5"/>
        <v/>
      </c>
      <c r="AA476" s="4" t="str">
        <f t="shared" si="13"/>
        <v/>
      </c>
      <c r="AB476" s="4" t="str">
        <f t="array" ref="AB476">XLOOKUP(X476,'Dados Funil'!A:A,'Dados Funil'!O:O,"")</f>
        <v/>
      </c>
      <c r="AE476" s="7" t="str">
        <f t="shared" si="6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9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G477" s="4"/>
      <c r="H477" s="4"/>
      <c r="I477" s="7" t="str">
        <f t="shared" si="2"/>
        <v/>
      </c>
      <c r="J477" s="4" t="str">
        <f t="shared" si="10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1"/>
        <v/>
      </c>
      <c r="P477" s="4" t="str">
        <f t="array" ref="P477">XLOOKUP(L477,'Dados Funil'!A:A,'Dados Funil'!AM:AM,"")</f>
        <v/>
      </c>
      <c r="Q477" s="9" t="str">
        <f t="array" ref="Q477">XLOOKUP(L477,'Dados Funil'!A:A,'Dados Funil'!AN:AN,"")</f>
        <v/>
      </c>
      <c r="T477" s="7" t="str">
        <f t="shared" si="4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5"/>
        <v/>
      </c>
      <c r="AA477" s="4" t="str">
        <f t="shared" si="13"/>
        <v/>
      </c>
      <c r="AB477" s="4" t="str">
        <f t="array" ref="AB477">XLOOKUP(X477,'Dados Funil'!A:A,'Dados Funil'!O:O,"")</f>
        <v/>
      </c>
      <c r="AE477" s="7" t="str">
        <f t="shared" si="6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9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G478" s="4"/>
      <c r="H478" s="4"/>
      <c r="I478" s="7" t="str">
        <f t="shared" si="2"/>
        <v/>
      </c>
      <c r="J478" s="4" t="str">
        <f t="shared" si="10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1"/>
        <v/>
      </c>
      <c r="P478" s="4" t="str">
        <f t="array" ref="P478">XLOOKUP(L478,'Dados Funil'!A:A,'Dados Funil'!AM:AM,"")</f>
        <v/>
      </c>
      <c r="Q478" s="9" t="str">
        <f t="array" ref="Q478">XLOOKUP(L478,'Dados Funil'!A:A,'Dados Funil'!AN:AN,"")</f>
        <v/>
      </c>
      <c r="T478" s="7" t="str">
        <f t="shared" si="4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5"/>
        <v/>
      </c>
      <c r="AA478" s="4" t="str">
        <f t="shared" si="13"/>
        <v/>
      </c>
      <c r="AB478" s="4" t="str">
        <f t="array" ref="AB478">XLOOKUP(X478,'Dados Funil'!A:A,'Dados Funil'!O:O,"")</f>
        <v/>
      </c>
      <c r="AE478" s="7" t="str">
        <f t="shared" si="6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9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G479" s="4"/>
      <c r="H479" s="4"/>
      <c r="I479" s="7" t="str">
        <f t="shared" si="2"/>
        <v/>
      </c>
      <c r="J479" s="4" t="str">
        <f t="shared" si="10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1"/>
        <v/>
      </c>
      <c r="P479" s="4" t="str">
        <f t="array" ref="P479">XLOOKUP(L479,'Dados Funil'!A:A,'Dados Funil'!AM:AM,"")</f>
        <v/>
      </c>
      <c r="Q479" s="9" t="str">
        <f t="array" ref="Q479">XLOOKUP(L479,'Dados Funil'!A:A,'Dados Funil'!AN:AN,"")</f>
        <v/>
      </c>
      <c r="T479" s="7" t="str">
        <f t="shared" si="4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5"/>
        <v/>
      </c>
      <c r="AA479" s="4" t="str">
        <f t="shared" si="13"/>
        <v/>
      </c>
      <c r="AB479" s="4" t="str">
        <f t="array" ref="AB479">XLOOKUP(X479,'Dados Funil'!A:A,'Dados Funil'!O:O,"")</f>
        <v/>
      </c>
      <c r="AE479" s="7" t="str">
        <f t="shared" si="6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9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G480" s="4"/>
      <c r="H480" s="4"/>
      <c r="I480" s="7" t="str">
        <f t="shared" si="2"/>
        <v/>
      </c>
      <c r="J480" s="4" t="str">
        <f t="shared" si="10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1"/>
        <v/>
      </c>
      <c r="P480" s="4" t="str">
        <f t="array" ref="P480">XLOOKUP(L480,'Dados Funil'!A:A,'Dados Funil'!AM:AM,"")</f>
        <v/>
      </c>
      <c r="Q480" s="9" t="str">
        <f t="array" ref="Q480">XLOOKUP(L480,'Dados Funil'!A:A,'Dados Funil'!AN:AN,"")</f>
        <v/>
      </c>
      <c r="T480" s="7" t="str">
        <f t="shared" si="4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5"/>
        <v/>
      </c>
      <c r="AA480" s="4" t="str">
        <f t="shared" si="13"/>
        <v/>
      </c>
      <c r="AB480" s="4" t="str">
        <f t="array" ref="AB480">XLOOKUP(X480,'Dados Funil'!A:A,'Dados Funil'!O:O,"")</f>
        <v/>
      </c>
      <c r="AE480" s="7" t="str">
        <f t="shared" si="6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9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G481" s="4"/>
      <c r="H481" s="4"/>
      <c r="I481" s="7" t="str">
        <f t="shared" si="2"/>
        <v/>
      </c>
      <c r="J481" s="4" t="str">
        <f t="shared" si="10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1"/>
        <v/>
      </c>
      <c r="P481" s="4" t="str">
        <f t="array" ref="P481">XLOOKUP(L481,'Dados Funil'!A:A,'Dados Funil'!AM:AM,"")</f>
        <v/>
      </c>
      <c r="Q481" s="9" t="str">
        <f t="array" ref="Q481">XLOOKUP(L481,'Dados Funil'!A:A,'Dados Funil'!AN:AN,"")</f>
        <v/>
      </c>
      <c r="T481" s="7" t="str">
        <f t="shared" si="4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5"/>
        <v/>
      </c>
      <c r="AA481" s="4" t="str">
        <f t="shared" si="13"/>
        <v/>
      </c>
      <c r="AB481" s="4" t="str">
        <f t="array" ref="AB481">XLOOKUP(X481,'Dados Funil'!A:A,'Dados Funil'!O:O,"")</f>
        <v/>
      </c>
      <c r="AE481" s="7" t="str">
        <f t="shared" si="6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9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G482" s="4"/>
      <c r="H482" s="4"/>
      <c r="I482" s="7" t="str">
        <f t="shared" si="2"/>
        <v/>
      </c>
      <c r="J482" s="4" t="str">
        <f t="shared" si="10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1"/>
        <v/>
      </c>
      <c r="P482" s="4" t="str">
        <f t="array" ref="P482">XLOOKUP(L482,'Dados Funil'!A:A,'Dados Funil'!AM:AM,"")</f>
        <v/>
      </c>
      <c r="Q482" s="9" t="str">
        <f t="array" ref="Q482">XLOOKUP(L482,'Dados Funil'!A:A,'Dados Funil'!AN:AN,"")</f>
        <v/>
      </c>
      <c r="T482" s="7" t="str">
        <f t="shared" si="4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5"/>
        <v/>
      </c>
      <c r="AA482" s="4" t="str">
        <f t="shared" si="13"/>
        <v/>
      </c>
      <c r="AB482" s="4" t="str">
        <f t="array" ref="AB482">XLOOKUP(X482,'Dados Funil'!A:A,'Dados Funil'!O:O,"")</f>
        <v/>
      </c>
      <c r="AE482" s="7" t="str">
        <f t="shared" si="6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9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G483" s="4"/>
      <c r="H483" s="4"/>
      <c r="I483" s="7" t="str">
        <f t="shared" si="2"/>
        <v/>
      </c>
      <c r="J483" s="4" t="str">
        <f t="shared" si="10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1"/>
        <v/>
      </c>
      <c r="P483" s="4" t="str">
        <f t="array" ref="P483">XLOOKUP(L483,'Dados Funil'!A:A,'Dados Funil'!AM:AM,"")</f>
        <v/>
      </c>
      <c r="Q483" s="9" t="str">
        <f t="array" ref="Q483">XLOOKUP(L483,'Dados Funil'!A:A,'Dados Funil'!AN:AN,"")</f>
        <v/>
      </c>
      <c r="T483" s="7" t="str">
        <f t="shared" si="4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5"/>
        <v/>
      </c>
      <c r="AA483" s="4" t="str">
        <f t="shared" si="13"/>
        <v/>
      </c>
      <c r="AB483" s="4" t="str">
        <f t="array" ref="AB483">XLOOKUP(X483,'Dados Funil'!A:A,'Dados Funil'!O:O,"")</f>
        <v/>
      </c>
      <c r="AE483" s="7" t="str">
        <f t="shared" si="6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9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G484" s="4"/>
      <c r="H484" s="4"/>
      <c r="I484" s="7" t="str">
        <f t="shared" si="2"/>
        <v/>
      </c>
      <c r="J484" s="4" t="str">
        <f t="shared" si="10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1"/>
        <v/>
      </c>
      <c r="P484" s="4" t="str">
        <f t="array" ref="P484">XLOOKUP(L484,'Dados Funil'!A:A,'Dados Funil'!AM:AM,"")</f>
        <v/>
      </c>
      <c r="Q484" s="9" t="str">
        <f t="array" ref="Q484">XLOOKUP(L484,'Dados Funil'!A:A,'Dados Funil'!AN:AN,"")</f>
        <v/>
      </c>
      <c r="T484" s="7" t="str">
        <f t="shared" si="4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5"/>
        <v/>
      </c>
      <c r="AA484" s="4" t="str">
        <f t="shared" si="13"/>
        <v/>
      </c>
      <c r="AB484" s="4" t="str">
        <f t="array" ref="AB484">XLOOKUP(X484,'Dados Funil'!A:A,'Dados Funil'!O:O,"")</f>
        <v/>
      </c>
      <c r="AE484" s="7" t="str">
        <f t="shared" si="6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9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G485" s="4"/>
      <c r="H485" s="4"/>
      <c r="I485" s="7" t="str">
        <f t="shared" si="2"/>
        <v/>
      </c>
      <c r="J485" s="4" t="str">
        <f t="shared" si="10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1"/>
        <v/>
      </c>
      <c r="P485" s="4" t="str">
        <f t="array" ref="P485">XLOOKUP(L485,'Dados Funil'!A:A,'Dados Funil'!AM:AM,"")</f>
        <v/>
      </c>
      <c r="Q485" s="9" t="str">
        <f t="array" ref="Q485">XLOOKUP(L485,'Dados Funil'!A:A,'Dados Funil'!AN:AN,"")</f>
        <v/>
      </c>
      <c r="T485" s="7" t="str">
        <f t="shared" si="4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5"/>
        <v/>
      </c>
      <c r="AA485" s="4" t="str">
        <f t="shared" si="13"/>
        <v/>
      </c>
      <c r="AB485" s="4" t="str">
        <f t="array" ref="AB485">XLOOKUP(X485,'Dados Funil'!A:A,'Dados Funil'!O:O,"")</f>
        <v/>
      </c>
      <c r="AE485" s="7" t="str">
        <f t="shared" si="6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9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G486" s="4"/>
      <c r="H486" s="4"/>
      <c r="I486" s="7" t="str">
        <f t="shared" si="2"/>
        <v/>
      </c>
      <c r="J486" s="4" t="str">
        <f t="shared" si="10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1"/>
        <v/>
      </c>
      <c r="P486" s="4" t="str">
        <f t="array" ref="P486">XLOOKUP(L486,'Dados Funil'!A:A,'Dados Funil'!AM:AM,"")</f>
        <v/>
      </c>
      <c r="Q486" s="9" t="str">
        <f t="array" ref="Q486">XLOOKUP(L486,'Dados Funil'!A:A,'Dados Funil'!AN:AN,"")</f>
        <v/>
      </c>
      <c r="T486" s="7" t="str">
        <f t="shared" si="4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5"/>
        <v/>
      </c>
      <c r="AA486" s="4" t="str">
        <f t="shared" si="13"/>
        <v/>
      </c>
      <c r="AB486" s="4" t="str">
        <f t="array" ref="AB486">XLOOKUP(X486,'Dados Funil'!A:A,'Dados Funil'!O:O,"")</f>
        <v/>
      </c>
      <c r="AE486" s="7" t="str">
        <f t="shared" si="6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9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G487" s="4"/>
      <c r="H487" s="4"/>
      <c r="I487" s="7" t="str">
        <f t="shared" si="2"/>
        <v/>
      </c>
      <c r="J487" s="4" t="str">
        <f t="shared" si="10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1"/>
        <v/>
      </c>
      <c r="P487" s="4" t="str">
        <f t="array" ref="P487">XLOOKUP(L487,'Dados Funil'!A:A,'Dados Funil'!AM:AM,"")</f>
        <v/>
      </c>
      <c r="Q487" s="9" t="str">
        <f t="array" ref="Q487">XLOOKUP(L487,'Dados Funil'!A:A,'Dados Funil'!AN:AN,"")</f>
        <v/>
      </c>
      <c r="T487" s="7" t="str">
        <f t="shared" si="4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5"/>
        <v/>
      </c>
      <c r="AA487" s="4" t="str">
        <f t="shared" si="13"/>
        <v/>
      </c>
      <c r="AB487" s="4" t="str">
        <f t="array" ref="AB487">XLOOKUP(X487,'Dados Funil'!A:A,'Dados Funil'!O:O,"")</f>
        <v/>
      </c>
      <c r="AE487" s="7" t="str">
        <f t="shared" si="6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9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G488" s="4"/>
      <c r="H488" s="4"/>
      <c r="I488" s="7" t="str">
        <f t="shared" si="2"/>
        <v/>
      </c>
      <c r="J488" s="4" t="str">
        <f t="shared" si="10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1"/>
        <v/>
      </c>
      <c r="P488" s="4" t="str">
        <f t="array" ref="P488">XLOOKUP(L488,'Dados Funil'!A:A,'Dados Funil'!AM:AM,"")</f>
        <v/>
      </c>
      <c r="Q488" s="9" t="str">
        <f t="array" ref="Q488">XLOOKUP(L488,'Dados Funil'!A:A,'Dados Funil'!AN:AN,"")</f>
        <v/>
      </c>
      <c r="T488" s="7" t="str">
        <f t="shared" si="4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5"/>
        <v/>
      </c>
      <c r="AA488" s="4" t="str">
        <f t="shared" si="13"/>
        <v/>
      </c>
      <c r="AB488" s="4" t="str">
        <f t="array" ref="AB488">XLOOKUP(X488,'Dados Funil'!A:A,'Dados Funil'!O:O,"")</f>
        <v/>
      </c>
      <c r="AE488" s="7" t="str">
        <f t="shared" si="6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9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G489" s="4"/>
      <c r="H489" s="4"/>
      <c r="I489" s="7" t="str">
        <f t="shared" si="2"/>
        <v/>
      </c>
      <c r="J489" s="4" t="str">
        <f t="shared" si="10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1"/>
        <v/>
      </c>
      <c r="P489" s="4" t="str">
        <f t="array" ref="P489">XLOOKUP(L489,'Dados Funil'!A:A,'Dados Funil'!AM:AM,"")</f>
        <v/>
      </c>
      <c r="Q489" s="9" t="str">
        <f t="array" ref="Q489">XLOOKUP(L489,'Dados Funil'!A:A,'Dados Funil'!AN:AN,"")</f>
        <v/>
      </c>
      <c r="T489" s="7" t="str">
        <f t="shared" si="4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5"/>
        <v/>
      </c>
      <c r="AA489" s="4" t="str">
        <f t="shared" si="13"/>
        <v/>
      </c>
      <c r="AB489" s="4" t="str">
        <f t="array" ref="AB489">XLOOKUP(X489,'Dados Funil'!A:A,'Dados Funil'!O:O,"")</f>
        <v/>
      </c>
      <c r="AE489" s="7" t="str">
        <f t="shared" si="6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9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G490" s="4"/>
      <c r="H490" s="4"/>
      <c r="I490" s="7" t="str">
        <f t="shared" si="2"/>
        <v/>
      </c>
      <c r="J490" s="4" t="str">
        <f t="shared" si="10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1"/>
        <v/>
      </c>
      <c r="P490" s="4" t="str">
        <f t="array" ref="P490">XLOOKUP(L490,'Dados Funil'!A:A,'Dados Funil'!AM:AM,"")</f>
        <v/>
      </c>
      <c r="Q490" s="9" t="str">
        <f t="array" ref="Q490">XLOOKUP(L490,'Dados Funil'!A:A,'Dados Funil'!AN:AN,"")</f>
        <v/>
      </c>
      <c r="T490" s="7" t="str">
        <f t="shared" si="4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5"/>
        <v/>
      </c>
      <c r="AA490" s="4" t="str">
        <f t="shared" si="13"/>
        <v/>
      </c>
      <c r="AB490" s="4" t="str">
        <f t="array" ref="AB490">XLOOKUP(X490,'Dados Funil'!A:A,'Dados Funil'!O:O,"")</f>
        <v/>
      </c>
      <c r="AE490" s="7" t="str">
        <f t="shared" si="6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9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G491" s="4"/>
      <c r="H491" s="4"/>
      <c r="I491" s="7" t="str">
        <f t="shared" si="2"/>
        <v/>
      </c>
      <c r="J491" s="4" t="str">
        <f t="shared" si="10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1"/>
        <v/>
      </c>
      <c r="P491" s="4" t="str">
        <f t="array" ref="P491">XLOOKUP(L491,'Dados Funil'!A:A,'Dados Funil'!AM:AM,"")</f>
        <v/>
      </c>
      <c r="Q491" s="9" t="str">
        <f t="array" ref="Q491">XLOOKUP(L491,'Dados Funil'!A:A,'Dados Funil'!AN:AN,"")</f>
        <v/>
      </c>
      <c r="T491" s="7" t="str">
        <f t="shared" si="4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5"/>
        <v/>
      </c>
      <c r="AA491" s="4" t="str">
        <f t="shared" si="13"/>
        <v/>
      </c>
      <c r="AB491" s="4" t="str">
        <f t="array" ref="AB491">XLOOKUP(X491,'Dados Funil'!A:A,'Dados Funil'!O:O,"")</f>
        <v/>
      </c>
      <c r="AE491" s="7" t="str">
        <f t="shared" si="6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9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G492" s="4"/>
      <c r="H492" s="4"/>
      <c r="I492" s="7" t="str">
        <f t="shared" si="2"/>
        <v/>
      </c>
      <c r="J492" s="4" t="str">
        <f t="shared" si="10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1"/>
        <v/>
      </c>
      <c r="P492" s="4" t="str">
        <f t="array" ref="P492">XLOOKUP(L492,'Dados Funil'!A:A,'Dados Funil'!AM:AM,"")</f>
        <v/>
      </c>
      <c r="Q492" s="9" t="str">
        <f t="array" ref="Q492">XLOOKUP(L492,'Dados Funil'!A:A,'Dados Funil'!AN:AN,"")</f>
        <v/>
      </c>
      <c r="T492" s="7" t="str">
        <f t="shared" si="4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5"/>
        <v/>
      </c>
      <c r="AA492" s="4" t="str">
        <f t="shared" si="13"/>
        <v/>
      </c>
      <c r="AB492" s="4" t="str">
        <f t="array" ref="AB492">XLOOKUP(X492,'Dados Funil'!A:A,'Dados Funil'!O:O,"")</f>
        <v/>
      </c>
      <c r="AE492" s="7" t="str">
        <f t="shared" si="6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9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G493" s="4"/>
      <c r="H493" s="4"/>
      <c r="I493" s="7" t="str">
        <f t="shared" si="2"/>
        <v/>
      </c>
      <c r="J493" s="4" t="str">
        <f t="shared" si="10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1"/>
        <v/>
      </c>
      <c r="P493" s="4" t="str">
        <f t="array" ref="P493">XLOOKUP(L493,'Dados Funil'!A:A,'Dados Funil'!AM:AM,"")</f>
        <v/>
      </c>
      <c r="Q493" s="9" t="str">
        <f t="array" ref="Q493">XLOOKUP(L493,'Dados Funil'!A:A,'Dados Funil'!AN:AN,"")</f>
        <v/>
      </c>
      <c r="T493" s="7" t="str">
        <f t="shared" si="4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5"/>
        <v/>
      </c>
      <c r="AA493" s="4" t="str">
        <f t="shared" si="13"/>
        <v/>
      </c>
      <c r="AB493" s="4" t="str">
        <f t="array" ref="AB493">XLOOKUP(X493,'Dados Funil'!A:A,'Dados Funil'!O:O,"")</f>
        <v/>
      </c>
      <c r="AE493" s="7" t="str">
        <f t="shared" si="6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9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G494" s="4"/>
      <c r="H494" s="4"/>
      <c r="I494" s="7" t="str">
        <f t="shared" si="2"/>
        <v/>
      </c>
      <c r="J494" s="4" t="str">
        <f t="shared" si="10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1"/>
        <v/>
      </c>
      <c r="P494" s="4" t="str">
        <f t="array" ref="P494">XLOOKUP(L494,'Dados Funil'!A:A,'Dados Funil'!AM:AM,"")</f>
        <v/>
      </c>
      <c r="Q494" s="9" t="str">
        <f t="array" ref="Q494">XLOOKUP(L494,'Dados Funil'!A:A,'Dados Funil'!AN:AN,"")</f>
        <v/>
      </c>
      <c r="T494" s="7" t="str">
        <f t="shared" si="4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5"/>
        <v/>
      </c>
      <c r="AA494" s="4" t="str">
        <f t="shared" si="13"/>
        <v/>
      </c>
      <c r="AB494" s="4" t="str">
        <f t="array" ref="AB494">XLOOKUP(X494,'Dados Funil'!A:A,'Dados Funil'!O:O,"")</f>
        <v/>
      </c>
      <c r="AE494" s="7" t="str">
        <f t="shared" si="6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9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G495" s="4"/>
      <c r="H495" s="4"/>
      <c r="I495" s="7" t="str">
        <f t="shared" si="2"/>
        <v/>
      </c>
      <c r="J495" s="4" t="str">
        <f t="shared" si="10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1"/>
        <v/>
      </c>
      <c r="P495" s="4" t="str">
        <f t="array" ref="P495">XLOOKUP(L495,'Dados Funil'!A:A,'Dados Funil'!AM:AM,"")</f>
        <v/>
      </c>
      <c r="Q495" s="9" t="str">
        <f t="array" ref="Q495">XLOOKUP(L495,'Dados Funil'!A:A,'Dados Funil'!AN:AN,"")</f>
        <v/>
      </c>
      <c r="T495" s="7" t="str">
        <f t="shared" si="4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5"/>
        <v/>
      </c>
      <c r="AA495" s="4" t="str">
        <f t="shared" si="13"/>
        <v/>
      </c>
      <c r="AB495" s="4" t="str">
        <f t="array" ref="AB495">XLOOKUP(X495,'Dados Funil'!A:A,'Dados Funil'!O:O,"")</f>
        <v/>
      </c>
      <c r="AE495" s="7" t="str">
        <f t="shared" si="6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9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G496" s="4"/>
      <c r="H496" s="4"/>
      <c r="I496" s="7" t="str">
        <f t="shared" si="2"/>
        <v/>
      </c>
      <c r="J496" s="4" t="str">
        <f t="shared" si="10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1"/>
        <v/>
      </c>
      <c r="P496" s="4" t="str">
        <f t="array" ref="P496">XLOOKUP(L496,'Dados Funil'!A:A,'Dados Funil'!AM:AM,"")</f>
        <v/>
      </c>
      <c r="Q496" s="9" t="str">
        <f t="array" ref="Q496">XLOOKUP(L496,'Dados Funil'!A:A,'Dados Funil'!AN:AN,"")</f>
        <v/>
      </c>
      <c r="T496" s="7" t="str">
        <f t="shared" si="4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5"/>
        <v/>
      </c>
      <c r="AA496" s="4" t="str">
        <f t="shared" si="13"/>
        <v/>
      </c>
      <c r="AB496" s="4" t="str">
        <f t="array" ref="AB496">XLOOKUP(X496,'Dados Funil'!A:A,'Dados Funil'!O:O,"")</f>
        <v/>
      </c>
      <c r="AE496" s="7" t="str">
        <f t="shared" si="6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9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G497" s="4"/>
      <c r="H497" s="4"/>
      <c r="I497" s="7" t="str">
        <f t="shared" si="2"/>
        <v/>
      </c>
      <c r="J497" s="4" t="str">
        <f t="shared" si="10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1"/>
        <v/>
      </c>
      <c r="P497" s="4" t="str">
        <f t="array" ref="P497">XLOOKUP(L497,'Dados Funil'!A:A,'Dados Funil'!AM:AM,"")</f>
        <v/>
      </c>
      <c r="Q497" s="9" t="str">
        <f t="array" ref="Q497">XLOOKUP(L497,'Dados Funil'!A:A,'Dados Funil'!AN:AN,"")</f>
        <v/>
      </c>
      <c r="T497" s="7" t="str">
        <f t="shared" si="4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5"/>
        <v/>
      </c>
      <c r="AA497" s="4" t="str">
        <f t="shared" si="13"/>
        <v/>
      </c>
      <c r="AB497" s="4" t="str">
        <f t="array" ref="AB497">XLOOKUP(X497,'Dados Funil'!A:A,'Dados Funil'!O:O,"")</f>
        <v/>
      </c>
      <c r="AE497" s="7" t="str">
        <f t="shared" si="6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9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G498" s="4"/>
      <c r="H498" s="4"/>
      <c r="I498" s="7" t="str">
        <f t="shared" si="2"/>
        <v/>
      </c>
      <c r="J498" s="4" t="str">
        <f t="shared" si="10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1"/>
        <v/>
      </c>
      <c r="P498" s="4" t="str">
        <f t="array" ref="P498">XLOOKUP(L498,'Dados Funil'!A:A,'Dados Funil'!AM:AM,"")</f>
        <v/>
      </c>
      <c r="Q498" s="9" t="str">
        <f t="array" ref="Q498">XLOOKUP(L498,'Dados Funil'!A:A,'Dados Funil'!AN:AN,"")</f>
        <v/>
      </c>
      <c r="T498" s="7" t="str">
        <f t="shared" si="4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5"/>
        <v/>
      </c>
      <c r="AA498" s="4" t="str">
        <f t="shared" si="13"/>
        <v/>
      </c>
      <c r="AB498" s="4" t="str">
        <f t="array" ref="AB498">XLOOKUP(X498,'Dados Funil'!A:A,'Dados Funil'!O:O,"")</f>
        <v/>
      </c>
      <c r="AE498" s="7" t="str">
        <f t="shared" si="6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9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G499" s="4"/>
      <c r="H499" s="4"/>
      <c r="I499" s="7" t="str">
        <f t="shared" si="2"/>
        <v/>
      </c>
      <c r="J499" s="4" t="str">
        <f t="shared" si="10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1"/>
        <v/>
      </c>
      <c r="P499" s="4" t="str">
        <f t="array" ref="P499">XLOOKUP(L499,'Dados Funil'!A:A,'Dados Funil'!AM:AM,"")</f>
        <v/>
      </c>
      <c r="Q499" s="9" t="str">
        <f t="array" ref="Q499">XLOOKUP(L499,'Dados Funil'!A:A,'Dados Funil'!AN:AN,"")</f>
        <v/>
      </c>
      <c r="T499" s="7" t="str">
        <f t="shared" si="4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5"/>
        <v/>
      </c>
      <c r="AA499" s="4" t="str">
        <f t="shared" si="13"/>
        <v/>
      </c>
      <c r="AB499" s="4" t="str">
        <f t="array" ref="AB499">XLOOKUP(X499,'Dados Funil'!A:A,'Dados Funil'!O:O,"")</f>
        <v/>
      </c>
      <c r="AE499" s="7" t="str">
        <f t="shared" si="6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9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G500" s="4"/>
      <c r="H500" s="4"/>
      <c r="I500" s="7" t="str">
        <f t="shared" si="2"/>
        <v/>
      </c>
      <c r="J500" s="4" t="str">
        <f t="shared" si="10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1"/>
        <v/>
      </c>
      <c r="P500" s="4" t="str">
        <f t="array" ref="P500">XLOOKUP(L500,'Dados Funil'!A:A,'Dados Funil'!AM:AM,"")</f>
        <v/>
      </c>
      <c r="Q500" s="9" t="str">
        <f t="array" ref="Q500">XLOOKUP(L500,'Dados Funil'!A:A,'Dados Funil'!AN:AN,"")</f>
        <v/>
      </c>
      <c r="T500" s="7" t="str">
        <f t="shared" si="4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5"/>
        <v/>
      </c>
      <c r="AA500" s="4" t="str">
        <f t="shared" si="13"/>
        <v/>
      </c>
      <c r="AB500" s="4" t="str">
        <f t="array" ref="AB500">XLOOKUP(X500,'Dados Funil'!A:A,'Dados Funil'!O:O,"")</f>
        <v/>
      </c>
      <c r="AE500" s="7" t="str">
        <f t="shared" si="6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9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G501" s="4"/>
      <c r="H501" s="4"/>
      <c r="I501" s="7" t="str">
        <f t="shared" si="2"/>
        <v/>
      </c>
      <c r="J501" s="4" t="str">
        <f t="shared" si="10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1"/>
        <v/>
      </c>
      <c r="P501" s="4" t="str">
        <f t="array" ref="P501">XLOOKUP(L501,'Dados Funil'!A:A,'Dados Funil'!AM:AM,"")</f>
        <v/>
      </c>
      <c r="Q501" s="9" t="str">
        <f t="array" ref="Q501">XLOOKUP(L501,'Dados Funil'!A:A,'Dados Funil'!AN:AN,"")</f>
        <v/>
      </c>
      <c r="T501" s="7" t="str">
        <f t="shared" si="4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5"/>
        <v/>
      </c>
      <c r="AA501" s="4" t="str">
        <f t="shared" si="13"/>
        <v/>
      </c>
      <c r="AB501" s="4" t="str">
        <f t="array" ref="AB501">XLOOKUP(X501,'Dados Funil'!A:A,'Dados Funil'!O:O,"")</f>
        <v/>
      </c>
      <c r="AE501" s="7" t="str">
        <f t="shared" si="6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9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G502" s="4"/>
      <c r="H502" s="4"/>
      <c r="I502" s="7" t="str">
        <f t="shared" si="2"/>
        <v/>
      </c>
      <c r="J502" s="4" t="str">
        <f t="shared" si="10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1"/>
        <v/>
      </c>
      <c r="P502" s="4" t="str">
        <f t="array" ref="P502">XLOOKUP(L502,'Dados Funil'!A:A,'Dados Funil'!AM:AM,"")</f>
        <v/>
      </c>
      <c r="Q502" s="9" t="str">
        <f t="array" ref="Q502">XLOOKUP(L502,'Dados Funil'!A:A,'Dados Funil'!AN:AN,"")</f>
        <v/>
      </c>
      <c r="T502" s="7" t="str">
        <f t="shared" si="4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5"/>
        <v/>
      </c>
      <c r="AA502" s="4" t="str">
        <f t="shared" si="13"/>
        <v/>
      </c>
      <c r="AB502" s="4" t="str">
        <f t="array" ref="AB502">XLOOKUP(X502,'Dados Funil'!A:A,'Dados Funil'!O:O,"")</f>
        <v/>
      </c>
      <c r="AE502" s="7" t="str">
        <f t="shared" si="6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9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G503" s="4"/>
      <c r="H503" s="4"/>
      <c r="I503" s="7" t="str">
        <f t="shared" si="2"/>
        <v/>
      </c>
      <c r="J503" s="4" t="str">
        <f t="shared" si="10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1"/>
        <v/>
      </c>
      <c r="P503" s="4" t="str">
        <f t="array" ref="P503">XLOOKUP(L503,'Dados Funil'!A:A,'Dados Funil'!AM:AM,"")</f>
        <v/>
      </c>
      <c r="Q503" s="9" t="str">
        <f t="array" ref="Q503">XLOOKUP(L503,'Dados Funil'!A:A,'Dados Funil'!AN:AN,"")</f>
        <v/>
      </c>
      <c r="T503" s="7" t="str">
        <f t="shared" si="4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5"/>
        <v/>
      </c>
      <c r="AA503" s="4" t="str">
        <f t="shared" si="13"/>
        <v/>
      </c>
      <c r="AB503" s="4" t="str">
        <f t="array" ref="AB503">XLOOKUP(X503,'Dados Funil'!A:A,'Dados Funil'!O:O,"")</f>
        <v/>
      </c>
      <c r="AE503" s="7" t="str">
        <f t="shared" si="6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9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G504" s="4"/>
      <c r="H504" s="4"/>
      <c r="I504" s="7" t="str">
        <f t="shared" si="2"/>
        <v/>
      </c>
      <c r="J504" s="4" t="str">
        <f t="shared" si="10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1"/>
        <v/>
      </c>
      <c r="P504" s="4" t="str">
        <f t="array" ref="P504">XLOOKUP(L504,'Dados Funil'!A:A,'Dados Funil'!AM:AM,"")</f>
        <v/>
      </c>
      <c r="Q504" s="9" t="str">
        <f t="array" ref="Q504">XLOOKUP(L504,'Dados Funil'!A:A,'Dados Funil'!AN:AN,"")</f>
        <v/>
      </c>
      <c r="T504" s="7" t="str">
        <f t="shared" si="4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5"/>
        <v/>
      </c>
      <c r="AA504" s="4" t="str">
        <f t="shared" si="13"/>
        <v/>
      </c>
      <c r="AB504" s="4" t="str">
        <f t="array" ref="AB504">XLOOKUP(X504,'Dados Funil'!A:A,'Dados Funil'!O:O,"")</f>
        <v/>
      </c>
      <c r="AE504" s="7" t="str">
        <f t="shared" si="6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9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G505" s="4"/>
      <c r="H505" s="4"/>
      <c r="I505" s="7" t="str">
        <f t="shared" si="2"/>
        <v/>
      </c>
      <c r="J505" s="4" t="str">
        <f t="shared" si="10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1"/>
        <v/>
      </c>
      <c r="P505" s="4" t="str">
        <f t="array" ref="P505">XLOOKUP(L505,'Dados Funil'!A:A,'Dados Funil'!AM:AM,"")</f>
        <v/>
      </c>
      <c r="Q505" s="9" t="str">
        <f t="array" ref="Q505">XLOOKUP(L505,'Dados Funil'!A:A,'Dados Funil'!AN:AN,"")</f>
        <v/>
      </c>
      <c r="T505" s="7" t="str">
        <f t="shared" si="4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5"/>
        <v/>
      </c>
      <c r="AA505" s="4" t="str">
        <f t="shared" si="13"/>
        <v/>
      </c>
      <c r="AB505" s="4" t="str">
        <f t="array" ref="AB505">XLOOKUP(X505,'Dados Funil'!A:A,'Dados Funil'!O:O,"")</f>
        <v/>
      </c>
      <c r="AE505" s="7" t="str">
        <f t="shared" si="6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9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G506" s="4"/>
      <c r="H506" s="4"/>
      <c r="I506" s="7" t="str">
        <f t="shared" si="2"/>
        <v/>
      </c>
      <c r="J506" s="4" t="str">
        <f t="shared" si="10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1"/>
        <v/>
      </c>
      <c r="P506" s="4" t="str">
        <f t="array" ref="P506">XLOOKUP(L506,'Dados Funil'!A:A,'Dados Funil'!AM:AM,"")</f>
        <v/>
      </c>
      <c r="Q506" s="9" t="str">
        <f t="array" ref="Q506">XLOOKUP(L506,'Dados Funil'!A:A,'Dados Funil'!AN:AN,"")</f>
        <v/>
      </c>
      <c r="T506" s="7" t="str">
        <f t="shared" si="4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5"/>
        <v/>
      </c>
      <c r="AA506" s="4" t="str">
        <f t="shared" si="13"/>
        <v/>
      </c>
      <c r="AB506" s="4" t="str">
        <f t="array" ref="AB506">XLOOKUP(X506,'Dados Funil'!A:A,'Dados Funil'!O:O,"")</f>
        <v/>
      </c>
      <c r="AE506" s="7" t="str">
        <f t="shared" si="6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9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G507" s="4"/>
      <c r="H507" s="4"/>
      <c r="I507" s="7" t="str">
        <f t="shared" si="2"/>
        <v/>
      </c>
      <c r="J507" s="4" t="str">
        <f t="shared" si="10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1"/>
        <v/>
      </c>
      <c r="P507" s="4" t="str">
        <f t="array" ref="P507">XLOOKUP(L507,'Dados Funil'!A:A,'Dados Funil'!AM:AM,"")</f>
        <v/>
      </c>
      <c r="Q507" s="9" t="str">
        <f t="array" ref="Q507">XLOOKUP(L507,'Dados Funil'!A:A,'Dados Funil'!AN:AN,"")</f>
        <v/>
      </c>
      <c r="T507" s="7" t="str">
        <f t="shared" si="4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5"/>
        <v/>
      </c>
      <c r="AA507" s="4" t="str">
        <f t="shared" si="13"/>
        <v/>
      </c>
      <c r="AB507" s="4" t="str">
        <f t="array" ref="AB507">XLOOKUP(X507,'Dados Funil'!A:A,'Dados Funil'!O:O,"")</f>
        <v/>
      </c>
      <c r="AE507" s="7" t="str">
        <f t="shared" si="6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9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G508" s="4"/>
      <c r="H508" s="4"/>
      <c r="I508" s="7" t="str">
        <f t="shared" si="2"/>
        <v/>
      </c>
      <c r="J508" s="4" t="str">
        <f t="shared" si="10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1"/>
        <v/>
      </c>
      <c r="P508" s="4" t="str">
        <f t="array" ref="P508">XLOOKUP(L508,'Dados Funil'!A:A,'Dados Funil'!AM:AM,"")</f>
        <v/>
      </c>
      <c r="Q508" s="9" t="str">
        <f t="array" ref="Q508">XLOOKUP(L508,'Dados Funil'!A:A,'Dados Funil'!AN:AN,"")</f>
        <v/>
      </c>
      <c r="T508" s="7" t="str">
        <f t="shared" si="4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5"/>
        <v/>
      </c>
      <c r="AA508" s="4" t="str">
        <f t="shared" si="13"/>
        <v/>
      </c>
      <c r="AB508" s="4" t="str">
        <f t="array" ref="AB508">XLOOKUP(X508,'Dados Funil'!A:A,'Dados Funil'!O:O,"")</f>
        <v/>
      </c>
      <c r="AE508" s="7" t="str">
        <f t="shared" si="6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9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G509" s="4"/>
      <c r="H509" s="4"/>
      <c r="I509" s="7" t="str">
        <f t="shared" si="2"/>
        <v/>
      </c>
      <c r="J509" s="4" t="str">
        <f t="shared" si="10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1"/>
        <v/>
      </c>
      <c r="P509" s="4" t="str">
        <f t="array" ref="P509">XLOOKUP(L509,'Dados Funil'!A:A,'Dados Funil'!AM:AM,"")</f>
        <v/>
      </c>
      <c r="Q509" s="9" t="str">
        <f t="array" ref="Q509">XLOOKUP(L509,'Dados Funil'!A:A,'Dados Funil'!AN:AN,"")</f>
        <v/>
      </c>
      <c r="T509" s="7" t="str">
        <f t="shared" si="4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5"/>
        <v/>
      </c>
      <c r="AA509" s="4" t="str">
        <f t="shared" si="13"/>
        <v/>
      </c>
      <c r="AB509" s="4" t="str">
        <f t="array" ref="AB509">XLOOKUP(X509,'Dados Funil'!A:A,'Dados Funil'!O:O,"")</f>
        <v/>
      </c>
      <c r="AE509" s="7" t="str">
        <f t="shared" si="6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9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G510" s="4"/>
      <c r="H510" s="4"/>
      <c r="I510" s="7" t="str">
        <f t="shared" si="2"/>
        <v/>
      </c>
      <c r="J510" s="4" t="str">
        <f t="shared" si="10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1"/>
        <v/>
      </c>
      <c r="P510" s="4" t="str">
        <f t="array" ref="P510">XLOOKUP(L510,'Dados Funil'!A:A,'Dados Funil'!AM:AM,"")</f>
        <v/>
      </c>
      <c r="Q510" s="9" t="str">
        <f t="array" ref="Q510">XLOOKUP(L510,'Dados Funil'!A:A,'Dados Funil'!AN:AN,"")</f>
        <v/>
      </c>
      <c r="T510" s="7" t="str">
        <f t="shared" si="4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5"/>
        <v/>
      </c>
      <c r="AA510" s="4" t="str">
        <f t="shared" si="13"/>
        <v/>
      </c>
      <c r="AB510" s="4" t="str">
        <f t="array" ref="AB510">XLOOKUP(X510,'Dados Funil'!A:A,'Dados Funil'!O:O,"")</f>
        <v/>
      </c>
      <c r="AE510" s="7" t="str">
        <f t="shared" si="6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9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G511" s="4"/>
      <c r="H511" s="4"/>
      <c r="I511" s="7" t="str">
        <f t="shared" si="2"/>
        <v/>
      </c>
      <c r="J511" s="4" t="str">
        <f t="shared" si="10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1"/>
        <v/>
      </c>
      <c r="P511" s="4" t="str">
        <f t="array" ref="P511">XLOOKUP(L511,'Dados Funil'!A:A,'Dados Funil'!AM:AM,"")</f>
        <v/>
      </c>
      <c r="Q511" s="9" t="str">
        <f t="array" ref="Q511">XLOOKUP(L511,'Dados Funil'!A:A,'Dados Funil'!AN:AN,"")</f>
        <v/>
      </c>
      <c r="T511" s="7" t="str">
        <f t="shared" si="4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5"/>
        <v/>
      </c>
      <c r="AA511" s="4" t="str">
        <f t="shared" si="13"/>
        <v/>
      </c>
      <c r="AB511" s="4" t="str">
        <f t="array" ref="AB511">XLOOKUP(X511,'Dados Funil'!A:A,'Dados Funil'!O:O,"")</f>
        <v/>
      </c>
      <c r="AE511" s="7" t="str">
        <f t="shared" si="6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9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G512" s="4"/>
      <c r="H512" s="4"/>
      <c r="I512" s="7" t="str">
        <f t="shared" si="2"/>
        <v/>
      </c>
      <c r="J512" s="4" t="str">
        <f t="shared" si="10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1"/>
        <v/>
      </c>
      <c r="P512" s="4" t="str">
        <f t="array" ref="P512">XLOOKUP(L512,'Dados Funil'!A:A,'Dados Funil'!AM:AM,"")</f>
        <v/>
      </c>
      <c r="Q512" s="9" t="str">
        <f t="array" ref="Q512">XLOOKUP(L512,'Dados Funil'!A:A,'Dados Funil'!AN:AN,"")</f>
        <v/>
      </c>
      <c r="T512" s="7" t="str">
        <f t="shared" si="4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5"/>
        <v/>
      </c>
      <c r="AA512" s="4" t="str">
        <f t="shared" si="13"/>
        <v/>
      </c>
      <c r="AB512" s="4" t="str">
        <f t="array" ref="AB512">XLOOKUP(X512,'Dados Funil'!A:A,'Dados Funil'!O:O,"")</f>
        <v/>
      </c>
      <c r="AE512" s="7" t="str">
        <f t="shared" si="6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9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G513" s="4"/>
      <c r="H513" s="4"/>
      <c r="I513" s="7" t="str">
        <f t="shared" si="2"/>
        <v/>
      </c>
      <c r="J513" s="4" t="str">
        <f t="shared" si="10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1"/>
        <v/>
      </c>
      <c r="P513" s="4" t="str">
        <f t="array" ref="P513">XLOOKUP(L513,'Dados Funil'!A:A,'Dados Funil'!AM:AM,"")</f>
        <v/>
      </c>
      <c r="Q513" s="9" t="str">
        <f t="array" ref="Q513">XLOOKUP(L513,'Dados Funil'!A:A,'Dados Funil'!AN:AN,"")</f>
        <v/>
      </c>
      <c r="T513" s="7" t="str">
        <f t="shared" si="4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5"/>
        <v/>
      </c>
      <c r="AA513" s="4" t="str">
        <f t="shared" si="13"/>
        <v/>
      </c>
      <c r="AB513" s="4" t="str">
        <f t="array" ref="AB513">XLOOKUP(X513,'Dados Funil'!A:A,'Dados Funil'!O:O,"")</f>
        <v/>
      </c>
      <c r="AE513" s="7" t="str">
        <f t="shared" si="6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9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G514" s="4"/>
      <c r="H514" s="4"/>
      <c r="I514" s="7" t="str">
        <f t="shared" si="2"/>
        <v/>
      </c>
      <c r="J514" s="4" t="str">
        <f t="shared" si="10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1"/>
        <v/>
      </c>
      <c r="P514" s="4" t="str">
        <f t="array" ref="P514">XLOOKUP(L514,'Dados Funil'!A:A,'Dados Funil'!AM:AM,"")</f>
        <v/>
      </c>
      <c r="Q514" s="9" t="str">
        <f t="array" ref="Q514">XLOOKUP(L514,'Dados Funil'!A:A,'Dados Funil'!AN:AN,"")</f>
        <v/>
      </c>
      <c r="T514" s="7" t="str">
        <f t="shared" si="4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5"/>
        <v/>
      </c>
      <c r="AA514" s="4" t="str">
        <f t="shared" si="13"/>
        <v/>
      </c>
      <c r="AB514" s="4" t="str">
        <f t="array" ref="AB514">XLOOKUP(X514,'Dados Funil'!A:A,'Dados Funil'!O:O,"")</f>
        <v/>
      </c>
      <c r="AE514" s="7" t="str">
        <f t="shared" si="6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9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G515" s="4"/>
      <c r="H515" s="4"/>
      <c r="I515" s="7" t="str">
        <f t="shared" si="2"/>
        <v/>
      </c>
      <c r="J515" s="4" t="str">
        <f t="shared" si="10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1"/>
        <v/>
      </c>
      <c r="P515" s="4" t="str">
        <f t="array" ref="P515">XLOOKUP(L515,'Dados Funil'!A:A,'Dados Funil'!AM:AM,"")</f>
        <v/>
      </c>
      <c r="Q515" s="9" t="str">
        <f t="array" ref="Q515">XLOOKUP(L515,'Dados Funil'!A:A,'Dados Funil'!AN:AN,"")</f>
        <v/>
      </c>
      <c r="T515" s="7" t="str">
        <f t="shared" si="4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5"/>
        <v/>
      </c>
      <c r="AA515" s="4" t="str">
        <f t="shared" si="13"/>
        <v/>
      </c>
      <c r="AB515" s="4" t="str">
        <f t="array" ref="AB515">XLOOKUP(X515,'Dados Funil'!A:A,'Dados Funil'!O:O,"")</f>
        <v/>
      </c>
      <c r="AE515" s="7" t="str">
        <f t="shared" si="6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9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G516" s="4"/>
      <c r="H516" s="4"/>
      <c r="I516" s="7" t="str">
        <f t="shared" si="2"/>
        <v/>
      </c>
      <c r="J516" s="4" t="str">
        <f t="shared" si="10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1"/>
        <v/>
      </c>
      <c r="P516" s="4" t="str">
        <f t="array" ref="P516">XLOOKUP(L516,'Dados Funil'!A:A,'Dados Funil'!AM:AM,"")</f>
        <v/>
      </c>
      <c r="Q516" s="9" t="str">
        <f t="array" ref="Q516">XLOOKUP(L516,'Dados Funil'!A:A,'Dados Funil'!AN:AN,"")</f>
        <v/>
      </c>
      <c r="T516" s="7" t="str">
        <f t="shared" si="4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5"/>
        <v/>
      </c>
      <c r="AA516" s="4" t="str">
        <f t="shared" si="13"/>
        <v/>
      </c>
      <c r="AB516" s="4" t="str">
        <f t="array" ref="AB516">XLOOKUP(X516,'Dados Funil'!A:A,'Dados Funil'!O:O,"")</f>
        <v/>
      </c>
      <c r="AE516" s="7" t="str">
        <f t="shared" si="6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9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G517" s="4"/>
      <c r="H517" s="4"/>
      <c r="I517" s="7" t="str">
        <f t="shared" si="2"/>
        <v/>
      </c>
      <c r="J517" s="4" t="str">
        <f t="shared" si="10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1"/>
        <v/>
      </c>
      <c r="P517" s="4" t="str">
        <f t="array" ref="P517">XLOOKUP(L517,'Dados Funil'!A:A,'Dados Funil'!AM:AM,"")</f>
        <v/>
      </c>
      <c r="Q517" s="9" t="str">
        <f t="array" ref="Q517">XLOOKUP(L517,'Dados Funil'!A:A,'Dados Funil'!AN:AN,"")</f>
        <v/>
      </c>
      <c r="T517" s="7" t="str">
        <f t="shared" si="4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5"/>
        <v/>
      </c>
      <c r="AA517" s="4" t="str">
        <f t="shared" si="13"/>
        <v/>
      </c>
      <c r="AB517" s="4" t="str">
        <f t="array" ref="AB517">XLOOKUP(X517,'Dados Funil'!A:A,'Dados Funil'!O:O,"")</f>
        <v/>
      </c>
      <c r="AE517" s="7" t="str">
        <f t="shared" si="6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9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G518" s="4"/>
      <c r="H518" s="4"/>
      <c r="I518" s="7" t="str">
        <f t="shared" si="2"/>
        <v/>
      </c>
      <c r="J518" s="4" t="str">
        <f t="shared" si="10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1"/>
        <v/>
      </c>
      <c r="P518" s="4" t="str">
        <f t="array" ref="P518">XLOOKUP(L518,'Dados Funil'!A:A,'Dados Funil'!AM:AM,"")</f>
        <v/>
      </c>
      <c r="Q518" s="9" t="str">
        <f t="array" ref="Q518">XLOOKUP(L518,'Dados Funil'!A:A,'Dados Funil'!AN:AN,"")</f>
        <v/>
      </c>
      <c r="T518" s="7" t="str">
        <f t="shared" si="4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5"/>
        <v/>
      </c>
      <c r="AA518" s="4" t="str">
        <f t="shared" si="13"/>
        <v/>
      </c>
      <c r="AB518" s="4" t="str">
        <f t="array" ref="AB518">XLOOKUP(X518,'Dados Funil'!A:A,'Dados Funil'!O:O,"")</f>
        <v/>
      </c>
      <c r="AE518" s="7" t="str">
        <f t="shared" si="6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9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G519" s="4"/>
      <c r="H519" s="4"/>
      <c r="I519" s="7" t="str">
        <f t="shared" si="2"/>
        <v/>
      </c>
      <c r="J519" s="4" t="str">
        <f t="shared" si="10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1"/>
        <v/>
      </c>
      <c r="P519" s="4" t="str">
        <f t="array" ref="P519">XLOOKUP(L519,'Dados Funil'!A:A,'Dados Funil'!AM:AM,"")</f>
        <v/>
      </c>
      <c r="Q519" s="9" t="str">
        <f t="array" ref="Q519">XLOOKUP(L519,'Dados Funil'!A:A,'Dados Funil'!AN:AN,"")</f>
        <v/>
      </c>
      <c r="T519" s="7" t="str">
        <f t="shared" si="4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5"/>
        <v/>
      </c>
      <c r="AA519" s="4" t="str">
        <f t="shared" si="13"/>
        <v/>
      </c>
      <c r="AB519" s="4" t="str">
        <f t="array" ref="AB519">XLOOKUP(X519,'Dados Funil'!A:A,'Dados Funil'!O:O,"")</f>
        <v/>
      </c>
      <c r="AE519" s="7" t="str">
        <f t="shared" si="6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9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G520" s="4"/>
      <c r="H520" s="4"/>
      <c r="I520" s="7" t="str">
        <f t="shared" si="2"/>
        <v/>
      </c>
      <c r="J520" s="4" t="str">
        <f t="shared" si="10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1"/>
        <v/>
      </c>
      <c r="P520" s="4" t="str">
        <f t="array" ref="P520">XLOOKUP(L520,'Dados Funil'!A:A,'Dados Funil'!AM:AM,"")</f>
        <v/>
      </c>
      <c r="Q520" s="9" t="str">
        <f t="array" ref="Q520">XLOOKUP(L520,'Dados Funil'!A:A,'Dados Funil'!AN:AN,"")</f>
        <v/>
      </c>
      <c r="T520" s="7" t="str">
        <f t="shared" si="4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5"/>
        <v/>
      </c>
      <c r="AA520" s="4" t="str">
        <f t="shared" si="13"/>
        <v/>
      </c>
      <c r="AB520" s="4" t="str">
        <f t="array" ref="AB520">XLOOKUP(X520,'Dados Funil'!A:A,'Dados Funil'!O:O,"")</f>
        <v/>
      </c>
      <c r="AE520" s="7" t="str">
        <f t="shared" si="6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9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G521" s="4"/>
      <c r="H521" s="4"/>
      <c r="I521" s="7" t="str">
        <f t="shared" si="2"/>
        <v/>
      </c>
      <c r="J521" s="4" t="str">
        <f t="shared" si="10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1"/>
        <v/>
      </c>
      <c r="P521" s="4" t="str">
        <f t="array" ref="P521">XLOOKUP(L521,'Dados Funil'!A:A,'Dados Funil'!AM:AM,"")</f>
        <v/>
      </c>
      <c r="Q521" s="9" t="str">
        <f t="array" ref="Q521">XLOOKUP(L521,'Dados Funil'!A:A,'Dados Funil'!AN:AN,"")</f>
        <v/>
      </c>
      <c r="T521" s="7" t="str">
        <f t="shared" si="4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5"/>
        <v/>
      </c>
      <c r="AA521" s="4" t="str">
        <f t="shared" si="13"/>
        <v/>
      </c>
      <c r="AB521" s="4" t="str">
        <f t="array" ref="AB521">XLOOKUP(X521,'Dados Funil'!A:A,'Dados Funil'!O:O,"")</f>
        <v/>
      </c>
      <c r="AE521" s="7" t="str">
        <f t="shared" si="6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9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G522" s="4"/>
      <c r="H522" s="4"/>
      <c r="I522" s="7" t="str">
        <f t="shared" si="2"/>
        <v/>
      </c>
      <c r="J522" s="4" t="str">
        <f t="shared" si="10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1"/>
        <v/>
      </c>
      <c r="P522" s="4" t="str">
        <f t="array" ref="P522">XLOOKUP(L522,'Dados Funil'!A:A,'Dados Funil'!AM:AM,"")</f>
        <v/>
      </c>
      <c r="Q522" s="9" t="str">
        <f t="array" ref="Q522">XLOOKUP(L522,'Dados Funil'!A:A,'Dados Funil'!AN:AN,"")</f>
        <v/>
      </c>
      <c r="T522" s="7" t="str">
        <f t="shared" si="4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5"/>
        <v/>
      </c>
      <c r="AA522" s="4" t="str">
        <f t="shared" si="13"/>
        <v/>
      </c>
      <c r="AB522" s="4" t="str">
        <f t="array" ref="AB522">XLOOKUP(X522,'Dados Funil'!A:A,'Dados Funil'!O:O,"")</f>
        <v/>
      </c>
      <c r="AE522" s="7" t="str">
        <f t="shared" si="6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9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G523" s="4"/>
      <c r="H523" s="4"/>
      <c r="I523" s="7" t="str">
        <f t="shared" si="2"/>
        <v/>
      </c>
      <c r="J523" s="4" t="str">
        <f t="shared" si="10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1"/>
        <v/>
      </c>
      <c r="P523" s="4" t="str">
        <f t="array" ref="P523">XLOOKUP(L523,'Dados Funil'!A:A,'Dados Funil'!AM:AM,"")</f>
        <v/>
      </c>
      <c r="Q523" s="9" t="str">
        <f t="array" ref="Q523">XLOOKUP(L523,'Dados Funil'!A:A,'Dados Funil'!AN:AN,"")</f>
        <v/>
      </c>
      <c r="T523" s="7" t="str">
        <f t="shared" si="4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5"/>
        <v/>
      </c>
      <c r="AA523" s="4" t="str">
        <f t="shared" si="13"/>
        <v/>
      </c>
      <c r="AB523" s="4" t="str">
        <f t="array" ref="AB523">XLOOKUP(X523,'Dados Funil'!A:A,'Dados Funil'!O:O,"")</f>
        <v/>
      </c>
      <c r="AE523" s="7" t="str">
        <f t="shared" si="6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9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G524" s="4"/>
      <c r="H524" s="4"/>
      <c r="I524" s="7" t="str">
        <f t="shared" si="2"/>
        <v/>
      </c>
      <c r="J524" s="4" t="str">
        <f t="shared" si="10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1"/>
        <v/>
      </c>
      <c r="P524" s="4" t="str">
        <f t="array" ref="P524">XLOOKUP(L524,'Dados Funil'!A:A,'Dados Funil'!AM:AM,"")</f>
        <v/>
      </c>
      <c r="Q524" s="9" t="str">
        <f t="array" ref="Q524">XLOOKUP(L524,'Dados Funil'!A:A,'Dados Funil'!AN:AN,"")</f>
        <v/>
      </c>
      <c r="T524" s="7" t="str">
        <f t="shared" si="4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5"/>
        <v/>
      </c>
      <c r="AA524" s="4" t="str">
        <f t="shared" si="13"/>
        <v/>
      </c>
      <c r="AB524" s="4" t="str">
        <f t="array" ref="AB524">XLOOKUP(X524,'Dados Funil'!A:A,'Dados Funil'!O:O,"")</f>
        <v/>
      </c>
      <c r="AE524" s="7" t="str">
        <f t="shared" si="6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9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G525" s="4"/>
      <c r="H525" s="4"/>
      <c r="I525" s="7" t="str">
        <f t="shared" si="2"/>
        <v/>
      </c>
      <c r="J525" s="4" t="str">
        <f t="shared" si="10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1"/>
        <v/>
      </c>
      <c r="P525" s="4" t="str">
        <f t="array" ref="P525">XLOOKUP(L525,'Dados Funil'!A:A,'Dados Funil'!AM:AM,"")</f>
        <v/>
      </c>
      <c r="Q525" s="9" t="str">
        <f t="array" ref="Q525">XLOOKUP(L525,'Dados Funil'!A:A,'Dados Funil'!AN:AN,"")</f>
        <v/>
      </c>
      <c r="T525" s="7" t="str">
        <f t="shared" si="4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5"/>
        <v/>
      </c>
      <c r="AA525" s="4" t="str">
        <f t="shared" si="13"/>
        <v/>
      </c>
      <c r="AB525" s="4" t="str">
        <f t="array" ref="AB525">XLOOKUP(X525,'Dados Funil'!A:A,'Dados Funil'!O:O,"")</f>
        <v/>
      </c>
      <c r="AE525" s="7" t="str">
        <f t="shared" si="6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9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G526" s="4"/>
      <c r="H526" s="4"/>
      <c r="I526" s="7" t="str">
        <f t="shared" si="2"/>
        <v/>
      </c>
      <c r="J526" s="4" t="str">
        <f t="shared" si="10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1"/>
        <v/>
      </c>
      <c r="P526" s="4" t="str">
        <f t="array" ref="P526">XLOOKUP(L526,'Dados Funil'!A:A,'Dados Funil'!AM:AM,"")</f>
        <v/>
      </c>
      <c r="Q526" s="9" t="str">
        <f t="array" ref="Q526">XLOOKUP(L526,'Dados Funil'!A:A,'Dados Funil'!AN:AN,"")</f>
        <v/>
      </c>
      <c r="T526" s="7" t="str">
        <f t="shared" si="4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5"/>
        <v/>
      </c>
      <c r="AA526" s="4" t="str">
        <f t="shared" si="13"/>
        <v/>
      </c>
      <c r="AB526" s="4" t="str">
        <f t="array" ref="AB526">XLOOKUP(X526,'Dados Funil'!A:A,'Dados Funil'!O:O,"")</f>
        <v/>
      </c>
      <c r="AE526" s="7" t="str">
        <f t="shared" si="6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9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G527" s="4"/>
      <c r="H527" s="4"/>
      <c r="I527" s="7" t="str">
        <f t="shared" si="2"/>
        <v/>
      </c>
      <c r="J527" s="4" t="str">
        <f t="shared" si="10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1"/>
        <v/>
      </c>
      <c r="P527" s="4" t="str">
        <f t="array" ref="P527">XLOOKUP(L527,'Dados Funil'!A:A,'Dados Funil'!AM:AM,"")</f>
        <v/>
      </c>
      <c r="Q527" s="9" t="str">
        <f t="array" ref="Q527">XLOOKUP(L527,'Dados Funil'!A:A,'Dados Funil'!AN:AN,"")</f>
        <v/>
      </c>
      <c r="T527" s="7" t="str">
        <f t="shared" si="4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5"/>
        <v/>
      </c>
      <c r="AA527" s="4" t="str">
        <f t="shared" si="13"/>
        <v/>
      </c>
      <c r="AB527" s="4" t="str">
        <f t="array" ref="AB527">XLOOKUP(X527,'Dados Funil'!A:A,'Dados Funil'!O:O,"")</f>
        <v/>
      </c>
      <c r="AE527" s="7" t="str">
        <f t="shared" si="6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9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G528" s="4"/>
      <c r="H528" s="4"/>
      <c r="I528" s="7" t="str">
        <f t="shared" si="2"/>
        <v/>
      </c>
      <c r="J528" s="4" t="str">
        <f t="shared" si="10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1"/>
        <v/>
      </c>
      <c r="P528" s="4" t="str">
        <f t="array" ref="P528">XLOOKUP(L528,'Dados Funil'!A:A,'Dados Funil'!AM:AM,"")</f>
        <v/>
      </c>
      <c r="Q528" s="9" t="str">
        <f t="array" ref="Q528">XLOOKUP(L528,'Dados Funil'!A:A,'Dados Funil'!AN:AN,"")</f>
        <v/>
      </c>
      <c r="T528" s="7" t="str">
        <f t="shared" si="4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5"/>
        <v/>
      </c>
      <c r="AA528" s="4" t="str">
        <f t="shared" si="13"/>
        <v/>
      </c>
      <c r="AB528" s="4" t="str">
        <f t="array" ref="AB528">XLOOKUP(X528,'Dados Funil'!A:A,'Dados Funil'!O:O,"")</f>
        <v/>
      </c>
      <c r="AE528" s="7" t="str">
        <f t="shared" si="6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9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G529" s="4"/>
      <c r="H529" s="4"/>
      <c r="I529" s="7" t="str">
        <f t="shared" si="2"/>
        <v/>
      </c>
      <c r="J529" s="4" t="str">
        <f t="shared" si="10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1"/>
        <v/>
      </c>
      <c r="P529" s="4" t="str">
        <f t="array" ref="P529">XLOOKUP(L529,'Dados Funil'!A:A,'Dados Funil'!AM:AM,"")</f>
        <v/>
      </c>
      <c r="Q529" s="9" t="str">
        <f t="array" ref="Q529">XLOOKUP(L529,'Dados Funil'!A:A,'Dados Funil'!AN:AN,"")</f>
        <v/>
      </c>
      <c r="T529" s="7" t="str">
        <f t="shared" si="4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5"/>
        <v/>
      </c>
      <c r="AA529" s="4" t="str">
        <f t="shared" si="13"/>
        <v/>
      </c>
      <c r="AB529" s="4" t="str">
        <f t="array" ref="AB529">XLOOKUP(X529,'Dados Funil'!A:A,'Dados Funil'!O:O,"")</f>
        <v/>
      </c>
      <c r="AE529" s="7" t="str">
        <f t="shared" si="6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9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G530" s="4"/>
      <c r="H530" s="4"/>
      <c r="I530" s="7" t="str">
        <f t="shared" si="2"/>
        <v/>
      </c>
      <c r="J530" s="4" t="str">
        <f t="shared" si="10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1"/>
        <v/>
      </c>
      <c r="P530" s="4" t="str">
        <f t="array" ref="P530">XLOOKUP(L530,'Dados Funil'!A:A,'Dados Funil'!AM:AM,"")</f>
        <v/>
      </c>
      <c r="Q530" s="9" t="str">
        <f t="array" ref="Q530">XLOOKUP(L530,'Dados Funil'!A:A,'Dados Funil'!AN:AN,"")</f>
        <v/>
      </c>
      <c r="T530" s="7" t="str">
        <f t="shared" si="4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5"/>
        <v/>
      </c>
      <c r="AA530" s="4" t="str">
        <f t="shared" si="13"/>
        <v/>
      </c>
      <c r="AB530" s="4" t="str">
        <f t="array" ref="AB530">XLOOKUP(X530,'Dados Funil'!A:A,'Dados Funil'!O:O,"")</f>
        <v/>
      </c>
      <c r="AE530" s="7" t="str">
        <f t="shared" si="6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9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G531" s="4"/>
      <c r="H531" s="4"/>
      <c r="I531" s="7" t="str">
        <f t="shared" si="2"/>
        <v/>
      </c>
      <c r="J531" s="4" t="str">
        <f t="shared" si="10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1"/>
        <v/>
      </c>
      <c r="P531" s="4" t="str">
        <f t="array" ref="P531">XLOOKUP(L531,'Dados Funil'!A:A,'Dados Funil'!AM:AM,"")</f>
        <v/>
      </c>
      <c r="Q531" s="9" t="str">
        <f t="array" ref="Q531">XLOOKUP(L531,'Dados Funil'!A:A,'Dados Funil'!AN:AN,"")</f>
        <v/>
      </c>
      <c r="T531" s="7" t="str">
        <f t="shared" si="4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5"/>
        <v/>
      </c>
      <c r="AA531" s="4" t="str">
        <f t="shared" si="13"/>
        <v/>
      </c>
      <c r="AB531" s="4" t="str">
        <f t="array" ref="AB531">XLOOKUP(X531,'Dados Funil'!A:A,'Dados Funil'!O:O,"")</f>
        <v/>
      </c>
      <c r="AE531" s="7" t="str">
        <f t="shared" si="6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9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G532" s="4"/>
      <c r="H532" s="4"/>
      <c r="I532" s="7" t="str">
        <f t="shared" si="2"/>
        <v/>
      </c>
      <c r="J532" s="4" t="str">
        <f t="shared" si="10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1"/>
        <v/>
      </c>
      <c r="P532" s="4" t="str">
        <f t="array" ref="P532">XLOOKUP(L532,'Dados Funil'!A:A,'Dados Funil'!AM:AM,"")</f>
        <v/>
      </c>
      <c r="Q532" s="9" t="str">
        <f t="array" ref="Q532">XLOOKUP(L532,'Dados Funil'!A:A,'Dados Funil'!AN:AN,"")</f>
        <v/>
      </c>
      <c r="T532" s="7" t="str">
        <f t="shared" si="4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5"/>
        <v/>
      </c>
      <c r="AA532" s="4" t="str">
        <f t="shared" si="13"/>
        <v/>
      </c>
      <c r="AB532" s="4" t="str">
        <f t="array" ref="AB532">XLOOKUP(X532,'Dados Funil'!A:A,'Dados Funil'!O:O,"")</f>
        <v/>
      </c>
      <c r="AE532" s="7" t="str">
        <f t="shared" si="6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9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G533" s="4"/>
      <c r="H533" s="4"/>
      <c r="I533" s="7" t="str">
        <f t="shared" si="2"/>
        <v/>
      </c>
      <c r="J533" s="4" t="str">
        <f t="shared" si="10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1"/>
        <v/>
      </c>
      <c r="P533" s="4" t="str">
        <f t="array" ref="P533">XLOOKUP(L533,'Dados Funil'!A:A,'Dados Funil'!AM:AM,"")</f>
        <v/>
      </c>
      <c r="Q533" s="9" t="str">
        <f t="array" ref="Q533">XLOOKUP(L533,'Dados Funil'!A:A,'Dados Funil'!AN:AN,"")</f>
        <v/>
      </c>
      <c r="T533" s="7" t="str">
        <f t="shared" si="4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5"/>
        <v/>
      </c>
      <c r="AA533" s="4" t="str">
        <f t="shared" si="13"/>
        <v/>
      </c>
      <c r="AB533" s="4" t="str">
        <f t="array" ref="AB533">XLOOKUP(X533,'Dados Funil'!A:A,'Dados Funil'!O:O,"")</f>
        <v/>
      </c>
      <c r="AE533" s="7" t="str">
        <f t="shared" si="6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9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G534" s="4"/>
      <c r="H534" s="4"/>
      <c r="I534" s="7" t="str">
        <f t="shared" si="2"/>
        <v/>
      </c>
      <c r="J534" s="4" t="str">
        <f t="shared" si="10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1"/>
        <v/>
      </c>
      <c r="P534" s="4" t="str">
        <f t="array" ref="P534">XLOOKUP(L534,'Dados Funil'!A:A,'Dados Funil'!AM:AM,"")</f>
        <v/>
      </c>
      <c r="Q534" s="9" t="str">
        <f t="array" ref="Q534">XLOOKUP(L534,'Dados Funil'!A:A,'Dados Funil'!AN:AN,"")</f>
        <v/>
      </c>
      <c r="T534" s="7" t="str">
        <f t="shared" si="4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5"/>
        <v/>
      </c>
      <c r="AA534" s="4" t="str">
        <f t="shared" si="13"/>
        <v/>
      </c>
      <c r="AB534" s="4" t="str">
        <f t="array" ref="AB534">XLOOKUP(X534,'Dados Funil'!A:A,'Dados Funil'!O:O,"")</f>
        <v/>
      </c>
      <c r="AE534" s="7" t="str">
        <f t="shared" si="6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9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G535" s="4"/>
      <c r="H535" s="4"/>
      <c r="I535" s="7" t="str">
        <f t="shared" si="2"/>
        <v/>
      </c>
      <c r="J535" s="4" t="str">
        <f t="shared" si="10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1"/>
        <v/>
      </c>
      <c r="P535" s="4" t="str">
        <f t="array" ref="P535">XLOOKUP(L535,'Dados Funil'!A:A,'Dados Funil'!AM:AM,"")</f>
        <v/>
      </c>
      <c r="Q535" s="9" t="str">
        <f t="array" ref="Q535">XLOOKUP(L535,'Dados Funil'!A:A,'Dados Funil'!AN:AN,"")</f>
        <v/>
      </c>
      <c r="T535" s="7" t="str">
        <f t="shared" si="4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5"/>
        <v/>
      </c>
      <c r="AA535" s="4" t="str">
        <f t="shared" si="13"/>
        <v/>
      </c>
      <c r="AB535" s="4" t="str">
        <f t="array" ref="AB535">XLOOKUP(X535,'Dados Funil'!A:A,'Dados Funil'!O:O,"")</f>
        <v/>
      </c>
      <c r="AE535" s="7" t="str">
        <f t="shared" si="6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9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G536" s="4"/>
      <c r="H536" s="4"/>
      <c r="I536" s="7" t="str">
        <f t="shared" si="2"/>
        <v/>
      </c>
      <c r="J536" s="4" t="str">
        <f t="shared" si="10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1"/>
        <v/>
      </c>
      <c r="P536" s="4" t="str">
        <f t="array" ref="P536">XLOOKUP(L536,'Dados Funil'!A:A,'Dados Funil'!AM:AM,"")</f>
        <v/>
      </c>
      <c r="Q536" s="9" t="str">
        <f t="array" ref="Q536">XLOOKUP(L536,'Dados Funil'!A:A,'Dados Funil'!AN:AN,"")</f>
        <v/>
      </c>
      <c r="T536" s="7" t="str">
        <f t="shared" si="4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5"/>
        <v/>
      </c>
      <c r="AA536" s="4" t="str">
        <f t="shared" si="13"/>
        <v/>
      </c>
      <c r="AB536" s="4" t="str">
        <f t="array" ref="AB536">XLOOKUP(X536,'Dados Funil'!A:A,'Dados Funil'!O:O,"")</f>
        <v/>
      </c>
      <c r="AE536" s="7" t="str">
        <f t="shared" si="6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9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G537" s="4"/>
      <c r="H537" s="4"/>
      <c r="I537" s="7" t="str">
        <f t="shared" si="2"/>
        <v/>
      </c>
      <c r="J537" s="4" t="str">
        <f t="shared" si="10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1"/>
        <v/>
      </c>
      <c r="P537" s="4" t="str">
        <f t="array" ref="P537">XLOOKUP(L537,'Dados Funil'!A:A,'Dados Funil'!AM:AM,"")</f>
        <v/>
      </c>
      <c r="Q537" s="9" t="str">
        <f t="array" ref="Q537">XLOOKUP(L537,'Dados Funil'!A:A,'Dados Funil'!AN:AN,"")</f>
        <v/>
      </c>
      <c r="T537" s="7" t="str">
        <f t="shared" si="4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5"/>
        <v/>
      </c>
      <c r="AA537" s="4" t="str">
        <f t="shared" si="13"/>
        <v/>
      </c>
      <c r="AB537" s="4" t="str">
        <f t="array" ref="AB537">XLOOKUP(X537,'Dados Funil'!A:A,'Dados Funil'!O:O,"")</f>
        <v/>
      </c>
      <c r="AE537" s="7" t="str">
        <f t="shared" si="6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9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G538" s="4"/>
      <c r="H538" s="4"/>
      <c r="I538" s="7" t="str">
        <f t="shared" si="2"/>
        <v/>
      </c>
      <c r="J538" s="4" t="str">
        <f t="shared" si="10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1"/>
        <v/>
      </c>
      <c r="P538" s="4" t="str">
        <f t="array" ref="P538">XLOOKUP(L538,'Dados Funil'!A:A,'Dados Funil'!AM:AM,"")</f>
        <v/>
      </c>
      <c r="Q538" s="9" t="str">
        <f t="array" ref="Q538">XLOOKUP(L538,'Dados Funil'!A:A,'Dados Funil'!AN:AN,"")</f>
        <v/>
      </c>
      <c r="T538" s="7" t="str">
        <f t="shared" si="4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5"/>
        <v/>
      </c>
      <c r="AA538" s="4" t="str">
        <f t="shared" si="13"/>
        <v/>
      </c>
      <c r="AB538" s="4" t="str">
        <f t="array" ref="AB538">XLOOKUP(X538,'Dados Funil'!A:A,'Dados Funil'!O:O,"")</f>
        <v/>
      </c>
      <c r="AE538" s="7" t="str">
        <f t="shared" si="6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9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G539" s="4"/>
      <c r="H539" s="4"/>
      <c r="I539" s="7" t="str">
        <f t="shared" si="2"/>
        <v/>
      </c>
      <c r="J539" s="4" t="str">
        <f t="shared" si="10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1"/>
        <v/>
      </c>
      <c r="P539" s="4" t="str">
        <f t="array" ref="P539">XLOOKUP(L539,'Dados Funil'!A:A,'Dados Funil'!AM:AM,"")</f>
        <v/>
      </c>
      <c r="Q539" s="9" t="str">
        <f t="array" ref="Q539">XLOOKUP(L539,'Dados Funil'!A:A,'Dados Funil'!AN:AN,"")</f>
        <v/>
      </c>
      <c r="T539" s="7" t="str">
        <f t="shared" si="4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5"/>
        <v/>
      </c>
      <c r="AA539" s="4" t="str">
        <f t="shared" si="13"/>
        <v/>
      </c>
      <c r="AB539" s="4" t="str">
        <f t="array" ref="AB539">XLOOKUP(X539,'Dados Funil'!A:A,'Dados Funil'!O:O,"")</f>
        <v/>
      </c>
      <c r="AE539" s="7" t="str">
        <f t="shared" si="6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9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G540" s="4"/>
      <c r="H540" s="4"/>
      <c r="I540" s="7" t="str">
        <f t="shared" si="2"/>
        <v/>
      </c>
      <c r="J540" s="4" t="str">
        <f t="shared" si="10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1"/>
        <v/>
      </c>
      <c r="P540" s="4" t="str">
        <f t="array" ref="P540">XLOOKUP(L540,'Dados Funil'!A:A,'Dados Funil'!AM:AM,"")</f>
        <v/>
      </c>
      <c r="Q540" s="9" t="str">
        <f t="array" ref="Q540">XLOOKUP(L540,'Dados Funil'!A:A,'Dados Funil'!AN:AN,"")</f>
        <v/>
      </c>
      <c r="T540" s="7" t="str">
        <f t="shared" si="4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5"/>
        <v/>
      </c>
      <c r="AA540" s="4" t="str">
        <f t="shared" si="13"/>
        <v/>
      </c>
      <c r="AB540" s="4" t="str">
        <f t="array" ref="AB540">XLOOKUP(X540,'Dados Funil'!A:A,'Dados Funil'!O:O,"")</f>
        <v/>
      </c>
      <c r="AE540" s="7" t="str">
        <f t="shared" si="6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9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G541" s="4"/>
      <c r="H541" s="4"/>
      <c r="I541" s="7" t="str">
        <f t="shared" si="2"/>
        <v/>
      </c>
      <c r="J541" s="4" t="str">
        <f t="shared" si="10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1"/>
        <v/>
      </c>
      <c r="P541" s="4" t="str">
        <f t="array" ref="P541">XLOOKUP(L541,'Dados Funil'!A:A,'Dados Funil'!AM:AM,"")</f>
        <v/>
      </c>
      <c r="Q541" s="9" t="str">
        <f t="array" ref="Q541">XLOOKUP(L541,'Dados Funil'!A:A,'Dados Funil'!AN:AN,"")</f>
        <v/>
      </c>
      <c r="T541" s="7" t="str">
        <f t="shared" si="4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5"/>
        <v/>
      </c>
      <c r="AA541" s="4" t="str">
        <f t="shared" si="13"/>
        <v/>
      </c>
      <c r="AB541" s="4" t="str">
        <f t="array" ref="AB541">XLOOKUP(X541,'Dados Funil'!A:A,'Dados Funil'!O:O,"")</f>
        <v/>
      </c>
      <c r="AE541" s="7" t="str">
        <f t="shared" si="6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9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G542" s="4"/>
      <c r="H542" s="4"/>
      <c r="I542" s="7" t="str">
        <f t="shared" si="2"/>
        <v/>
      </c>
      <c r="J542" s="4" t="str">
        <f t="shared" si="10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1"/>
        <v/>
      </c>
      <c r="P542" s="4" t="str">
        <f t="array" ref="P542">XLOOKUP(L542,'Dados Funil'!A:A,'Dados Funil'!AM:AM,"")</f>
        <v/>
      </c>
      <c r="Q542" s="9" t="str">
        <f t="array" ref="Q542">XLOOKUP(L542,'Dados Funil'!A:A,'Dados Funil'!AN:AN,"")</f>
        <v/>
      </c>
      <c r="T542" s="7" t="str">
        <f t="shared" si="4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5"/>
        <v/>
      </c>
      <c r="AA542" s="4" t="str">
        <f t="shared" si="13"/>
        <v/>
      </c>
      <c r="AB542" s="4" t="str">
        <f t="array" ref="AB542">XLOOKUP(X542,'Dados Funil'!A:A,'Dados Funil'!O:O,"")</f>
        <v/>
      </c>
      <c r="AE542" s="7" t="str">
        <f t="shared" si="6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9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G543" s="4"/>
      <c r="H543" s="4"/>
      <c r="I543" s="7" t="str">
        <f t="shared" si="2"/>
        <v/>
      </c>
      <c r="J543" s="4" t="str">
        <f t="shared" si="10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1"/>
        <v/>
      </c>
      <c r="P543" s="4" t="str">
        <f t="array" ref="P543">XLOOKUP(L543,'Dados Funil'!A:A,'Dados Funil'!AM:AM,"")</f>
        <v/>
      </c>
      <c r="Q543" s="9" t="str">
        <f t="array" ref="Q543">XLOOKUP(L543,'Dados Funil'!A:A,'Dados Funil'!AN:AN,"")</f>
        <v/>
      </c>
      <c r="T543" s="7" t="str">
        <f t="shared" si="4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5"/>
        <v/>
      </c>
      <c r="AA543" s="4" t="str">
        <f t="shared" si="13"/>
        <v/>
      </c>
      <c r="AB543" s="4" t="str">
        <f t="array" ref="AB543">XLOOKUP(X543,'Dados Funil'!A:A,'Dados Funil'!O:O,"")</f>
        <v/>
      </c>
      <c r="AE543" s="7" t="str">
        <f t="shared" si="6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9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G544" s="4"/>
      <c r="H544" s="4"/>
      <c r="I544" s="7" t="str">
        <f t="shared" si="2"/>
        <v/>
      </c>
      <c r="J544" s="4" t="str">
        <f t="shared" si="10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1"/>
        <v/>
      </c>
      <c r="P544" s="4" t="str">
        <f t="array" ref="P544">XLOOKUP(L544,'Dados Funil'!A:A,'Dados Funil'!AM:AM,"")</f>
        <v/>
      </c>
      <c r="Q544" s="9" t="str">
        <f t="array" ref="Q544">XLOOKUP(L544,'Dados Funil'!A:A,'Dados Funil'!AN:AN,"")</f>
        <v/>
      </c>
      <c r="T544" s="7" t="str">
        <f t="shared" si="4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5"/>
        <v/>
      </c>
      <c r="AA544" s="4" t="str">
        <f t="shared" si="13"/>
        <v/>
      </c>
      <c r="AB544" s="4" t="str">
        <f t="array" ref="AB544">XLOOKUP(X544,'Dados Funil'!A:A,'Dados Funil'!O:O,"")</f>
        <v/>
      </c>
      <c r="AE544" s="7" t="str">
        <f t="shared" si="6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9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G545" s="4"/>
      <c r="H545" s="4"/>
      <c r="I545" s="7" t="str">
        <f t="shared" si="2"/>
        <v/>
      </c>
      <c r="J545" s="4" t="str">
        <f t="shared" si="10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1"/>
        <v/>
      </c>
      <c r="P545" s="4" t="str">
        <f t="array" ref="P545">XLOOKUP(L545,'Dados Funil'!A:A,'Dados Funil'!AM:AM,"")</f>
        <v/>
      </c>
      <c r="Q545" s="9" t="str">
        <f t="array" ref="Q545">XLOOKUP(L545,'Dados Funil'!A:A,'Dados Funil'!AN:AN,"")</f>
        <v/>
      </c>
      <c r="T545" s="7" t="str">
        <f t="shared" si="4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5"/>
        <v/>
      </c>
      <c r="AA545" s="4" t="str">
        <f t="shared" si="13"/>
        <v/>
      </c>
      <c r="AB545" s="4" t="str">
        <f t="array" ref="AB545">XLOOKUP(X545,'Dados Funil'!A:A,'Dados Funil'!O:O,"")</f>
        <v/>
      </c>
      <c r="AE545" s="7" t="str">
        <f t="shared" si="6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9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G546" s="4"/>
      <c r="H546" s="4"/>
      <c r="I546" s="7" t="str">
        <f t="shared" si="2"/>
        <v/>
      </c>
      <c r="J546" s="4" t="str">
        <f t="shared" si="10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1"/>
        <v/>
      </c>
      <c r="P546" s="4" t="str">
        <f t="array" ref="P546">XLOOKUP(L546,'Dados Funil'!A:A,'Dados Funil'!AM:AM,"")</f>
        <v/>
      </c>
      <c r="Q546" s="9" t="str">
        <f t="array" ref="Q546">XLOOKUP(L546,'Dados Funil'!A:A,'Dados Funil'!AN:AN,"")</f>
        <v/>
      </c>
      <c r="T546" s="7" t="str">
        <f t="shared" si="4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5"/>
        <v/>
      </c>
      <c r="AA546" s="4" t="str">
        <f t="shared" si="13"/>
        <v/>
      </c>
      <c r="AB546" s="4" t="str">
        <f t="array" ref="AB546">XLOOKUP(X546,'Dados Funil'!A:A,'Dados Funil'!O:O,"")</f>
        <v/>
      </c>
      <c r="AE546" s="7" t="str">
        <f t="shared" si="6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9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G547" s="4"/>
      <c r="H547" s="4"/>
      <c r="I547" s="7" t="str">
        <f t="shared" si="2"/>
        <v/>
      </c>
      <c r="J547" s="4" t="str">
        <f t="shared" si="10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1"/>
        <v/>
      </c>
      <c r="P547" s="4" t="str">
        <f t="array" ref="P547">XLOOKUP(L547,'Dados Funil'!A:A,'Dados Funil'!AM:AM,"")</f>
        <v/>
      </c>
      <c r="Q547" s="9" t="str">
        <f t="array" ref="Q547">XLOOKUP(L547,'Dados Funil'!A:A,'Dados Funil'!AN:AN,"")</f>
        <v/>
      </c>
      <c r="T547" s="7" t="str">
        <f t="shared" si="4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5"/>
        <v/>
      </c>
      <c r="AA547" s="4" t="str">
        <f t="shared" si="13"/>
        <v/>
      </c>
      <c r="AB547" s="4" t="str">
        <f t="array" ref="AB547">XLOOKUP(X547,'Dados Funil'!A:A,'Dados Funil'!O:O,"")</f>
        <v/>
      </c>
      <c r="AE547" s="7" t="str">
        <f t="shared" si="6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9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G548" s="4"/>
      <c r="H548" s="4"/>
      <c r="I548" s="7" t="str">
        <f t="shared" si="2"/>
        <v/>
      </c>
      <c r="J548" s="4" t="str">
        <f t="shared" si="10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1"/>
        <v/>
      </c>
      <c r="P548" s="4" t="str">
        <f t="array" ref="P548">XLOOKUP(L548,'Dados Funil'!A:A,'Dados Funil'!AM:AM,"")</f>
        <v/>
      </c>
      <c r="Q548" s="9" t="str">
        <f t="array" ref="Q548">XLOOKUP(L548,'Dados Funil'!A:A,'Dados Funil'!AN:AN,"")</f>
        <v/>
      </c>
      <c r="T548" s="7" t="str">
        <f t="shared" si="4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5"/>
        <v/>
      </c>
      <c r="AA548" s="4" t="str">
        <f t="shared" si="13"/>
        <v/>
      </c>
      <c r="AB548" s="4" t="str">
        <f t="array" ref="AB548">XLOOKUP(X548,'Dados Funil'!A:A,'Dados Funil'!O:O,"")</f>
        <v/>
      </c>
      <c r="AE548" s="7" t="str">
        <f t="shared" si="6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9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G549" s="4"/>
      <c r="H549" s="4"/>
      <c r="I549" s="7" t="str">
        <f t="shared" si="2"/>
        <v/>
      </c>
      <c r="J549" s="4" t="str">
        <f t="shared" si="10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1"/>
        <v/>
      </c>
      <c r="P549" s="4" t="str">
        <f t="array" ref="P549">XLOOKUP(L549,'Dados Funil'!A:A,'Dados Funil'!AM:AM,"")</f>
        <v/>
      </c>
      <c r="Q549" s="9" t="str">
        <f t="array" ref="Q549">XLOOKUP(L549,'Dados Funil'!A:A,'Dados Funil'!AN:AN,"")</f>
        <v/>
      </c>
      <c r="T549" s="7" t="str">
        <f t="shared" si="4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5"/>
        <v/>
      </c>
      <c r="AA549" s="4" t="str">
        <f t="shared" si="13"/>
        <v/>
      </c>
      <c r="AB549" s="4" t="str">
        <f t="array" ref="AB549">XLOOKUP(X549,'Dados Funil'!A:A,'Dados Funil'!O:O,"")</f>
        <v/>
      </c>
      <c r="AE549" s="7" t="str">
        <f t="shared" si="6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9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G550" s="4"/>
      <c r="H550" s="4"/>
      <c r="I550" s="7" t="str">
        <f t="shared" si="2"/>
        <v/>
      </c>
      <c r="J550" s="4" t="str">
        <f t="shared" si="10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1"/>
        <v/>
      </c>
      <c r="P550" s="4" t="str">
        <f t="array" ref="P550">XLOOKUP(L550,'Dados Funil'!A:A,'Dados Funil'!AM:AM,"")</f>
        <v/>
      </c>
      <c r="Q550" s="9" t="str">
        <f t="array" ref="Q550">XLOOKUP(L550,'Dados Funil'!A:A,'Dados Funil'!AN:AN,"")</f>
        <v/>
      </c>
      <c r="T550" s="7" t="str">
        <f t="shared" si="4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5"/>
        <v/>
      </c>
      <c r="AA550" s="4" t="str">
        <f t="shared" si="13"/>
        <v/>
      </c>
      <c r="AB550" s="4" t="str">
        <f t="array" ref="AB550">XLOOKUP(X550,'Dados Funil'!A:A,'Dados Funil'!O:O,"")</f>
        <v/>
      </c>
      <c r="AE550" s="7" t="str">
        <f t="shared" si="6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9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G551" s="4"/>
      <c r="H551" s="4"/>
      <c r="I551" s="7" t="str">
        <f t="shared" si="2"/>
        <v/>
      </c>
      <c r="J551" s="4" t="str">
        <f t="shared" si="10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1"/>
        <v/>
      </c>
      <c r="P551" s="4" t="str">
        <f t="array" ref="P551">XLOOKUP(L551,'Dados Funil'!A:A,'Dados Funil'!AM:AM,"")</f>
        <v/>
      </c>
      <c r="Q551" s="9" t="str">
        <f t="array" ref="Q551">XLOOKUP(L551,'Dados Funil'!A:A,'Dados Funil'!AN:AN,"")</f>
        <v/>
      </c>
      <c r="T551" s="7" t="str">
        <f t="shared" si="4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5"/>
        <v/>
      </c>
      <c r="AA551" s="4" t="str">
        <f t="shared" si="13"/>
        <v/>
      </c>
      <c r="AB551" s="4" t="str">
        <f t="array" ref="AB551">XLOOKUP(X551,'Dados Funil'!A:A,'Dados Funil'!O:O,"")</f>
        <v/>
      </c>
      <c r="AE551" s="7" t="str">
        <f t="shared" si="6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9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G552" s="4"/>
      <c r="H552" s="4"/>
      <c r="I552" s="7" t="str">
        <f t="shared" si="2"/>
        <v/>
      </c>
      <c r="J552" s="4" t="str">
        <f t="shared" si="10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1"/>
        <v/>
      </c>
      <c r="P552" s="4" t="str">
        <f t="array" ref="P552">XLOOKUP(L552,'Dados Funil'!A:A,'Dados Funil'!AM:AM,"")</f>
        <v/>
      </c>
      <c r="Q552" s="9" t="str">
        <f t="array" ref="Q552">XLOOKUP(L552,'Dados Funil'!A:A,'Dados Funil'!AN:AN,"")</f>
        <v/>
      </c>
      <c r="T552" s="7" t="str">
        <f t="shared" si="4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5"/>
        <v/>
      </c>
      <c r="AA552" s="4" t="str">
        <f t="shared" si="13"/>
        <v/>
      </c>
      <c r="AB552" s="4" t="str">
        <f t="array" ref="AB552">XLOOKUP(X552,'Dados Funil'!A:A,'Dados Funil'!O:O,"")</f>
        <v/>
      </c>
      <c r="AE552" s="7" t="str">
        <f t="shared" si="6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9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G553" s="4"/>
      <c r="H553" s="4"/>
      <c r="I553" s="7" t="str">
        <f t="shared" si="2"/>
        <v/>
      </c>
      <c r="J553" s="4" t="str">
        <f t="shared" si="10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1"/>
        <v/>
      </c>
      <c r="P553" s="4" t="str">
        <f t="array" ref="P553">XLOOKUP(L553,'Dados Funil'!A:A,'Dados Funil'!AM:AM,"")</f>
        <v/>
      </c>
      <c r="Q553" s="9" t="str">
        <f t="array" ref="Q553">XLOOKUP(L553,'Dados Funil'!A:A,'Dados Funil'!AN:AN,"")</f>
        <v/>
      </c>
      <c r="T553" s="7" t="str">
        <f t="shared" si="4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5"/>
        <v/>
      </c>
      <c r="AA553" s="4" t="str">
        <f t="shared" si="13"/>
        <v/>
      </c>
      <c r="AB553" s="4" t="str">
        <f t="array" ref="AB553">XLOOKUP(X553,'Dados Funil'!A:A,'Dados Funil'!O:O,"")</f>
        <v/>
      </c>
      <c r="AE553" s="7" t="str">
        <f t="shared" si="6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9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G554" s="4"/>
      <c r="H554" s="4"/>
      <c r="I554" s="7" t="str">
        <f t="shared" si="2"/>
        <v/>
      </c>
      <c r="J554" s="4" t="str">
        <f t="shared" si="10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1"/>
        <v/>
      </c>
      <c r="P554" s="4" t="str">
        <f t="array" ref="P554">XLOOKUP(L554,'Dados Funil'!A:A,'Dados Funil'!AM:AM,"")</f>
        <v/>
      </c>
      <c r="Q554" s="9" t="str">
        <f t="array" ref="Q554">XLOOKUP(L554,'Dados Funil'!A:A,'Dados Funil'!AN:AN,"")</f>
        <v/>
      </c>
      <c r="T554" s="7" t="str">
        <f t="shared" si="4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5"/>
        <v/>
      </c>
      <c r="AA554" s="4" t="str">
        <f t="shared" si="13"/>
        <v/>
      </c>
      <c r="AB554" s="4" t="str">
        <f t="array" ref="AB554">XLOOKUP(X554,'Dados Funil'!A:A,'Dados Funil'!O:O,"")</f>
        <v/>
      </c>
      <c r="AE554" s="7" t="str">
        <f t="shared" si="6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9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G555" s="4"/>
      <c r="H555" s="4"/>
      <c r="I555" s="7" t="str">
        <f t="shared" si="2"/>
        <v/>
      </c>
      <c r="J555" s="4" t="str">
        <f t="shared" si="10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1"/>
        <v/>
      </c>
      <c r="P555" s="4" t="str">
        <f t="array" ref="P555">XLOOKUP(L555,'Dados Funil'!A:A,'Dados Funil'!AM:AM,"")</f>
        <v/>
      </c>
      <c r="Q555" s="9" t="str">
        <f t="array" ref="Q555">XLOOKUP(L555,'Dados Funil'!A:A,'Dados Funil'!AN:AN,"")</f>
        <v/>
      </c>
      <c r="T555" s="7" t="str">
        <f t="shared" si="4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5"/>
        <v/>
      </c>
      <c r="AA555" s="4" t="str">
        <f t="shared" si="13"/>
        <v/>
      </c>
      <c r="AB555" s="4" t="str">
        <f t="array" ref="AB555">XLOOKUP(X555,'Dados Funil'!A:A,'Dados Funil'!O:O,"")</f>
        <v/>
      </c>
      <c r="AE555" s="7" t="str">
        <f t="shared" si="6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9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G556" s="4"/>
      <c r="H556" s="4"/>
      <c r="I556" s="7" t="str">
        <f t="shared" si="2"/>
        <v/>
      </c>
      <c r="J556" s="4" t="str">
        <f t="shared" si="10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1"/>
        <v/>
      </c>
      <c r="P556" s="4" t="str">
        <f t="array" ref="P556">XLOOKUP(L556,'Dados Funil'!A:A,'Dados Funil'!AM:AM,"")</f>
        <v/>
      </c>
      <c r="Q556" s="9" t="str">
        <f t="array" ref="Q556">XLOOKUP(L556,'Dados Funil'!A:A,'Dados Funil'!AN:AN,"")</f>
        <v/>
      </c>
      <c r="T556" s="7" t="str">
        <f t="shared" si="4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5"/>
        <v/>
      </c>
      <c r="AA556" s="4" t="str">
        <f t="shared" si="13"/>
        <v/>
      </c>
      <c r="AB556" s="4" t="str">
        <f t="array" ref="AB556">XLOOKUP(X556,'Dados Funil'!A:A,'Dados Funil'!O:O,"")</f>
        <v/>
      </c>
      <c r="AE556" s="7" t="str">
        <f t="shared" si="6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9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G557" s="4"/>
      <c r="H557" s="4"/>
      <c r="I557" s="7" t="str">
        <f t="shared" si="2"/>
        <v/>
      </c>
      <c r="J557" s="4" t="str">
        <f t="shared" si="10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1"/>
        <v/>
      </c>
      <c r="P557" s="4" t="str">
        <f t="array" ref="P557">XLOOKUP(L557,'Dados Funil'!A:A,'Dados Funil'!AM:AM,"")</f>
        <v/>
      </c>
      <c r="Q557" s="9" t="str">
        <f t="array" ref="Q557">XLOOKUP(L557,'Dados Funil'!A:A,'Dados Funil'!AN:AN,"")</f>
        <v/>
      </c>
      <c r="T557" s="7" t="str">
        <f t="shared" si="4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5"/>
        <v/>
      </c>
      <c r="AA557" s="4" t="str">
        <f t="shared" si="13"/>
        <v/>
      </c>
      <c r="AB557" s="4" t="str">
        <f t="array" ref="AB557">XLOOKUP(X557,'Dados Funil'!A:A,'Dados Funil'!O:O,"")</f>
        <v/>
      </c>
      <c r="AE557" s="7" t="str">
        <f t="shared" si="6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9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G558" s="4"/>
      <c r="H558" s="4"/>
      <c r="I558" s="7" t="str">
        <f t="shared" si="2"/>
        <v/>
      </c>
      <c r="J558" s="4" t="str">
        <f t="shared" si="10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1"/>
        <v/>
      </c>
      <c r="P558" s="4" t="str">
        <f t="array" ref="P558">XLOOKUP(L558,'Dados Funil'!A:A,'Dados Funil'!AM:AM,"")</f>
        <v/>
      </c>
      <c r="Q558" s="9" t="str">
        <f t="array" ref="Q558">XLOOKUP(L558,'Dados Funil'!A:A,'Dados Funil'!AN:AN,"")</f>
        <v/>
      </c>
      <c r="T558" s="7" t="str">
        <f t="shared" si="4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5"/>
        <v/>
      </c>
      <c r="AA558" s="4" t="str">
        <f t="shared" si="13"/>
        <v/>
      </c>
      <c r="AB558" s="4" t="str">
        <f t="array" ref="AB558">XLOOKUP(X558,'Dados Funil'!A:A,'Dados Funil'!O:O,"")</f>
        <v/>
      </c>
      <c r="AE558" s="7" t="str">
        <f t="shared" si="6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9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G559" s="4"/>
      <c r="H559" s="4"/>
      <c r="I559" s="7" t="str">
        <f t="shared" si="2"/>
        <v/>
      </c>
      <c r="J559" s="4" t="str">
        <f t="shared" si="10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1"/>
        <v/>
      </c>
      <c r="P559" s="4" t="str">
        <f t="array" ref="P559">XLOOKUP(L559,'Dados Funil'!A:A,'Dados Funil'!AM:AM,"")</f>
        <v/>
      </c>
      <c r="Q559" s="9" t="str">
        <f t="array" ref="Q559">XLOOKUP(L559,'Dados Funil'!A:A,'Dados Funil'!AN:AN,"")</f>
        <v/>
      </c>
      <c r="T559" s="7" t="str">
        <f t="shared" si="4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5"/>
        <v/>
      </c>
      <c r="AA559" s="4" t="str">
        <f t="shared" si="13"/>
        <v/>
      </c>
      <c r="AB559" s="4" t="str">
        <f t="array" ref="AB559">XLOOKUP(X559,'Dados Funil'!A:A,'Dados Funil'!O:O,"")</f>
        <v/>
      </c>
      <c r="AE559" s="7" t="str">
        <f t="shared" si="6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9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G560" s="4"/>
      <c r="H560" s="4"/>
      <c r="I560" s="7" t="str">
        <f t="shared" si="2"/>
        <v/>
      </c>
      <c r="J560" s="4" t="str">
        <f t="shared" si="10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1"/>
        <v/>
      </c>
      <c r="P560" s="4" t="str">
        <f t="array" ref="P560">XLOOKUP(L560,'Dados Funil'!A:A,'Dados Funil'!AM:AM,"")</f>
        <v/>
      </c>
      <c r="Q560" s="9" t="str">
        <f t="array" ref="Q560">XLOOKUP(L560,'Dados Funil'!A:A,'Dados Funil'!AN:AN,"")</f>
        <v/>
      </c>
      <c r="T560" s="7" t="str">
        <f t="shared" si="4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5"/>
        <v/>
      </c>
      <c r="AA560" s="4" t="str">
        <f t="shared" si="13"/>
        <v/>
      </c>
      <c r="AB560" s="4" t="str">
        <f t="array" ref="AB560">XLOOKUP(X560,'Dados Funil'!A:A,'Dados Funil'!O:O,"")</f>
        <v/>
      </c>
      <c r="AE560" s="7" t="str">
        <f t="shared" si="6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9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G561" s="4"/>
      <c r="H561" s="4"/>
      <c r="I561" s="7" t="str">
        <f t="shared" si="2"/>
        <v/>
      </c>
      <c r="J561" s="4" t="str">
        <f t="shared" si="10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1"/>
        <v/>
      </c>
      <c r="P561" s="4" t="str">
        <f t="array" ref="P561">XLOOKUP(L561,'Dados Funil'!A:A,'Dados Funil'!AM:AM,"")</f>
        <v/>
      </c>
      <c r="Q561" s="9" t="str">
        <f t="array" ref="Q561">XLOOKUP(L561,'Dados Funil'!A:A,'Dados Funil'!AN:AN,"")</f>
        <v/>
      </c>
      <c r="T561" s="7" t="str">
        <f t="shared" si="4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5"/>
        <v/>
      </c>
      <c r="AA561" s="4" t="str">
        <f t="shared" si="13"/>
        <v/>
      </c>
      <c r="AB561" s="4" t="str">
        <f t="array" ref="AB561">XLOOKUP(X561,'Dados Funil'!A:A,'Dados Funil'!O:O,"")</f>
        <v/>
      </c>
      <c r="AE561" s="7" t="str">
        <f t="shared" si="6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9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G562" s="4"/>
      <c r="H562" s="4"/>
      <c r="I562" s="7" t="str">
        <f t="shared" si="2"/>
        <v/>
      </c>
      <c r="J562" s="4" t="str">
        <f t="shared" si="10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1"/>
        <v/>
      </c>
      <c r="P562" s="4" t="str">
        <f t="array" ref="P562">XLOOKUP(L562,'Dados Funil'!A:A,'Dados Funil'!AM:AM,"")</f>
        <v/>
      </c>
      <c r="Q562" s="9" t="str">
        <f t="array" ref="Q562">XLOOKUP(L562,'Dados Funil'!A:A,'Dados Funil'!AN:AN,"")</f>
        <v/>
      </c>
      <c r="T562" s="7" t="str">
        <f t="shared" si="4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5"/>
        <v/>
      </c>
      <c r="AA562" s="4" t="str">
        <f t="shared" si="13"/>
        <v/>
      </c>
      <c r="AB562" s="4" t="str">
        <f t="array" ref="AB562">XLOOKUP(X562,'Dados Funil'!A:A,'Dados Funil'!O:O,"")</f>
        <v/>
      </c>
      <c r="AE562" s="7" t="str">
        <f t="shared" si="6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9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G563" s="4"/>
      <c r="H563" s="4"/>
      <c r="I563" s="7" t="str">
        <f t="shared" si="2"/>
        <v/>
      </c>
      <c r="J563" s="4" t="str">
        <f t="shared" si="10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1"/>
        <v/>
      </c>
      <c r="P563" s="4" t="str">
        <f t="array" ref="P563">XLOOKUP(L563,'Dados Funil'!A:A,'Dados Funil'!AM:AM,"")</f>
        <v/>
      </c>
      <c r="Q563" s="9" t="str">
        <f t="array" ref="Q563">XLOOKUP(L563,'Dados Funil'!A:A,'Dados Funil'!AN:AN,"")</f>
        <v/>
      </c>
      <c r="T563" s="7" t="str">
        <f t="shared" si="4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5"/>
        <v/>
      </c>
      <c r="AA563" s="4" t="str">
        <f t="shared" si="13"/>
        <v/>
      </c>
      <c r="AB563" s="4" t="str">
        <f t="array" ref="AB563">XLOOKUP(X563,'Dados Funil'!A:A,'Dados Funil'!O:O,"")</f>
        <v/>
      </c>
      <c r="AE563" s="7" t="str">
        <f t="shared" si="6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9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G564" s="4"/>
      <c r="H564" s="4"/>
      <c r="I564" s="7" t="str">
        <f t="shared" si="2"/>
        <v/>
      </c>
      <c r="J564" s="4" t="str">
        <f t="shared" si="10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1"/>
        <v/>
      </c>
      <c r="P564" s="4" t="str">
        <f t="array" ref="P564">XLOOKUP(L564,'Dados Funil'!A:A,'Dados Funil'!AM:AM,"")</f>
        <v/>
      </c>
      <c r="Q564" s="9" t="str">
        <f t="array" ref="Q564">XLOOKUP(L564,'Dados Funil'!A:A,'Dados Funil'!AN:AN,"")</f>
        <v/>
      </c>
      <c r="T564" s="7" t="str">
        <f t="shared" si="4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5"/>
        <v/>
      </c>
      <c r="AA564" s="4" t="str">
        <f t="shared" si="13"/>
        <v/>
      </c>
      <c r="AB564" s="4" t="str">
        <f t="array" ref="AB564">XLOOKUP(X564,'Dados Funil'!A:A,'Dados Funil'!O:O,"")</f>
        <v/>
      </c>
      <c r="AE564" s="7" t="str">
        <f t="shared" si="6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9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G565" s="4"/>
      <c r="H565" s="4"/>
      <c r="I565" s="7" t="str">
        <f t="shared" si="2"/>
        <v/>
      </c>
      <c r="J565" s="4" t="str">
        <f t="shared" si="10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1"/>
        <v/>
      </c>
      <c r="P565" s="4" t="str">
        <f t="array" ref="P565">XLOOKUP(L565,'Dados Funil'!A:A,'Dados Funil'!AM:AM,"")</f>
        <v/>
      </c>
      <c r="Q565" s="9" t="str">
        <f t="array" ref="Q565">XLOOKUP(L565,'Dados Funil'!A:A,'Dados Funil'!AN:AN,"")</f>
        <v/>
      </c>
      <c r="T565" s="7" t="str">
        <f t="shared" si="4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5"/>
        <v/>
      </c>
      <c r="AA565" s="4" t="str">
        <f t="shared" si="13"/>
        <v/>
      </c>
      <c r="AB565" s="4" t="str">
        <f t="array" ref="AB565">XLOOKUP(X565,'Dados Funil'!A:A,'Dados Funil'!O:O,"")</f>
        <v/>
      </c>
      <c r="AE565" s="7" t="str">
        <f t="shared" si="6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9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G566" s="4"/>
      <c r="H566" s="4"/>
      <c r="I566" s="7" t="str">
        <f t="shared" si="2"/>
        <v/>
      </c>
      <c r="J566" s="4" t="str">
        <f t="shared" si="10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1"/>
        <v/>
      </c>
      <c r="P566" s="4" t="str">
        <f t="array" ref="P566">XLOOKUP(L566,'Dados Funil'!A:A,'Dados Funil'!AM:AM,"")</f>
        <v/>
      </c>
      <c r="Q566" s="9" t="str">
        <f t="array" ref="Q566">XLOOKUP(L566,'Dados Funil'!A:A,'Dados Funil'!AN:AN,"")</f>
        <v/>
      </c>
      <c r="T566" s="7" t="str">
        <f t="shared" si="4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5"/>
        <v/>
      </c>
      <c r="AA566" s="4" t="str">
        <f t="shared" si="13"/>
        <v/>
      </c>
      <c r="AB566" s="4" t="str">
        <f t="array" ref="AB566">XLOOKUP(X566,'Dados Funil'!A:A,'Dados Funil'!O:O,"")</f>
        <v/>
      </c>
      <c r="AE566" s="7" t="str">
        <f t="shared" si="6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9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G567" s="4"/>
      <c r="H567" s="4"/>
      <c r="I567" s="7" t="str">
        <f t="shared" si="2"/>
        <v/>
      </c>
      <c r="J567" s="4" t="str">
        <f t="shared" si="10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1"/>
        <v/>
      </c>
      <c r="P567" s="4" t="str">
        <f t="array" ref="P567">XLOOKUP(L567,'Dados Funil'!A:A,'Dados Funil'!AM:AM,"")</f>
        <v/>
      </c>
      <c r="Q567" s="9" t="str">
        <f t="array" ref="Q567">XLOOKUP(L567,'Dados Funil'!A:A,'Dados Funil'!AN:AN,"")</f>
        <v/>
      </c>
      <c r="T567" s="7" t="str">
        <f t="shared" si="4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5"/>
        <v/>
      </c>
      <c r="AA567" s="4" t="str">
        <f t="shared" si="13"/>
        <v/>
      </c>
      <c r="AB567" s="4" t="str">
        <f t="array" ref="AB567">XLOOKUP(X567,'Dados Funil'!A:A,'Dados Funil'!O:O,"")</f>
        <v/>
      </c>
      <c r="AE567" s="7" t="str">
        <f t="shared" si="6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9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G568" s="4"/>
      <c r="H568" s="4"/>
      <c r="I568" s="7" t="str">
        <f t="shared" si="2"/>
        <v/>
      </c>
      <c r="J568" s="4" t="str">
        <f t="shared" si="10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1"/>
        <v/>
      </c>
      <c r="P568" s="4" t="str">
        <f t="array" ref="P568">XLOOKUP(L568,'Dados Funil'!A:A,'Dados Funil'!AM:AM,"")</f>
        <v/>
      </c>
      <c r="Q568" s="9" t="str">
        <f t="array" ref="Q568">XLOOKUP(L568,'Dados Funil'!A:A,'Dados Funil'!AN:AN,"")</f>
        <v/>
      </c>
      <c r="T568" s="7" t="str">
        <f t="shared" si="4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5"/>
        <v/>
      </c>
      <c r="AA568" s="4" t="str">
        <f t="shared" si="13"/>
        <v/>
      </c>
      <c r="AB568" s="4" t="str">
        <f t="array" ref="AB568">XLOOKUP(X568,'Dados Funil'!A:A,'Dados Funil'!O:O,"")</f>
        <v/>
      </c>
      <c r="AE568" s="7" t="str">
        <f t="shared" si="6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9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G569" s="4"/>
      <c r="H569" s="4"/>
      <c r="I569" s="7" t="str">
        <f t="shared" si="2"/>
        <v/>
      </c>
      <c r="J569" s="4" t="str">
        <f t="shared" si="10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1"/>
        <v/>
      </c>
      <c r="P569" s="4" t="str">
        <f t="array" ref="P569">XLOOKUP(L569,'Dados Funil'!A:A,'Dados Funil'!AM:AM,"")</f>
        <v/>
      </c>
      <c r="Q569" s="9" t="str">
        <f t="array" ref="Q569">XLOOKUP(L569,'Dados Funil'!A:A,'Dados Funil'!AN:AN,"")</f>
        <v/>
      </c>
      <c r="T569" s="7" t="str">
        <f t="shared" si="4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5"/>
        <v/>
      </c>
      <c r="AA569" s="4" t="str">
        <f t="shared" si="13"/>
        <v/>
      </c>
      <c r="AB569" s="4" t="str">
        <f t="array" ref="AB569">XLOOKUP(X569,'Dados Funil'!A:A,'Dados Funil'!O:O,"")</f>
        <v/>
      </c>
      <c r="AE569" s="7" t="str">
        <f t="shared" si="6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9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G570" s="4"/>
      <c r="H570" s="4"/>
      <c r="I570" s="7" t="str">
        <f t="shared" si="2"/>
        <v/>
      </c>
      <c r="J570" s="4" t="str">
        <f t="shared" si="10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1"/>
        <v/>
      </c>
      <c r="P570" s="4" t="str">
        <f t="array" ref="P570">XLOOKUP(L570,'Dados Funil'!A:A,'Dados Funil'!AM:AM,"")</f>
        <v/>
      </c>
      <c r="Q570" s="9" t="str">
        <f t="array" ref="Q570">XLOOKUP(L570,'Dados Funil'!A:A,'Dados Funil'!AN:AN,"")</f>
        <v/>
      </c>
      <c r="T570" s="7" t="str">
        <f t="shared" si="4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5"/>
        <v/>
      </c>
      <c r="AA570" s="4" t="str">
        <f t="shared" si="13"/>
        <v/>
      </c>
      <c r="AB570" s="4" t="str">
        <f t="array" ref="AB570">XLOOKUP(X570,'Dados Funil'!A:A,'Dados Funil'!O:O,"")</f>
        <v/>
      </c>
      <c r="AE570" s="7" t="str">
        <f t="shared" si="6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9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G571" s="4"/>
      <c r="H571" s="4"/>
      <c r="I571" s="7" t="str">
        <f t="shared" si="2"/>
        <v/>
      </c>
      <c r="J571" s="4" t="str">
        <f t="shared" si="10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1"/>
        <v/>
      </c>
      <c r="P571" s="4" t="str">
        <f t="array" ref="P571">XLOOKUP(L571,'Dados Funil'!A:A,'Dados Funil'!AM:AM,"")</f>
        <v/>
      </c>
      <c r="Q571" s="9" t="str">
        <f t="array" ref="Q571">XLOOKUP(L571,'Dados Funil'!A:A,'Dados Funil'!AN:AN,"")</f>
        <v/>
      </c>
      <c r="T571" s="7" t="str">
        <f t="shared" si="4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5"/>
        <v/>
      </c>
      <c r="AA571" s="4" t="str">
        <f t="shared" si="13"/>
        <v/>
      </c>
      <c r="AB571" s="4" t="str">
        <f t="array" ref="AB571">XLOOKUP(X571,'Dados Funil'!A:A,'Dados Funil'!O:O,"")</f>
        <v/>
      </c>
      <c r="AE571" s="7" t="str">
        <f t="shared" si="6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9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G572" s="4"/>
      <c r="H572" s="4"/>
      <c r="I572" s="7" t="str">
        <f t="shared" si="2"/>
        <v/>
      </c>
      <c r="J572" s="4" t="str">
        <f t="shared" si="10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1"/>
        <v/>
      </c>
      <c r="P572" s="4" t="str">
        <f t="array" ref="P572">XLOOKUP(L572,'Dados Funil'!A:A,'Dados Funil'!AM:AM,"")</f>
        <v/>
      </c>
      <c r="Q572" s="9" t="str">
        <f t="array" ref="Q572">XLOOKUP(L572,'Dados Funil'!A:A,'Dados Funil'!AN:AN,"")</f>
        <v/>
      </c>
      <c r="T572" s="7" t="str">
        <f t="shared" si="4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5"/>
        <v/>
      </c>
      <c r="AA572" s="4" t="str">
        <f t="shared" si="13"/>
        <v/>
      </c>
      <c r="AB572" s="4" t="str">
        <f t="array" ref="AB572">XLOOKUP(X572,'Dados Funil'!A:A,'Dados Funil'!O:O,"")</f>
        <v/>
      </c>
      <c r="AE572" s="7" t="str">
        <f t="shared" si="6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9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G573" s="4"/>
      <c r="H573" s="4"/>
      <c r="I573" s="7" t="str">
        <f t="shared" si="2"/>
        <v/>
      </c>
      <c r="J573" s="4" t="str">
        <f t="shared" si="10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1"/>
        <v/>
      </c>
      <c r="P573" s="4" t="str">
        <f t="array" ref="P573">XLOOKUP(L573,'Dados Funil'!A:A,'Dados Funil'!AM:AM,"")</f>
        <v/>
      </c>
      <c r="Q573" s="9" t="str">
        <f t="array" ref="Q573">XLOOKUP(L573,'Dados Funil'!A:A,'Dados Funil'!AN:AN,"")</f>
        <v/>
      </c>
      <c r="T573" s="7" t="str">
        <f t="shared" si="4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5"/>
        <v/>
      </c>
      <c r="AA573" s="4" t="str">
        <f t="shared" si="13"/>
        <v/>
      </c>
      <c r="AB573" s="4" t="str">
        <f t="array" ref="AB573">XLOOKUP(X573,'Dados Funil'!A:A,'Dados Funil'!O:O,"")</f>
        <v/>
      </c>
      <c r="AE573" s="7" t="str">
        <f t="shared" si="6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9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G574" s="4"/>
      <c r="H574" s="4"/>
      <c r="I574" s="7" t="str">
        <f t="shared" si="2"/>
        <v/>
      </c>
      <c r="J574" s="4" t="str">
        <f t="shared" si="10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1"/>
        <v/>
      </c>
      <c r="P574" s="4" t="str">
        <f t="array" ref="P574">XLOOKUP(L574,'Dados Funil'!A:A,'Dados Funil'!AM:AM,"")</f>
        <v/>
      </c>
      <c r="Q574" s="9" t="str">
        <f t="array" ref="Q574">XLOOKUP(L574,'Dados Funil'!A:A,'Dados Funil'!AN:AN,"")</f>
        <v/>
      </c>
      <c r="T574" s="7" t="str">
        <f t="shared" si="4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5"/>
        <v/>
      </c>
      <c r="AA574" s="4" t="str">
        <f t="shared" si="13"/>
        <v/>
      </c>
      <c r="AB574" s="4" t="str">
        <f t="array" ref="AB574">XLOOKUP(X574,'Dados Funil'!A:A,'Dados Funil'!O:O,"")</f>
        <v/>
      </c>
      <c r="AE574" s="7" t="str">
        <f t="shared" si="6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9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G575" s="4"/>
      <c r="H575" s="4"/>
      <c r="I575" s="7" t="str">
        <f t="shared" si="2"/>
        <v/>
      </c>
      <c r="J575" s="4" t="str">
        <f t="shared" si="10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1"/>
        <v/>
      </c>
      <c r="P575" s="4" t="str">
        <f t="array" ref="P575">XLOOKUP(L575,'Dados Funil'!A:A,'Dados Funil'!AM:AM,"")</f>
        <v/>
      </c>
      <c r="Q575" s="9" t="str">
        <f t="array" ref="Q575">XLOOKUP(L575,'Dados Funil'!A:A,'Dados Funil'!AN:AN,"")</f>
        <v/>
      </c>
      <c r="T575" s="7" t="str">
        <f t="shared" si="4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5"/>
        <v/>
      </c>
      <c r="AA575" s="4" t="str">
        <f t="shared" si="13"/>
        <v/>
      </c>
      <c r="AB575" s="4" t="str">
        <f t="array" ref="AB575">XLOOKUP(X575,'Dados Funil'!A:A,'Dados Funil'!O:O,"")</f>
        <v/>
      </c>
      <c r="AE575" s="7" t="str">
        <f t="shared" si="6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9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G576" s="4"/>
      <c r="H576" s="4"/>
      <c r="I576" s="7" t="str">
        <f t="shared" si="2"/>
        <v/>
      </c>
      <c r="J576" s="4" t="str">
        <f t="shared" si="10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1"/>
        <v/>
      </c>
      <c r="P576" s="4" t="str">
        <f t="array" ref="P576">XLOOKUP(L576,'Dados Funil'!A:A,'Dados Funil'!AM:AM,"")</f>
        <v/>
      </c>
      <c r="Q576" s="9" t="str">
        <f t="array" ref="Q576">XLOOKUP(L576,'Dados Funil'!A:A,'Dados Funil'!AN:AN,"")</f>
        <v/>
      </c>
      <c r="T576" s="7" t="str">
        <f t="shared" si="4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5"/>
        <v/>
      </c>
      <c r="AA576" s="4" t="str">
        <f t="shared" si="13"/>
        <v/>
      </c>
      <c r="AB576" s="4" t="str">
        <f t="array" ref="AB576">XLOOKUP(X576,'Dados Funil'!A:A,'Dados Funil'!O:O,"")</f>
        <v/>
      </c>
      <c r="AE576" s="7" t="str">
        <f t="shared" si="6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9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G577" s="4"/>
      <c r="H577" s="4"/>
      <c r="I577" s="7" t="str">
        <f t="shared" si="2"/>
        <v/>
      </c>
      <c r="J577" s="4" t="str">
        <f t="shared" si="10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1"/>
        <v/>
      </c>
      <c r="P577" s="4" t="str">
        <f t="array" ref="P577">XLOOKUP(L577,'Dados Funil'!A:A,'Dados Funil'!AM:AM,"")</f>
        <v/>
      </c>
      <c r="Q577" s="9" t="str">
        <f t="array" ref="Q577">XLOOKUP(L577,'Dados Funil'!A:A,'Dados Funil'!AN:AN,"")</f>
        <v/>
      </c>
      <c r="T577" s="7" t="str">
        <f t="shared" si="4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5"/>
        <v/>
      </c>
      <c r="AA577" s="4" t="str">
        <f t="shared" si="13"/>
        <v/>
      </c>
      <c r="AB577" s="4" t="str">
        <f t="array" ref="AB577">XLOOKUP(X577,'Dados Funil'!A:A,'Dados Funil'!O:O,"")</f>
        <v/>
      </c>
      <c r="AE577" s="7" t="str">
        <f t="shared" si="6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9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G578" s="4"/>
      <c r="H578" s="4"/>
      <c r="I578" s="7" t="str">
        <f t="shared" si="2"/>
        <v/>
      </c>
      <c r="J578" s="4" t="str">
        <f t="shared" si="10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1"/>
        <v/>
      </c>
      <c r="P578" s="4" t="str">
        <f t="array" ref="P578">XLOOKUP(L578,'Dados Funil'!A:A,'Dados Funil'!AM:AM,"")</f>
        <v/>
      </c>
      <c r="Q578" s="9" t="str">
        <f t="array" ref="Q578">XLOOKUP(L578,'Dados Funil'!A:A,'Dados Funil'!AN:AN,"")</f>
        <v/>
      </c>
      <c r="T578" s="7" t="str">
        <f t="shared" si="4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5"/>
        <v/>
      </c>
      <c r="AA578" s="4" t="str">
        <f t="shared" si="13"/>
        <v/>
      </c>
      <c r="AB578" s="4" t="str">
        <f t="array" ref="AB578">XLOOKUP(X578,'Dados Funil'!A:A,'Dados Funil'!O:O,"")</f>
        <v/>
      </c>
      <c r="AE578" s="7" t="str">
        <f t="shared" si="6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9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G579" s="4"/>
      <c r="H579" s="4"/>
      <c r="I579" s="7" t="str">
        <f t="shared" si="2"/>
        <v/>
      </c>
      <c r="J579" s="4" t="str">
        <f t="shared" si="10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1"/>
        <v/>
      </c>
      <c r="P579" s="4" t="str">
        <f t="array" ref="P579">XLOOKUP(L579,'Dados Funil'!A:A,'Dados Funil'!AM:AM,"")</f>
        <v/>
      </c>
      <c r="Q579" s="9" t="str">
        <f t="array" ref="Q579">XLOOKUP(L579,'Dados Funil'!A:A,'Dados Funil'!AN:AN,"")</f>
        <v/>
      </c>
      <c r="T579" s="7" t="str">
        <f t="shared" si="4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5"/>
        <v/>
      </c>
      <c r="AA579" s="4" t="str">
        <f t="shared" si="13"/>
        <v/>
      </c>
      <c r="AB579" s="4" t="str">
        <f t="array" ref="AB579">XLOOKUP(X579,'Dados Funil'!A:A,'Dados Funil'!O:O,"")</f>
        <v/>
      </c>
      <c r="AE579" s="7" t="str">
        <f t="shared" si="6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9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G580" s="4"/>
      <c r="H580" s="4"/>
      <c r="I580" s="7" t="str">
        <f t="shared" si="2"/>
        <v/>
      </c>
      <c r="J580" s="4" t="str">
        <f t="shared" si="10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1"/>
        <v/>
      </c>
      <c r="P580" s="4" t="str">
        <f t="array" ref="P580">XLOOKUP(L580,'Dados Funil'!A:A,'Dados Funil'!AM:AM,"")</f>
        <v/>
      </c>
      <c r="Q580" s="9" t="str">
        <f t="array" ref="Q580">XLOOKUP(L580,'Dados Funil'!A:A,'Dados Funil'!AN:AN,"")</f>
        <v/>
      </c>
      <c r="T580" s="7" t="str">
        <f t="shared" si="4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5"/>
        <v/>
      </c>
      <c r="AA580" s="4" t="str">
        <f t="shared" si="13"/>
        <v/>
      </c>
      <c r="AB580" s="4" t="str">
        <f t="array" ref="AB580">XLOOKUP(X580,'Dados Funil'!A:A,'Dados Funil'!O:O,"")</f>
        <v/>
      </c>
      <c r="AE580" s="7" t="str">
        <f t="shared" si="6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9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G581" s="4"/>
      <c r="H581" s="4"/>
      <c r="I581" s="7" t="str">
        <f t="shared" si="2"/>
        <v/>
      </c>
      <c r="J581" s="4" t="str">
        <f t="shared" si="10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1"/>
        <v/>
      </c>
      <c r="P581" s="4" t="str">
        <f t="array" ref="P581">XLOOKUP(L581,'Dados Funil'!A:A,'Dados Funil'!AM:AM,"")</f>
        <v/>
      </c>
      <c r="Q581" s="9" t="str">
        <f t="array" ref="Q581">XLOOKUP(L581,'Dados Funil'!A:A,'Dados Funil'!AN:AN,"")</f>
        <v/>
      </c>
      <c r="T581" s="7" t="str">
        <f t="shared" si="4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5"/>
        <v/>
      </c>
      <c r="AA581" s="4" t="str">
        <f t="shared" si="13"/>
        <v/>
      </c>
      <c r="AB581" s="4" t="str">
        <f t="array" ref="AB581">XLOOKUP(X581,'Dados Funil'!A:A,'Dados Funil'!O:O,"")</f>
        <v/>
      </c>
      <c r="AE581" s="7" t="str">
        <f t="shared" si="6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9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G582" s="4"/>
      <c r="H582" s="4"/>
      <c r="I582" s="7" t="str">
        <f t="shared" si="2"/>
        <v/>
      </c>
      <c r="J582" s="4" t="str">
        <f t="shared" si="10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1"/>
        <v/>
      </c>
      <c r="P582" s="4" t="str">
        <f t="array" ref="P582">XLOOKUP(L582,'Dados Funil'!A:A,'Dados Funil'!AM:AM,"")</f>
        <v/>
      </c>
      <c r="Q582" s="9" t="str">
        <f t="array" ref="Q582">XLOOKUP(L582,'Dados Funil'!A:A,'Dados Funil'!AN:AN,"")</f>
        <v/>
      </c>
      <c r="T582" s="7" t="str">
        <f t="shared" si="4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5"/>
        <v/>
      </c>
      <c r="AA582" s="4" t="str">
        <f t="shared" si="13"/>
        <v/>
      </c>
      <c r="AB582" s="4" t="str">
        <f t="array" ref="AB582">XLOOKUP(X582,'Dados Funil'!A:A,'Dados Funil'!O:O,"")</f>
        <v/>
      </c>
      <c r="AE582" s="7" t="str">
        <f t="shared" si="6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9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G583" s="4"/>
      <c r="H583" s="4"/>
      <c r="I583" s="7" t="str">
        <f t="shared" si="2"/>
        <v/>
      </c>
      <c r="J583" s="4" t="str">
        <f t="shared" si="10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1"/>
        <v/>
      </c>
      <c r="P583" s="4" t="str">
        <f t="array" ref="P583">XLOOKUP(L583,'Dados Funil'!A:A,'Dados Funil'!AM:AM,"")</f>
        <v/>
      </c>
      <c r="Q583" s="9" t="str">
        <f t="array" ref="Q583">XLOOKUP(L583,'Dados Funil'!A:A,'Dados Funil'!AN:AN,"")</f>
        <v/>
      </c>
      <c r="T583" s="7" t="str">
        <f t="shared" si="4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5"/>
        <v/>
      </c>
      <c r="AA583" s="4" t="str">
        <f t="shared" si="13"/>
        <v/>
      </c>
      <c r="AB583" s="4" t="str">
        <f t="array" ref="AB583">XLOOKUP(X583,'Dados Funil'!A:A,'Dados Funil'!O:O,"")</f>
        <v/>
      </c>
      <c r="AE583" s="7" t="str">
        <f t="shared" si="6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9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G584" s="4"/>
      <c r="H584" s="4"/>
      <c r="I584" s="7" t="str">
        <f t="shared" si="2"/>
        <v/>
      </c>
      <c r="J584" s="4" t="str">
        <f t="shared" si="10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1"/>
        <v/>
      </c>
      <c r="P584" s="4" t="str">
        <f t="array" ref="P584">XLOOKUP(L584,'Dados Funil'!A:A,'Dados Funil'!AM:AM,"")</f>
        <v/>
      </c>
      <c r="Q584" s="9" t="str">
        <f t="array" ref="Q584">XLOOKUP(L584,'Dados Funil'!A:A,'Dados Funil'!AN:AN,"")</f>
        <v/>
      </c>
      <c r="T584" s="7" t="str">
        <f t="shared" si="4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5"/>
        <v/>
      </c>
      <c r="AA584" s="4" t="str">
        <f t="shared" si="13"/>
        <v/>
      </c>
      <c r="AB584" s="4" t="str">
        <f t="array" ref="AB584">XLOOKUP(X584,'Dados Funil'!A:A,'Dados Funil'!O:O,"")</f>
        <v/>
      </c>
      <c r="AE584" s="7" t="str">
        <f t="shared" si="6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9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G585" s="4"/>
      <c r="H585" s="4"/>
      <c r="I585" s="7" t="str">
        <f t="shared" si="2"/>
        <v/>
      </c>
      <c r="J585" s="4" t="str">
        <f t="shared" si="10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1"/>
        <v/>
      </c>
      <c r="P585" s="4" t="str">
        <f t="array" ref="P585">XLOOKUP(L585,'Dados Funil'!A:A,'Dados Funil'!AM:AM,"")</f>
        <v/>
      </c>
      <c r="Q585" s="9" t="str">
        <f t="array" ref="Q585">XLOOKUP(L585,'Dados Funil'!A:A,'Dados Funil'!AN:AN,"")</f>
        <v/>
      </c>
      <c r="T585" s="7" t="str">
        <f t="shared" si="4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5"/>
        <v/>
      </c>
      <c r="AA585" s="4" t="str">
        <f t="shared" si="13"/>
        <v/>
      </c>
      <c r="AB585" s="4" t="str">
        <f t="array" ref="AB585">XLOOKUP(X585,'Dados Funil'!A:A,'Dados Funil'!O:O,"")</f>
        <v/>
      </c>
      <c r="AE585" s="7" t="str">
        <f t="shared" si="6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9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G586" s="4"/>
      <c r="H586" s="4"/>
      <c r="I586" s="7" t="str">
        <f t="shared" si="2"/>
        <v/>
      </c>
      <c r="J586" s="4" t="str">
        <f t="shared" si="10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1"/>
        <v/>
      </c>
      <c r="P586" s="4" t="str">
        <f t="array" ref="P586">XLOOKUP(L586,'Dados Funil'!A:A,'Dados Funil'!AM:AM,"")</f>
        <v/>
      </c>
      <c r="Q586" s="9" t="str">
        <f t="array" ref="Q586">XLOOKUP(L586,'Dados Funil'!A:A,'Dados Funil'!AN:AN,"")</f>
        <v/>
      </c>
      <c r="T586" s="7" t="str">
        <f t="shared" si="4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5"/>
        <v/>
      </c>
      <c r="AA586" s="4" t="str">
        <f t="shared" si="13"/>
        <v/>
      </c>
      <c r="AB586" s="4" t="str">
        <f t="array" ref="AB586">XLOOKUP(X586,'Dados Funil'!A:A,'Dados Funil'!O:O,"")</f>
        <v/>
      </c>
      <c r="AE586" s="7" t="str">
        <f t="shared" si="6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9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G587" s="4"/>
      <c r="H587" s="4"/>
      <c r="I587" s="7" t="str">
        <f t="shared" si="2"/>
        <v/>
      </c>
      <c r="J587" s="4" t="str">
        <f t="shared" si="10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1"/>
        <v/>
      </c>
      <c r="P587" s="4" t="str">
        <f t="array" ref="P587">XLOOKUP(L587,'Dados Funil'!A:A,'Dados Funil'!AM:AM,"")</f>
        <v/>
      </c>
      <c r="Q587" s="9" t="str">
        <f t="array" ref="Q587">XLOOKUP(L587,'Dados Funil'!A:A,'Dados Funil'!AN:AN,"")</f>
        <v/>
      </c>
      <c r="T587" s="7" t="str">
        <f t="shared" si="4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5"/>
        <v/>
      </c>
      <c r="AA587" s="4" t="str">
        <f t="shared" si="13"/>
        <v/>
      </c>
      <c r="AB587" s="4" t="str">
        <f t="array" ref="AB587">XLOOKUP(X587,'Dados Funil'!A:A,'Dados Funil'!O:O,"")</f>
        <v/>
      </c>
      <c r="AE587" s="7" t="str">
        <f t="shared" si="6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9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G588" s="4"/>
      <c r="H588" s="4"/>
      <c r="I588" s="7" t="str">
        <f t="shared" si="2"/>
        <v/>
      </c>
      <c r="J588" s="4" t="str">
        <f t="shared" si="10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1"/>
        <v/>
      </c>
      <c r="P588" s="4" t="str">
        <f t="array" ref="P588">XLOOKUP(L588,'Dados Funil'!A:A,'Dados Funil'!AM:AM,"")</f>
        <v/>
      </c>
      <c r="Q588" s="9" t="str">
        <f t="array" ref="Q588">XLOOKUP(L588,'Dados Funil'!A:A,'Dados Funil'!AN:AN,"")</f>
        <v/>
      </c>
      <c r="T588" s="7" t="str">
        <f t="shared" si="4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5"/>
        <v/>
      </c>
      <c r="AA588" s="4" t="str">
        <f t="shared" si="13"/>
        <v/>
      </c>
      <c r="AB588" s="4" t="str">
        <f t="array" ref="AB588">XLOOKUP(X588,'Dados Funil'!A:A,'Dados Funil'!O:O,"")</f>
        <v/>
      </c>
      <c r="AE588" s="7" t="str">
        <f t="shared" si="6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9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G589" s="4"/>
      <c r="H589" s="4"/>
      <c r="I589" s="7" t="str">
        <f t="shared" si="2"/>
        <v/>
      </c>
      <c r="J589" s="4" t="str">
        <f t="shared" si="10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1"/>
        <v/>
      </c>
      <c r="P589" s="4" t="str">
        <f t="array" ref="P589">XLOOKUP(L589,'Dados Funil'!A:A,'Dados Funil'!AM:AM,"")</f>
        <v/>
      </c>
      <c r="Q589" s="9" t="str">
        <f t="array" ref="Q589">XLOOKUP(L589,'Dados Funil'!A:A,'Dados Funil'!AN:AN,"")</f>
        <v/>
      </c>
      <c r="T589" s="7" t="str">
        <f t="shared" si="4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5"/>
        <v/>
      </c>
      <c r="AA589" s="4" t="str">
        <f t="shared" si="13"/>
        <v/>
      </c>
      <c r="AB589" s="4" t="str">
        <f t="array" ref="AB589">XLOOKUP(X589,'Dados Funil'!A:A,'Dados Funil'!O:O,"")</f>
        <v/>
      </c>
      <c r="AE589" s="7" t="str">
        <f t="shared" si="6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9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G590" s="4"/>
      <c r="H590" s="4"/>
      <c r="I590" s="7" t="str">
        <f t="shared" si="2"/>
        <v/>
      </c>
      <c r="J590" s="4" t="str">
        <f t="shared" si="10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1"/>
        <v/>
      </c>
      <c r="P590" s="4" t="str">
        <f t="array" ref="P590">XLOOKUP(L590,'Dados Funil'!A:A,'Dados Funil'!AM:AM,"")</f>
        <v/>
      </c>
      <c r="Q590" s="9" t="str">
        <f t="array" ref="Q590">XLOOKUP(L590,'Dados Funil'!A:A,'Dados Funil'!AN:AN,"")</f>
        <v/>
      </c>
      <c r="T590" s="7" t="str">
        <f t="shared" si="4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5"/>
        <v/>
      </c>
      <c r="AA590" s="4" t="str">
        <f t="shared" si="13"/>
        <v/>
      </c>
      <c r="AB590" s="4" t="str">
        <f t="array" ref="AB590">XLOOKUP(X590,'Dados Funil'!A:A,'Dados Funil'!O:O,"")</f>
        <v/>
      </c>
      <c r="AE590" s="7" t="str">
        <f t="shared" si="6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9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G591" s="4"/>
      <c r="H591" s="4"/>
      <c r="I591" s="7" t="str">
        <f t="shared" si="2"/>
        <v/>
      </c>
      <c r="J591" s="4" t="str">
        <f t="shared" si="10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1"/>
        <v/>
      </c>
      <c r="P591" s="4" t="str">
        <f t="array" ref="P591">XLOOKUP(L591,'Dados Funil'!A:A,'Dados Funil'!AM:AM,"")</f>
        <v/>
      </c>
      <c r="Q591" s="9" t="str">
        <f t="array" ref="Q591">XLOOKUP(L591,'Dados Funil'!A:A,'Dados Funil'!AN:AN,"")</f>
        <v/>
      </c>
      <c r="T591" s="7" t="str">
        <f t="shared" si="4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5"/>
        <v/>
      </c>
      <c r="AA591" s="4" t="str">
        <f t="shared" si="13"/>
        <v/>
      </c>
      <c r="AB591" s="4" t="str">
        <f t="array" ref="AB591">XLOOKUP(X591,'Dados Funil'!A:A,'Dados Funil'!O:O,"")</f>
        <v/>
      </c>
      <c r="AE591" s="7" t="str">
        <f t="shared" si="6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9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G592" s="4"/>
      <c r="H592" s="4"/>
      <c r="I592" s="7" t="str">
        <f t="shared" si="2"/>
        <v/>
      </c>
      <c r="J592" s="4" t="str">
        <f t="shared" si="10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1"/>
        <v/>
      </c>
      <c r="P592" s="4" t="str">
        <f t="array" ref="P592">XLOOKUP(L592,'Dados Funil'!A:A,'Dados Funil'!AM:AM,"")</f>
        <v/>
      </c>
      <c r="Q592" s="9" t="str">
        <f t="array" ref="Q592">XLOOKUP(L592,'Dados Funil'!A:A,'Dados Funil'!AN:AN,"")</f>
        <v/>
      </c>
      <c r="T592" s="7" t="str">
        <f t="shared" si="4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5"/>
        <v/>
      </c>
      <c r="AA592" s="4" t="str">
        <f t="shared" si="13"/>
        <v/>
      </c>
      <c r="AB592" s="4" t="str">
        <f t="array" ref="AB592">XLOOKUP(X592,'Dados Funil'!A:A,'Dados Funil'!O:O,"")</f>
        <v/>
      </c>
      <c r="AE592" s="7" t="str">
        <f t="shared" si="6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9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G593" s="4"/>
      <c r="H593" s="4"/>
      <c r="I593" s="7" t="str">
        <f t="shared" si="2"/>
        <v/>
      </c>
      <c r="J593" s="4" t="str">
        <f t="shared" si="10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1"/>
        <v/>
      </c>
      <c r="P593" s="4" t="str">
        <f t="array" ref="P593">XLOOKUP(L593,'Dados Funil'!A:A,'Dados Funil'!AM:AM,"")</f>
        <v/>
      </c>
      <c r="Q593" s="9" t="str">
        <f t="array" ref="Q593">XLOOKUP(L593,'Dados Funil'!A:A,'Dados Funil'!AN:AN,"")</f>
        <v/>
      </c>
      <c r="T593" s="7" t="str">
        <f t="shared" si="4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5"/>
        <v/>
      </c>
      <c r="AA593" s="4" t="str">
        <f t="shared" si="13"/>
        <v/>
      </c>
      <c r="AB593" s="4" t="str">
        <f t="array" ref="AB593">XLOOKUP(X593,'Dados Funil'!A:A,'Dados Funil'!O:O,"")</f>
        <v/>
      </c>
      <c r="AE593" s="7" t="str">
        <f t="shared" si="6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9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G594" s="4"/>
      <c r="H594" s="4"/>
      <c r="I594" s="7" t="str">
        <f t="shared" si="2"/>
        <v/>
      </c>
      <c r="J594" s="4" t="str">
        <f t="shared" si="10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1"/>
        <v/>
      </c>
      <c r="P594" s="4" t="str">
        <f t="array" ref="P594">XLOOKUP(L594,'Dados Funil'!A:A,'Dados Funil'!AM:AM,"")</f>
        <v/>
      </c>
      <c r="Q594" s="9" t="str">
        <f t="array" ref="Q594">XLOOKUP(L594,'Dados Funil'!A:A,'Dados Funil'!AN:AN,"")</f>
        <v/>
      </c>
      <c r="T594" s="7" t="str">
        <f t="shared" si="4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5"/>
        <v/>
      </c>
      <c r="AA594" s="4" t="str">
        <f t="shared" si="13"/>
        <v/>
      </c>
      <c r="AB594" s="4" t="str">
        <f t="array" ref="AB594">XLOOKUP(X594,'Dados Funil'!A:A,'Dados Funil'!O:O,"")</f>
        <v/>
      </c>
      <c r="AE594" s="7" t="str">
        <f t="shared" si="6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9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G595" s="4"/>
      <c r="H595" s="4"/>
      <c r="I595" s="7" t="str">
        <f t="shared" si="2"/>
        <v/>
      </c>
      <c r="J595" s="4" t="str">
        <f t="shared" si="10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1"/>
        <v/>
      </c>
      <c r="P595" s="4" t="str">
        <f t="array" ref="P595">XLOOKUP(L595,'Dados Funil'!A:A,'Dados Funil'!AM:AM,"")</f>
        <v/>
      </c>
      <c r="Q595" s="9" t="str">
        <f t="array" ref="Q595">XLOOKUP(L595,'Dados Funil'!A:A,'Dados Funil'!AN:AN,"")</f>
        <v/>
      </c>
      <c r="T595" s="7" t="str">
        <f t="shared" si="4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5"/>
        <v/>
      </c>
      <c r="AA595" s="4" t="str">
        <f t="shared" si="13"/>
        <v/>
      </c>
      <c r="AB595" s="4" t="str">
        <f t="array" ref="AB595">XLOOKUP(X595,'Dados Funil'!A:A,'Dados Funil'!O:O,"")</f>
        <v/>
      </c>
      <c r="AE595" s="7" t="str">
        <f t="shared" si="6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9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G596" s="4"/>
      <c r="H596" s="4"/>
      <c r="I596" s="7" t="str">
        <f t="shared" si="2"/>
        <v/>
      </c>
      <c r="J596" s="4" t="str">
        <f t="shared" si="10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1"/>
        <v/>
      </c>
      <c r="P596" s="4" t="str">
        <f t="array" ref="P596">XLOOKUP(L596,'Dados Funil'!A:A,'Dados Funil'!AM:AM,"")</f>
        <v/>
      </c>
      <c r="Q596" s="9" t="str">
        <f t="array" ref="Q596">XLOOKUP(L596,'Dados Funil'!A:A,'Dados Funil'!AN:AN,"")</f>
        <v/>
      </c>
      <c r="T596" s="7" t="str">
        <f t="shared" si="4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5"/>
        <v/>
      </c>
      <c r="AA596" s="4" t="str">
        <f t="shared" si="13"/>
        <v/>
      </c>
      <c r="AB596" s="4" t="str">
        <f t="array" ref="AB596">XLOOKUP(X596,'Dados Funil'!A:A,'Dados Funil'!O:O,"")</f>
        <v/>
      </c>
      <c r="AE596" s="7" t="str">
        <f t="shared" si="6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9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G597" s="4"/>
      <c r="H597" s="4"/>
      <c r="I597" s="7" t="str">
        <f t="shared" si="2"/>
        <v/>
      </c>
      <c r="J597" s="4" t="str">
        <f t="shared" si="10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1"/>
        <v/>
      </c>
      <c r="P597" s="4" t="str">
        <f t="array" ref="P597">XLOOKUP(L597,'Dados Funil'!A:A,'Dados Funil'!AM:AM,"")</f>
        <v/>
      </c>
      <c r="Q597" s="9" t="str">
        <f t="array" ref="Q597">XLOOKUP(L597,'Dados Funil'!A:A,'Dados Funil'!AN:AN,"")</f>
        <v/>
      </c>
      <c r="T597" s="7" t="str">
        <f t="shared" si="4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5"/>
        <v/>
      </c>
      <c r="AA597" s="4" t="str">
        <f t="shared" si="13"/>
        <v/>
      </c>
      <c r="AB597" s="4" t="str">
        <f t="array" ref="AB597">XLOOKUP(X597,'Dados Funil'!A:A,'Dados Funil'!O:O,"")</f>
        <v/>
      </c>
      <c r="AE597" s="7" t="str">
        <f t="shared" si="6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9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G598" s="4"/>
      <c r="H598" s="4"/>
      <c r="I598" s="7" t="str">
        <f t="shared" si="2"/>
        <v/>
      </c>
      <c r="J598" s="4" t="str">
        <f t="shared" si="10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1"/>
        <v/>
      </c>
      <c r="P598" s="4" t="str">
        <f t="array" ref="P598">XLOOKUP(L598,'Dados Funil'!A:A,'Dados Funil'!AM:AM,"")</f>
        <v/>
      </c>
      <c r="Q598" s="9" t="str">
        <f t="array" ref="Q598">XLOOKUP(L598,'Dados Funil'!A:A,'Dados Funil'!AN:AN,"")</f>
        <v/>
      </c>
      <c r="T598" s="7" t="str">
        <f t="shared" si="4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5"/>
        <v/>
      </c>
      <c r="AA598" s="4" t="str">
        <f t="shared" si="13"/>
        <v/>
      </c>
      <c r="AB598" s="4" t="str">
        <f t="array" ref="AB598">XLOOKUP(X598,'Dados Funil'!A:A,'Dados Funil'!O:O,"")</f>
        <v/>
      </c>
      <c r="AE598" s="7" t="str">
        <f t="shared" si="6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9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G599" s="4"/>
      <c r="H599" s="4"/>
      <c r="I599" s="7" t="str">
        <f t="shared" si="2"/>
        <v/>
      </c>
      <c r="J599" s="4" t="str">
        <f t="shared" si="10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1"/>
        <v/>
      </c>
      <c r="P599" s="4" t="str">
        <f t="array" ref="P599">XLOOKUP(L599,'Dados Funil'!A:A,'Dados Funil'!AM:AM,"")</f>
        <v/>
      </c>
      <c r="Q599" s="9" t="str">
        <f t="array" ref="Q599">XLOOKUP(L599,'Dados Funil'!A:A,'Dados Funil'!AN:AN,"")</f>
        <v/>
      </c>
      <c r="T599" s="7" t="str">
        <f t="shared" si="4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5"/>
        <v/>
      </c>
      <c r="AA599" s="4" t="str">
        <f t="shared" si="13"/>
        <v/>
      </c>
      <c r="AB599" s="4" t="str">
        <f t="array" ref="AB599">XLOOKUP(X599,'Dados Funil'!A:A,'Dados Funil'!O:O,"")</f>
        <v/>
      </c>
      <c r="AE599" s="7" t="str">
        <f t="shared" si="6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9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G600" s="4"/>
      <c r="H600" s="4"/>
      <c r="I600" s="7" t="str">
        <f t="shared" si="2"/>
        <v/>
      </c>
      <c r="J600" s="4" t="str">
        <f t="shared" si="10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1"/>
        <v/>
      </c>
      <c r="P600" s="4" t="str">
        <f t="array" ref="P600">XLOOKUP(L600,'Dados Funil'!A:A,'Dados Funil'!AM:AM,"")</f>
        <v/>
      </c>
      <c r="Q600" s="9" t="str">
        <f t="array" ref="Q600">XLOOKUP(L600,'Dados Funil'!A:A,'Dados Funil'!AN:AN,"")</f>
        <v/>
      </c>
      <c r="T600" s="7" t="str">
        <f t="shared" si="4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5"/>
        <v/>
      </c>
      <c r="AA600" s="4" t="str">
        <f t="shared" si="13"/>
        <v/>
      </c>
      <c r="AB600" s="4" t="str">
        <f t="array" ref="AB600">XLOOKUP(X600,'Dados Funil'!A:A,'Dados Funil'!O:O,"")</f>
        <v/>
      </c>
      <c r="AE600" s="7" t="str">
        <f t="shared" si="6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9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G601" s="4"/>
      <c r="H601" s="4"/>
      <c r="I601" s="7" t="str">
        <f t="shared" si="2"/>
        <v/>
      </c>
      <c r="J601" s="4" t="str">
        <f t="shared" si="10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1"/>
        <v/>
      </c>
      <c r="P601" s="4" t="str">
        <f t="array" ref="P601">XLOOKUP(L601,'Dados Funil'!A:A,'Dados Funil'!AM:AM,"")</f>
        <v/>
      </c>
      <c r="Q601" s="9" t="str">
        <f t="array" ref="Q601">XLOOKUP(L601,'Dados Funil'!A:A,'Dados Funil'!AN:AN,"")</f>
        <v/>
      </c>
      <c r="T601" s="7" t="str">
        <f t="shared" si="4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5"/>
        <v/>
      </c>
      <c r="AA601" s="4" t="str">
        <f t="shared" si="13"/>
        <v/>
      </c>
      <c r="AB601" s="4" t="str">
        <f t="array" ref="AB601">XLOOKUP(X601,'Dados Funil'!A:A,'Dados Funil'!O:O,"")</f>
        <v/>
      </c>
      <c r="AE601" s="7" t="str">
        <f t="shared" si="6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9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G602" s="4"/>
      <c r="H602" s="4"/>
      <c r="I602" s="7" t="str">
        <f t="shared" si="2"/>
        <v/>
      </c>
      <c r="J602" s="4" t="str">
        <f t="shared" si="10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1"/>
        <v/>
      </c>
      <c r="P602" s="4" t="str">
        <f t="array" ref="P602">XLOOKUP(L602,'Dados Funil'!A:A,'Dados Funil'!AM:AM,"")</f>
        <v/>
      </c>
      <c r="Q602" s="9" t="str">
        <f t="array" ref="Q602">XLOOKUP(L602,'Dados Funil'!A:A,'Dados Funil'!AN:AN,"")</f>
        <v/>
      </c>
      <c r="T602" s="7" t="str">
        <f t="shared" si="4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5"/>
        <v/>
      </c>
      <c r="AA602" s="4" t="str">
        <f t="shared" si="13"/>
        <v/>
      </c>
      <c r="AB602" s="4" t="str">
        <f t="array" ref="AB602">XLOOKUP(X602,'Dados Funil'!A:A,'Dados Funil'!O:O,"")</f>
        <v/>
      </c>
      <c r="AE602" s="7" t="str">
        <f t="shared" si="6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9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G603" s="4"/>
      <c r="H603" s="4"/>
      <c r="I603" s="7" t="str">
        <f t="shared" si="2"/>
        <v/>
      </c>
      <c r="J603" s="4" t="str">
        <f t="shared" si="10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1"/>
        <v/>
      </c>
      <c r="P603" s="4" t="str">
        <f t="array" ref="P603">XLOOKUP(L603,'Dados Funil'!A:A,'Dados Funil'!AM:AM,"")</f>
        <v/>
      </c>
      <c r="Q603" s="9" t="str">
        <f t="array" ref="Q603">XLOOKUP(L603,'Dados Funil'!A:A,'Dados Funil'!AN:AN,"")</f>
        <v/>
      </c>
      <c r="T603" s="7" t="str">
        <f t="shared" si="4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5"/>
        <v/>
      </c>
      <c r="AA603" s="4" t="str">
        <f t="shared" si="13"/>
        <v/>
      </c>
      <c r="AB603" s="4" t="str">
        <f t="array" ref="AB603">XLOOKUP(X603,'Dados Funil'!A:A,'Dados Funil'!O:O,"")</f>
        <v/>
      </c>
      <c r="AE603" s="7" t="str">
        <f t="shared" si="6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9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G604" s="4"/>
      <c r="H604" s="4"/>
      <c r="I604" s="7" t="str">
        <f t="shared" si="2"/>
        <v/>
      </c>
      <c r="J604" s="4" t="str">
        <f t="shared" si="10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1"/>
        <v/>
      </c>
      <c r="P604" s="4" t="str">
        <f t="array" ref="P604">XLOOKUP(L604,'Dados Funil'!A:A,'Dados Funil'!AM:AM,"")</f>
        <v/>
      </c>
      <c r="Q604" s="9" t="str">
        <f t="array" ref="Q604">XLOOKUP(L604,'Dados Funil'!A:A,'Dados Funil'!AN:AN,"")</f>
        <v/>
      </c>
      <c r="T604" s="7" t="str">
        <f t="shared" si="4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5"/>
        <v/>
      </c>
      <c r="AA604" s="4" t="str">
        <f t="shared" si="13"/>
        <v/>
      </c>
      <c r="AB604" s="4" t="str">
        <f t="array" ref="AB604">XLOOKUP(X604,'Dados Funil'!A:A,'Dados Funil'!O:O,"")</f>
        <v/>
      </c>
      <c r="AE604" s="7" t="str">
        <f t="shared" si="6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9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G605" s="4"/>
      <c r="H605" s="4"/>
      <c r="I605" s="7" t="str">
        <f t="shared" si="2"/>
        <v/>
      </c>
      <c r="J605" s="4" t="str">
        <f t="shared" si="10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1"/>
        <v/>
      </c>
      <c r="P605" s="4" t="str">
        <f t="array" ref="P605">XLOOKUP(L605,'Dados Funil'!A:A,'Dados Funil'!AM:AM,"")</f>
        <v/>
      </c>
      <c r="Q605" s="9" t="str">
        <f t="array" ref="Q605">XLOOKUP(L605,'Dados Funil'!A:A,'Dados Funil'!AN:AN,"")</f>
        <v/>
      </c>
      <c r="T605" s="7" t="str">
        <f t="shared" si="4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5"/>
        <v/>
      </c>
      <c r="AA605" s="4" t="str">
        <f t="shared" si="13"/>
        <v/>
      </c>
      <c r="AB605" s="4" t="str">
        <f t="array" ref="AB605">XLOOKUP(X605,'Dados Funil'!A:A,'Dados Funil'!O:O,"")</f>
        <v/>
      </c>
      <c r="AE605" s="7" t="str">
        <f t="shared" si="6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9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G606" s="4"/>
      <c r="H606" s="4"/>
      <c r="I606" s="7" t="str">
        <f t="shared" si="2"/>
        <v/>
      </c>
      <c r="J606" s="4" t="str">
        <f t="shared" si="10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1"/>
        <v/>
      </c>
      <c r="P606" s="4" t="str">
        <f t="array" ref="P606">XLOOKUP(L606,'Dados Funil'!A:A,'Dados Funil'!AM:AM,"")</f>
        <v/>
      </c>
      <c r="Q606" s="9" t="str">
        <f t="array" ref="Q606">XLOOKUP(L606,'Dados Funil'!A:A,'Dados Funil'!AN:AN,"")</f>
        <v/>
      </c>
      <c r="T606" s="7" t="str">
        <f t="shared" si="4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5"/>
        <v/>
      </c>
      <c r="AA606" s="4" t="str">
        <f t="shared" si="13"/>
        <v/>
      </c>
      <c r="AB606" s="4" t="str">
        <f t="array" ref="AB606">XLOOKUP(X606,'Dados Funil'!A:A,'Dados Funil'!O:O,"")</f>
        <v/>
      </c>
      <c r="AE606" s="7" t="str">
        <f t="shared" si="6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9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G607" s="4"/>
      <c r="H607" s="4"/>
      <c r="I607" s="7" t="str">
        <f t="shared" si="2"/>
        <v/>
      </c>
      <c r="J607" s="4" t="str">
        <f t="shared" si="10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1"/>
        <v/>
      </c>
      <c r="P607" s="4" t="str">
        <f t="array" ref="P607">XLOOKUP(L607,'Dados Funil'!A:A,'Dados Funil'!AM:AM,"")</f>
        <v/>
      </c>
      <c r="Q607" s="9" t="str">
        <f t="array" ref="Q607">XLOOKUP(L607,'Dados Funil'!A:A,'Dados Funil'!AN:AN,"")</f>
        <v/>
      </c>
      <c r="T607" s="7" t="str">
        <f t="shared" si="4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5"/>
        <v/>
      </c>
      <c r="AA607" s="4" t="str">
        <f t="shared" si="13"/>
        <v/>
      </c>
      <c r="AB607" s="4" t="str">
        <f t="array" ref="AB607">XLOOKUP(X607,'Dados Funil'!A:A,'Dados Funil'!O:O,"")</f>
        <v/>
      </c>
      <c r="AE607" s="7" t="str">
        <f t="shared" si="6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9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G608" s="4"/>
      <c r="H608" s="4"/>
      <c r="I608" s="7" t="str">
        <f t="shared" si="2"/>
        <v/>
      </c>
      <c r="J608" s="4" t="str">
        <f t="shared" si="10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1"/>
        <v/>
      </c>
      <c r="P608" s="4" t="str">
        <f t="array" ref="P608">XLOOKUP(L608,'Dados Funil'!A:A,'Dados Funil'!AM:AM,"")</f>
        <v/>
      </c>
      <c r="Q608" s="9" t="str">
        <f t="array" ref="Q608">XLOOKUP(L608,'Dados Funil'!A:A,'Dados Funil'!AN:AN,"")</f>
        <v/>
      </c>
      <c r="T608" s="7" t="str">
        <f t="shared" si="4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5"/>
        <v/>
      </c>
      <c r="AA608" s="4" t="str">
        <f t="shared" si="13"/>
        <v/>
      </c>
      <c r="AB608" s="4" t="str">
        <f t="array" ref="AB608">XLOOKUP(X608,'Dados Funil'!A:A,'Dados Funil'!O:O,"")</f>
        <v/>
      </c>
      <c r="AE608" s="7" t="str">
        <f t="shared" si="6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9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G609" s="4"/>
      <c r="H609" s="4"/>
      <c r="I609" s="7" t="str">
        <f t="shared" si="2"/>
        <v/>
      </c>
      <c r="J609" s="4" t="str">
        <f t="shared" si="10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1"/>
        <v/>
      </c>
      <c r="P609" s="4" t="str">
        <f t="array" ref="P609">XLOOKUP(L609,'Dados Funil'!A:A,'Dados Funil'!AM:AM,"")</f>
        <v/>
      </c>
      <c r="Q609" s="9" t="str">
        <f t="array" ref="Q609">XLOOKUP(L609,'Dados Funil'!A:A,'Dados Funil'!AN:AN,"")</f>
        <v/>
      </c>
      <c r="T609" s="7" t="str">
        <f t="shared" si="4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5"/>
        <v/>
      </c>
      <c r="AA609" s="4" t="str">
        <f t="shared" si="13"/>
        <v/>
      </c>
      <c r="AB609" s="4" t="str">
        <f t="array" ref="AB609">XLOOKUP(X609,'Dados Funil'!A:A,'Dados Funil'!O:O,"")</f>
        <v/>
      </c>
      <c r="AE609" s="7" t="str">
        <f t="shared" si="6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9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G610" s="4"/>
      <c r="H610" s="4"/>
      <c r="I610" s="7" t="str">
        <f t="shared" si="2"/>
        <v/>
      </c>
      <c r="J610" s="4" t="str">
        <f t="shared" si="10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1"/>
        <v/>
      </c>
      <c r="P610" s="4" t="str">
        <f t="array" ref="P610">XLOOKUP(L610,'Dados Funil'!A:A,'Dados Funil'!AM:AM,"")</f>
        <v/>
      </c>
      <c r="Q610" s="9" t="str">
        <f t="array" ref="Q610">XLOOKUP(L610,'Dados Funil'!A:A,'Dados Funil'!AN:AN,"")</f>
        <v/>
      </c>
      <c r="T610" s="7" t="str">
        <f t="shared" si="4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5"/>
        <v/>
      </c>
      <c r="AA610" s="4" t="str">
        <f t="shared" si="13"/>
        <v/>
      </c>
      <c r="AB610" s="4" t="str">
        <f t="array" ref="AB610">XLOOKUP(X610,'Dados Funil'!A:A,'Dados Funil'!O:O,"")</f>
        <v/>
      </c>
      <c r="AE610" s="7" t="str">
        <f t="shared" si="6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9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G611" s="4"/>
      <c r="H611" s="4"/>
      <c r="I611" s="7" t="str">
        <f t="shared" si="2"/>
        <v/>
      </c>
      <c r="J611" s="4" t="str">
        <f t="shared" si="10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1"/>
        <v/>
      </c>
      <c r="P611" s="4" t="str">
        <f t="array" ref="P611">XLOOKUP(L611,'Dados Funil'!A:A,'Dados Funil'!AM:AM,"")</f>
        <v/>
      </c>
      <c r="Q611" s="9" t="str">
        <f t="array" ref="Q611">XLOOKUP(L611,'Dados Funil'!A:A,'Dados Funil'!AN:AN,"")</f>
        <v/>
      </c>
      <c r="T611" s="7" t="str">
        <f t="shared" si="4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5"/>
        <v/>
      </c>
      <c r="AA611" s="4" t="str">
        <f t="shared" si="13"/>
        <v/>
      </c>
      <c r="AB611" s="4" t="str">
        <f t="array" ref="AB611">XLOOKUP(X611,'Dados Funil'!A:A,'Dados Funil'!O:O,"")</f>
        <v/>
      </c>
      <c r="AE611" s="7" t="str">
        <f t="shared" si="6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9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G612" s="4"/>
      <c r="H612" s="4"/>
      <c r="I612" s="7" t="str">
        <f t="shared" si="2"/>
        <v/>
      </c>
      <c r="J612" s="4" t="str">
        <f t="shared" si="10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1"/>
        <v/>
      </c>
      <c r="P612" s="4" t="str">
        <f t="array" ref="P612">XLOOKUP(L612,'Dados Funil'!A:A,'Dados Funil'!AM:AM,"")</f>
        <v/>
      </c>
      <c r="Q612" s="9" t="str">
        <f t="array" ref="Q612">XLOOKUP(L612,'Dados Funil'!A:A,'Dados Funil'!AN:AN,"")</f>
        <v/>
      </c>
      <c r="T612" s="7" t="str">
        <f t="shared" si="4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5"/>
        <v/>
      </c>
      <c r="AA612" s="4" t="str">
        <f t="shared" si="13"/>
        <v/>
      </c>
      <c r="AB612" s="4" t="str">
        <f t="array" ref="AB612">XLOOKUP(X612,'Dados Funil'!A:A,'Dados Funil'!O:O,"")</f>
        <v/>
      </c>
      <c r="AE612" s="7" t="str">
        <f t="shared" si="6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9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G613" s="4"/>
      <c r="H613" s="4"/>
      <c r="I613" s="7" t="str">
        <f t="shared" si="2"/>
        <v/>
      </c>
      <c r="J613" s="4" t="str">
        <f t="shared" si="10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1"/>
        <v/>
      </c>
      <c r="P613" s="4" t="str">
        <f t="array" ref="P613">XLOOKUP(L613,'Dados Funil'!A:A,'Dados Funil'!AM:AM,"")</f>
        <v/>
      </c>
      <c r="Q613" s="9" t="str">
        <f t="array" ref="Q613">XLOOKUP(L613,'Dados Funil'!A:A,'Dados Funil'!AN:AN,"")</f>
        <v/>
      </c>
      <c r="T613" s="7" t="str">
        <f t="shared" si="4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5"/>
        <v/>
      </c>
      <c r="AA613" s="4" t="str">
        <f t="shared" si="13"/>
        <v/>
      </c>
      <c r="AB613" s="4" t="str">
        <f t="array" ref="AB613">XLOOKUP(X613,'Dados Funil'!A:A,'Dados Funil'!O:O,"")</f>
        <v/>
      </c>
      <c r="AE613" s="7" t="str">
        <f t="shared" si="6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9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G614" s="4"/>
      <c r="H614" s="4"/>
      <c r="I614" s="7" t="str">
        <f t="shared" si="2"/>
        <v/>
      </c>
      <c r="J614" s="4" t="str">
        <f t="shared" si="10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1"/>
        <v/>
      </c>
      <c r="P614" s="4" t="str">
        <f t="array" ref="P614">XLOOKUP(L614,'Dados Funil'!A:A,'Dados Funil'!AM:AM,"")</f>
        <v/>
      </c>
      <c r="Q614" s="9" t="str">
        <f t="array" ref="Q614">XLOOKUP(L614,'Dados Funil'!A:A,'Dados Funil'!AN:AN,"")</f>
        <v/>
      </c>
      <c r="T614" s="7" t="str">
        <f t="shared" si="4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5"/>
        <v/>
      </c>
      <c r="AA614" s="4" t="str">
        <f t="shared" si="13"/>
        <v/>
      </c>
      <c r="AB614" s="4" t="str">
        <f t="array" ref="AB614">XLOOKUP(X614,'Dados Funil'!A:A,'Dados Funil'!O:O,"")</f>
        <v/>
      </c>
      <c r="AE614" s="7" t="str">
        <f t="shared" si="6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9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G615" s="4"/>
      <c r="H615" s="4"/>
      <c r="I615" s="7" t="str">
        <f t="shared" si="2"/>
        <v/>
      </c>
      <c r="J615" s="4" t="str">
        <f t="shared" si="10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1"/>
        <v/>
      </c>
      <c r="P615" s="4" t="str">
        <f t="array" ref="P615">XLOOKUP(L615,'Dados Funil'!A:A,'Dados Funil'!AM:AM,"")</f>
        <v/>
      </c>
      <c r="Q615" s="9" t="str">
        <f t="array" ref="Q615">XLOOKUP(L615,'Dados Funil'!A:A,'Dados Funil'!AN:AN,"")</f>
        <v/>
      </c>
      <c r="T615" s="7" t="str">
        <f t="shared" si="4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5"/>
        <v/>
      </c>
      <c r="AA615" s="4" t="str">
        <f t="shared" si="13"/>
        <v/>
      </c>
      <c r="AB615" s="4" t="str">
        <f t="array" ref="AB615">XLOOKUP(X615,'Dados Funil'!A:A,'Dados Funil'!O:O,"")</f>
        <v/>
      </c>
      <c r="AE615" s="7" t="str">
        <f t="shared" si="6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9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G616" s="4"/>
      <c r="H616" s="4"/>
      <c r="I616" s="7" t="str">
        <f t="shared" si="2"/>
        <v/>
      </c>
      <c r="J616" s="4" t="str">
        <f t="shared" si="10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1"/>
        <v/>
      </c>
      <c r="P616" s="4" t="str">
        <f t="array" ref="P616">XLOOKUP(L616,'Dados Funil'!A:A,'Dados Funil'!AM:AM,"")</f>
        <v/>
      </c>
      <c r="Q616" s="9" t="str">
        <f t="array" ref="Q616">XLOOKUP(L616,'Dados Funil'!A:A,'Dados Funil'!AN:AN,"")</f>
        <v/>
      </c>
      <c r="T616" s="7" t="str">
        <f t="shared" si="4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5"/>
        <v/>
      </c>
      <c r="AA616" s="4" t="str">
        <f t="shared" si="13"/>
        <v/>
      </c>
      <c r="AB616" s="4" t="str">
        <f t="array" ref="AB616">XLOOKUP(X616,'Dados Funil'!A:A,'Dados Funil'!O:O,"")</f>
        <v/>
      </c>
      <c r="AE616" s="7" t="str">
        <f t="shared" si="6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9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G617" s="4"/>
      <c r="H617" s="4"/>
      <c r="I617" s="7" t="str">
        <f t="shared" si="2"/>
        <v/>
      </c>
      <c r="J617" s="4" t="str">
        <f t="shared" si="10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1"/>
        <v/>
      </c>
      <c r="P617" s="4" t="str">
        <f t="array" ref="P617">XLOOKUP(L617,'Dados Funil'!A:A,'Dados Funil'!AM:AM,"")</f>
        <v/>
      </c>
      <c r="Q617" s="9" t="str">
        <f t="array" ref="Q617">XLOOKUP(L617,'Dados Funil'!A:A,'Dados Funil'!AN:AN,"")</f>
        <v/>
      </c>
      <c r="T617" s="7" t="str">
        <f t="shared" si="4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5"/>
        <v/>
      </c>
      <c r="AA617" s="4" t="str">
        <f t="shared" si="13"/>
        <v/>
      </c>
      <c r="AB617" s="4" t="str">
        <f t="array" ref="AB617">XLOOKUP(X617,'Dados Funil'!A:A,'Dados Funil'!O:O,"")</f>
        <v/>
      </c>
      <c r="AE617" s="7" t="str">
        <f t="shared" si="6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9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G618" s="4"/>
      <c r="H618" s="4"/>
      <c r="I618" s="7" t="str">
        <f t="shared" si="2"/>
        <v/>
      </c>
      <c r="J618" s="4" t="str">
        <f t="shared" si="10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1"/>
        <v/>
      </c>
      <c r="P618" s="4" t="str">
        <f t="array" ref="P618">XLOOKUP(L618,'Dados Funil'!A:A,'Dados Funil'!AM:AM,"")</f>
        <v/>
      </c>
      <c r="Q618" s="9" t="str">
        <f t="array" ref="Q618">XLOOKUP(L618,'Dados Funil'!A:A,'Dados Funil'!AN:AN,"")</f>
        <v/>
      </c>
      <c r="T618" s="7" t="str">
        <f t="shared" si="4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5"/>
        <v/>
      </c>
      <c r="AA618" s="4" t="str">
        <f t="shared" si="13"/>
        <v/>
      </c>
      <c r="AB618" s="4" t="str">
        <f t="array" ref="AB618">XLOOKUP(X618,'Dados Funil'!A:A,'Dados Funil'!O:O,"")</f>
        <v/>
      </c>
      <c r="AE618" s="7" t="str">
        <f t="shared" si="6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9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G619" s="4"/>
      <c r="H619" s="4"/>
      <c r="I619" s="7" t="str">
        <f t="shared" si="2"/>
        <v/>
      </c>
      <c r="J619" s="4" t="str">
        <f t="shared" si="10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1"/>
        <v/>
      </c>
      <c r="P619" s="4" t="str">
        <f t="array" ref="P619">XLOOKUP(L619,'Dados Funil'!A:A,'Dados Funil'!AM:AM,"")</f>
        <v/>
      </c>
      <c r="Q619" s="9" t="str">
        <f t="array" ref="Q619">XLOOKUP(L619,'Dados Funil'!A:A,'Dados Funil'!AN:AN,"")</f>
        <v/>
      </c>
      <c r="T619" s="7" t="str">
        <f t="shared" si="4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5"/>
        <v/>
      </c>
      <c r="AA619" s="4" t="str">
        <f t="shared" si="13"/>
        <v/>
      </c>
      <c r="AB619" s="4" t="str">
        <f t="array" ref="AB619">XLOOKUP(X619,'Dados Funil'!A:A,'Dados Funil'!O:O,"")</f>
        <v/>
      </c>
      <c r="AE619" s="7" t="str">
        <f t="shared" si="6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9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G620" s="4"/>
      <c r="H620" s="4"/>
      <c r="I620" s="7" t="str">
        <f t="shared" si="2"/>
        <v/>
      </c>
      <c r="J620" s="4" t="str">
        <f t="shared" si="10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1"/>
        <v/>
      </c>
      <c r="P620" s="4" t="str">
        <f t="array" ref="P620">XLOOKUP(L620,'Dados Funil'!A:A,'Dados Funil'!AM:AM,"")</f>
        <v/>
      </c>
      <c r="Q620" s="9" t="str">
        <f t="array" ref="Q620">XLOOKUP(L620,'Dados Funil'!A:A,'Dados Funil'!AN:AN,"")</f>
        <v/>
      </c>
      <c r="T620" s="7" t="str">
        <f t="shared" si="4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5"/>
        <v/>
      </c>
      <c r="AA620" s="4" t="str">
        <f t="shared" si="13"/>
        <v/>
      </c>
      <c r="AB620" s="4" t="str">
        <f t="array" ref="AB620">XLOOKUP(X620,'Dados Funil'!A:A,'Dados Funil'!O:O,"")</f>
        <v/>
      </c>
      <c r="AE620" s="7" t="str">
        <f t="shared" si="6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9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G621" s="4"/>
      <c r="H621" s="4"/>
      <c r="I621" s="7" t="str">
        <f t="shared" si="2"/>
        <v/>
      </c>
      <c r="J621" s="4" t="str">
        <f t="shared" si="10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1"/>
        <v/>
      </c>
      <c r="P621" s="4" t="str">
        <f t="array" ref="P621">XLOOKUP(L621,'Dados Funil'!A:A,'Dados Funil'!AM:AM,"")</f>
        <v/>
      </c>
      <c r="Q621" s="9" t="str">
        <f t="array" ref="Q621">XLOOKUP(L621,'Dados Funil'!A:A,'Dados Funil'!AN:AN,"")</f>
        <v/>
      </c>
      <c r="T621" s="7" t="str">
        <f t="shared" si="4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5"/>
        <v/>
      </c>
      <c r="AA621" s="4" t="str">
        <f t="shared" si="13"/>
        <v/>
      </c>
      <c r="AB621" s="4" t="str">
        <f t="array" ref="AB621">XLOOKUP(X621,'Dados Funil'!A:A,'Dados Funil'!O:O,"")</f>
        <v/>
      </c>
      <c r="AE621" s="7" t="str">
        <f t="shared" si="6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9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G622" s="4"/>
      <c r="H622" s="4"/>
      <c r="I622" s="7" t="str">
        <f t="shared" si="2"/>
        <v/>
      </c>
      <c r="J622" s="4" t="str">
        <f t="shared" si="10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1"/>
        <v/>
      </c>
      <c r="P622" s="4" t="str">
        <f t="array" ref="P622">XLOOKUP(L622,'Dados Funil'!A:A,'Dados Funil'!AM:AM,"")</f>
        <v/>
      </c>
      <c r="Q622" s="9" t="str">
        <f t="array" ref="Q622">XLOOKUP(L622,'Dados Funil'!A:A,'Dados Funil'!AN:AN,"")</f>
        <v/>
      </c>
      <c r="T622" s="7" t="str">
        <f t="shared" si="4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5"/>
        <v/>
      </c>
      <c r="AA622" s="4" t="str">
        <f t="shared" si="13"/>
        <v/>
      </c>
      <c r="AB622" s="4" t="str">
        <f t="array" ref="AB622">XLOOKUP(X622,'Dados Funil'!A:A,'Dados Funil'!O:O,"")</f>
        <v/>
      </c>
      <c r="AE622" s="7" t="str">
        <f t="shared" si="6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9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G623" s="4"/>
      <c r="H623" s="4"/>
      <c r="I623" s="7" t="str">
        <f t="shared" si="2"/>
        <v/>
      </c>
      <c r="J623" s="4" t="str">
        <f t="shared" si="10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1"/>
        <v/>
      </c>
      <c r="P623" s="4" t="str">
        <f t="array" ref="P623">XLOOKUP(L623,'Dados Funil'!A:A,'Dados Funil'!AM:AM,"")</f>
        <v/>
      </c>
      <c r="Q623" s="9" t="str">
        <f t="array" ref="Q623">XLOOKUP(L623,'Dados Funil'!A:A,'Dados Funil'!AN:AN,"")</f>
        <v/>
      </c>
      <c r="T623" s="7" t="str">
        <f t="shared" si="4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5"/>
        <v/>
      </c>
      <c r="AA623" s="4" t="str">
        <f t="shared" si="13"/>
        <v/>
      </c>
      <c r="AB623" s="4" t="str">
        <f t="array" ref="AB623">XLOOKUP(X623,'Dados Funil'!A:A,'Dados Funil'!O:O,"")</f>
        <v/>
      </c>
      <c r="AE623" s="7" t="str">
        <f t="shared" si="6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9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G624" s="4"/>
      <c r="H624" s="4"/>
      <c r="I624" s="7" t="str">
        <f t="shared" si="2"/>
        <v/>
      </c>
      <c r="J624" s="4" t="str">
        <f t="shared" si="10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1"/>
        <v/>
      </c>
      <c r="P624" s="4" t="str">
        <f t="array" ref="P624">XLOOKUP(L624,'Dados Funil'!A:A,'Dados Funil'!AM:AM,"")</f>
        <v/>
      </c>
      <c r="Q624" s="9" t="str">
        <f t="array" ref="Q624">XLOOKUP(L624,'Dados Funil'!A:A,'Dados Funil'!AN:AN,"")</f>
        <v/>
      </c>
      <c r="T624" s="7" t="str">
        <f t="shared" si="4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5"/>
        <v/>
      </c>
      <c r="AA624" s="4" t="str">
        <f t="shared" si="13"/>
        <v/>
      </c>
      <c r="AB624" s="4" t="str">
        <f t="array" ref="AB624">XLOOKUP(X624,'Dados Funil'!A:A,'Dados Funil'!O:O,"")</f>
        <v/>
      </c>
      <c r="AE624" s="7" t="str">
        <f t="shared" si="6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9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G625" s="4"/>
      <c r="H625" s="4"/>
      <c r="I625" s="7" t="str">
        <f t="shared" si="2"/>
        <v/>
      </c>
      <c r="J625" s="4" t="str">
        <f t="shared" si="10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1"/>
        <v/>
      </c>
      <c r="P625" s="4" t="str">
        <f t="array" ref="P625">XLOOKUP(L625,'Dados Funil'!A:A,'Dados Funil'!AM:AM,"")</f>
        <v/>
      </c>
      <c r="Q625" s="9" t="str">
        <f t="array" ref="Q625">XLOOKUP(L625,'Dados Funil'!A:A,'Dados Funil'!AN:AN,"")</f>
        <v/>
      </c>
      <c r="T625" s="7" t="str">
        <f t="shared" si="4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5"/>
        <v/>
      </c>
      <c r="AA625" s="4" t="str">
        <f t="shared" si="13"/>
        <v/>
      </c>
      <c r="AB625" s="4" t="str">
        <f t="array" ref="AB625">XLOOKUP(X625,'Dados Funil'!A:A,'Dados Funil'!O:O,"")</f>
        <v/>
      </c>
      <c r="AE625" s="7" t="str">
        <f t="shared" si="6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9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G626" s="4"/>
      <c r="H626" s="4"/>
      <c r="I626" s="7" t="str">
        <f t="shared" si="2"/>
        <v/>
      </c>
      <c r="J626" s="4" t="str">
        <f t="shared" si="10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1"/>
        <v/>
      </c>
      <c r="P626" s="4" t="str">
        <f t="array" ref="P626">XLOOKUP(L626,'Dados Funil'!A:A,'Dados Funil'!AM:AM,"")</f>
        <v/>
      </c>
      <c r="Q626" s="9" t="str">
        <f t="array" ref="Q626">XLOOKUP(L626,'Dados Funil'!A:A,'Dados Funil'!AN:AN,"")</f>
        <v/>
      </c>
      <c r="T626" s="7" t="str">
        <f t="shared" si="4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5"/>
        <v/>
      </c>
      <c r="AA626" s="4" t="str">
        <f t="shared" si="13"/>
        <v/>
      </c>
      <c r="AB626" s="4" t="str">
        <f t="array" ref="AB626">XLOOKUP(X626,'Dados Funil'!A:A,'Dados Funil'!O:O,"")</f>
        <v/>
      </c>
      <c r="AE626" s="7" t="str">
        <f t="shared" si="6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9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G627" s="4"/>
      <c r="H627" s="4"/>
      <c r="I627" s="7" t="str">
        <f t="shared" si="2"/>
        <v/>
      </c>
      <c r="J627" s="4" t="str">
        <f t="shared" si="10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1"/>
        <v/>
      </c>
      <c r="P627" s="4" t="str">
        <f t="array" ref="P627">XLOOKUP(L627,'Dados Funil'!A:A,'Dados Funil'!AM:AM,"")</f>
        <v/>
      </c>
      <c r="Q627" s="9" t="str">
        <f t="array" ref="Q627">XLOOKUP(L627,'Dados Funil'!A:A,'Dados Funil'!AN:AN,"")</f>
        <v/>
      </c>
      <c r="T627" s="7" t="str">
        <f t="shared" si="4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5"/>
        <v/>
      </c>
      <c r="AA627" s="4" t="str">
        <f t="shared" si="13"/>
        <v/>
      </c>
      <c r="AB627" s="4" t="str">
        <f t="array" ref="AB627">XLOOKUP(X627,'Dados Funil'!A:A,'Dados Funil'!O:O,"")</f>
        <v/>
      </c>
      <c r="AE627" s="7" t="str">
        <f t="shared" si="6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9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G628" s="4"/>
      <c r="H628" s="4"/>
      <c r="I628" s="7" t="str">
        <f t="shared" si="2"/>
        <v/>
      </c>
      <c r="J628" s="4" t="str">
        <f t="shared" si="10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1"/>
        <v/>
      </c>
      <c r="P628" s="4" t="str">
        <f t="array" ref="P628">XLOOKUP(L628,'Dados Funil'!A:A,'Dados Funil'!AM:AM,"")</f>
        <v/>
      </c>
      <c r="Q628" s="9" t="str">
        <f t="array" ref="Q628">XLOOKUP(L628,'Dados Funil'!A:A,'Dados Funil'!AN:AN,"")</f>
        <v/>
      </c>
      <c r="T628" s="7" t="str">
        <f t="shared" si="4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5"/>
        <v/>
      </c>
      <c r="AA628" s="4" t="str">
        <f t="shared" si="13"/>
        <v/>
      </c>
      <c r="AB628" s="4" t="str">
        <f t="array" ref="AB628">XLOOKUP(X628,'Dados Funil'!A:A,'Dados Funil'!O:O,"")</f>
        <v/>
      </c>
      <c r="AE628" s="7" t="str">
        <f t="shared" si="6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9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G629" s="4"/>
      <c r="H629" s="4"/>
      <c r="I629" s="7" t="str">
        <f t="shared" si="2"/>
        <v/>
      </c>
      <c r="J629" s="4" t="str">
        <f t="shared" si="10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1"/>
        <v/>
      </c>
      <c r="P629" s="4" t="str">
        <f t="array" ref="P629">XLOOKUP(L629,'Dados Funil'!A:A,'Dados Funil'!AM:AM,"")</f>
        <v/>
      </c>
      <c r="Q629" s="9" t="str">
        <f t="array" ref="Q629">XLOOKUP(L629,'Dados Funil'!A:A,'Dados Funil'!AN:AN,"")</f>
        <v/>
      </c>
      <c r="T629" s="7" t="str">
        <f t="shared" si="4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5"/>
        <v/>
      </c>
      <c r="AA629" s="4" t="str">
        <f t="shared" si="13"/>
        <v/>
      </c>
      <c r="AB629" s="4" t="str">
        <f t="array" ref="AB629">XLOOKUP(X629,'Dados Funil'!A:A,'Dados Funil'!O:O,"")</f>
        <v/>
      </c>
      <c r="AE629" s="7" t="str">
        <f t="shared" si="6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9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G630" s="4"/>
      <c r="H630" s="4"/>
      <c r="I630" s="7" t="str">
        <f t="shared" si="2"/>
        <v/>
      </c>
      <c r="J630" s="4" t="str">
        <f t="shared" si="10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1"/>
        <v/>
      </c>
      <c r="P630" s="4" t="str">
        <f t="array" ref="P630">XLOOKUP(L630,'Dados Funil'!A:A,'Dados Funil'!AM:AM,"")</f>
        <v/>
      </c>
      <c r="Q630" s="9" t="str">
        <f t="array" ref="Q630">XLOOKUP(L630,'Dados Funil'!A:A,'Dados Funil'!AN:AN,"")</f>
        <v/>
      </c>
      <c r="T630" s="7" t="str">
        <f t="shared" si="4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5"/>
        <v/>
      </c>
      <c r="AA630" s="4" t="str">
        <f t="shared" si="13"/>
        <v/>
      </c>
      <c r="AB630" s="4" t="str">
        <f t="array" ref="AB630">XLOOKUP(X630,'Dados Funil'!A:A,'Dados Funil'!O:O,"")</f>
        <v/>
      </c>
      <c r="AE630" s="7" t="str">
        <f t="shared" si="6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9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G631" s="4"/>
      <c r="H631" s="4"/>
      <c r="I631" s="7" t="str">
        <f t="shared" si="2"/>
        <v/>
      </c>
      <c r="J631" s="4" t="str">
        <f t="shared" si="10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1"/>
        <v/>
      </c>
      <c r="P631" s="4" t="str">
        <f t="array" ref="P631">XLOOKUP(L631,'Dados Funil'!A:A,'Dados Funil'!AM:AM,"")</f>
        <v/>
      </c>
      <c r="Q631" s="9" t="str">
        <f t="array" ref="Q631">XLOOKUP(L631,'Dados Funil'!A:A,'Dados Funil'!AN:AN,"")</f>
        <v/>
      </c>
      <c r="T631" s="7" t="str">
        <f t="shared" si="4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5"/>
        <v/>
      </c>
      <c r="AA631" s="4" t="str">
        <f t="shared" si="13"/>
        <v/>
      </c>
      <c r="AB631" s="4" t="str">
        <f t="array" ref="AB631">XLOOKUP(X631,'Dados Funil'!A:A,'Dados Funil'!O:O,"")</f>
        <v/>
      </c>
      <c r="AE631" s="7" t="str">
        <f t="shared" si="6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9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G632" s="4"/>
      <c r="H632" s="4"/>
      <c r="I632" s="7" t="str">
        <f t="shared" si="2"/>
        <v/>
      </c>
      <c r="J632" s="4" t="str">
        <f t="shared" si="10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1"/>
        <v/>
      </c>
      <c r="P632" s="4" t="str">
        <f t="array" ref="P632">XLOOKUP(L632,'Dados Funil'!A:A,'Dados Funil'!AM:AM,"")</f>
        <v/>
      </c>
      <c r="Q632" s="9" t="str">
        <f t="array" ref="Q632">XLOOKUP(L632,'Dados Funil'!A:A,'Dados Funil'!AN:AN,"")</f>
        <v/>
      </c>
      <c r="T632" s="7" t="str">
        <f t="shared" si="4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5"/>
        <v/>
      </c>
      <c r="AA632" s="4" t="str">
        <f t="shared" si="13"/>
        <v/>
      </c>
      <c r="AB632" s="4" t="str">
        <f t="array" ref="AB632">XLOOKUP(X632,'Dados Funil'!A:A,'Dados Funil'!O:O,"")</f>
        <v/>
      </c>
      <c r="AE632" s="7" t="str">
        <f t="shared" si="6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9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G633" s="4"/>
      <c r="H633" s="4"/>
      <c r="I633" s="7" t="str">
        <f t="shared" si="2"/>
        <v/>
      </c>
      <c r="J633" s="4" t="str">
        <f t="shared" si="10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1"/>
        <v/>
      </c>
      <c r="P633" s="4" t="str">
        <f t="array" ref="P633">XLOOKUP(L633,'Dados Funil'!A:A,'Dados Funil'!AM:AM,"")</f>
        <v/>
      </c>
      <c r="Q633" s="9" t="str">
        <f t="array" ref="Q633">XLOOKUP(L633,'Dados Funil'!A:A,'Dados Funil'!AN:AN,"")</f>
        <v/>
      </c>
      <c r="T633" s="7" t="str">
        <f t="shared" si="4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5"/>
        <v/>
      </c>
      <c r="AA633" s="4" t="str">
        <f t="shared" si="13"/>
        <v/>
      </c>
      <c r="AB633" s="4" t="str">
        <f t="array" ref="AB633">XLOOKUP(X633,'Dados Funil'!A:A,'Dados Funil'!O:O,"")</f>
        <v/>
      </c>
      <c r="AE633" s="7" t="str">
        <f t="shared" si="6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9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G634" s="4"/>
      <c r="H634" s="4"/>
      <c r="I634" s="7" t="str">
        <f t="shared" si="2"/>
        <v/>
      </c>
      <c r="J634" s="4" t="str">
        <f t="shared" si="10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1"/>
        <v/>
      </c>
      <c r="P634" s="4" t="str">
        <f t="array" ref="P634">XLOOKUP(L634,'Dados Funil'!A:A,'Dados Funil'!AM:AM,"")</f>
        <v/>
      </c>
      <c r="Q634" s="9" t="str">
        <f t="array" ref="Q634">XLOOKUP(L634,'Dados Funil'!A:A,'Dados Funil'!AN:AN,"")</f>
        <v/>
      </c>
      <c r="T634" s="7" t="str">
        <f t="shared" si="4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5"/>
        <v/>
      </c>
      <c r="AA634" s="4" t="str">
        <f t="shared" si="13"/>
        <v/>
      </c>
      <c r="AB634" s="4" t="str">
        <f t="array" ref="AB634">XLOOKUP(X634,'Dados Funil'!A:A,'Dados Funil'!O:O,"")</f>
        <v/>
      </c>
      <c r="AE634" s="7" t="str">
        <f t="shared" si="6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9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G635" s="4"/>
      <c r="H635" s="4"/>
      <c r="I635" s="7" t="str">
        <f t="shared" si="2"/>
        <v/>
      </c>
      <c r="J635" s="4" t="str">
        <f t="shared" si="10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1"/>
        <v/>
      </c>
      <c r="P635" s="4" t="str">
        <f t="array" ref="P635">XLOOKUP(L635,'Dados Funil'!A:A,'Dados Funil'!AM:AM,"")</f>
        <v/>
      </c>
      <c r="Q635" s="9" t="str">
        <f t="array" ref="Q635">XLOOKUP(L635,'Dados Funil'!A:A,'Dados Funil'!AN:AN,"")</f>
        <v/>
      </c>
      <c r="T635" s="7" t="str">
        <f t="shared" si="4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5"/>
        <v/>
      </c>
      <c r="AA635" s="4" t="str">
        <f t="shared" si="13"/>
        <v/>
      </c>
      <c r="AB635" s="4" t="str">
        <f t="array" ref="AB635">XLOOKUP(X635,'Dados Funil'!A:A,'Dados Funil'!O:O,"")</f>
        <v/>
      </c>
      <c r="AE635" s="7" t="str">
        <f t="shared" si="6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9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G636" s="4"/>
      <c r="H636" s="4"/>
      <c r="I636" s="7" t="str">
        <f t="shared" si="2"/>
        <v/>
      </c>
      <c r="J636" s="4" t="str">
        <f t="shared" si="10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1"/>
        <v/>
      </c>
      <c r="P636" s="4" t="str">
        <f t="array" ref="P636">XLOOKUP(L636,'Dados Funil'!A:A,'Dados Funil'!AM:AM,"")</f>
        <v/>
      </c>
      <c r="Q636" s="9" t="str">
        <f t="array" ref="Q636">XLOOKUP(L636,'Dados Funil'!A:A,'Dados Funil'!AN:AN,"")</f>
        <v/>
      </c>
      <c r="T636" s="7" t="str">
        <f t="shared" si="4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5"/>
        <v/>
      </c>
      <c r="AA636" s="4" t="str">
        <f t="shared" si="13"/>
        <v/>
      </c>
      <c r="AB636" s="4" t="str">
        <f t="array" ref="AB636">XLOOKUP(X636,'Dados Funil'!A:A,'Dados Funil'!O:O,"")</f>
        <v/>
      </c>
      <c r="AE636" s="7" t="str">
        <f t="shared" si="6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9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G637" s="4"/>
      <c r="H637" s="4"/>
      <c r="I637" s="7" t="str">
        <f t="shared" si="2"/>
        <v/>
      </c>
      <c r="J637" s="4" t="str">
        <f t="shared" si="10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1"/>
        <v/>
      </c>
      <c r="P637" s="4" t="str">
        <f t="array" ref="P637">XLOOKUP(L637,'Dados Funil'!A:A,'Dados Funil'!AM:AM,"")</f>
        <v/>
      </c>
      <c r="Q637" s="9" t="str">
        <f t="array" ref="Q637">XLOOKUP(L637,'Dados Funil'!A:A,'Dados Funil'!AN:AN,"")</f>
        <v/>
      </c>
      <c r="T637" s="7" t="str">
        <f t="shared" si="4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5"/>
        <v/>
      </c>
      <c r="AA637" s="4" t="str">
        <f t="shared" si="13"/>
        <v/>
      </c>
      <c r="AB637" s="4" t="str">
        <f t="array" ref="AB637">XLOOKUP(X637,'Dados Funil'!A:A,'Dados Funil'!O:O,"")</f>
        <v/>
      </c>
      <c r="AE637" s="7" t="str">
        <f t="shared" si="6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9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G638" s="4"/>
      <c r="H638" s="4"/>
      <c r="I638" s="7" t="str">
        <f t="shared" si="2"/>
        <v/>
      </c>
      <c r="J638" s="4" t="str">
        <f t="shared" si="10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1"/>
        <v/>
      </c>
      <c r="P638" s="4" t="str">
        <f t="array" ref="P638">XLOOKUP(L638,'Dados Funil'!A:A,'Dados Funil'!AM:AM,"")</f>
        <v/>
      </c>
      <c r="Q638" s="9" t="str">
        <f t="array" ref="Q638">XLOOKUP(L638,'Dados Funil'!A:A,'Dados Funil'!AN:AN,"")</f>
        <v/>
      </c>
      <c r="T638" s="7" t="str">
        <f t="shared" si="4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5"/>
        <v/>
      </c>
      <c r="AA638" s="4" t="str">
        <f t="shared" si="13"/>
        <v/>
      </c>
      <c r="AB638" s="4" t="str">
        <f t="array" ref="AB638">XLOOKUP(X638,'Dados Funil'!A:A,'Dados Funil'!O:O,"")</f>
        <v/>
      </c>
      <c r="AE638" s="7" t="str">
        <f t="shared" si="6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9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G639" s="4"/>
      <c r="H639" s="4"/>
      <c r="I639" s="7" t="str">
        <f t="shared" si="2"/>
        <v/>
      </c>
      <c r="J639" s="4" t="str">
        <f t="shared" si="10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1"/>
        <v/>
      </c>
      <c r="P639" s="4" t="str">
        <f t="array" ref="P639">XLOOKUP(L639,'Dados Funil'!A:A,'Dados Funil'!AM:AM,"")</f>
        <v/>
      </c>
      <c r="Q639" s="9" t="str">
        <f t="array" ref="Q639">XLOOKUP(L639,'Dados Funil'!A:A,'Dados Funil'!AN:AN,"")</f>
        <v/>
      </c>
      <c r="T639" s="7" t="str">
        <f t="shared" si="4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5"/>
        <v/>
      </c>
      <c r="AA639" s="4" t="str">
        <f t="shared" si="13"/>
        <v/>
      </c>
      <c r="AB639" s="4" t="str">
        <f t="array" ref="AB639">XLOOKUP(X639,'Dados Funil'!A:A,'Dados Funil'!O:O,"")</f>
        <v/>
      </c>
      <c r="AE639" s="7" t="str">
        <f t="shared" si="6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9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G640" s="4"/>
      <c r="H640" s="4"/>
      <c r="I640" s="7" t="str">
        <f t="shared" si="2"/>
        <v/>
      </c>
      <c r="J640" s="4" t="str">
        <f t="shared" si="10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1"/>
        <v/>
      </c>
      <c r="P640" s="4" t="str">
        <f t="array" ref="P640">XLOOKUP(L640,'Dados Funil'!A:A,'Dados Funil'!AM:AM,"")</f>
        <v/>
      </c>
      <c r="Q640" s="9" t="str">
        <f t="array" ref="Q640">XLOOKUP(L640,'Dados Funil'!A:A,'Dados Funil'!AN:AN,"")</f>
        <v/>
      </c>
      <c r="T640" s="7" t="str">
        <f t="shared" si="4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5"/>
        <v/>
      </c>
      <c r="AA640" s="4" t="str">
        <f t="shared" si="13"/>
        <v/>
      </c>
      <c r="AB640" s="4" t="str">
        <f t="array" ref="AB640">XLOOKUP(X640,'Dados Funil'!A:A,'Dados Funil'!O:O,"")</f>
        <v/>
      </c>
      <c r="AE640" s="7" t="str">
        <f t="shared" si="6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9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G641" s="4"/>
      <c r="H641" s="4"/>
      <c r="I641" s="7" t="str">
        <f t="shared" si="2"/>
        <v/>
      </c>
      <c r="J641" s="4" t="str">
        <f t="shared" si="10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1"/>
        <v/>
      </c>
      <c r="P641" s="4" t="str">
        <f t="array" ref="P641">XLOOKUP(L641,'Dados Funil'!A:A,'Dados Funil'!AM:AM,"")</f>
        <v/>
      </c>
      <c r="Q641" s="9" t="str">
        <f t="array" ref="Q641">XLOOKUP(L641,'Dados Funil'!A:A,'Dados Funil'!AN:AN,"")</f>
        <v/>
      </c>
      <c r="T641" s="7" t="str">
        <f t="shared" si="4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5"/>
        <v/>
      </c>
      <c r="AA641" s="4" t="str">
        <f t="shared" si="13"/>
        <v/>
      </c>
      <c r="AB641" s="4" t="str">
        <f t="array" ref="AB641">XLOOKUP(X641,'Dados Funil'!A:A,'Dados Funil'!O:O,"")</f>
        <v/>
      </c>
      <c r="AE641" s="7" t="str">
        <f t="shared" si="6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9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G642" s="4"/>
      <c r="H642" s="4"/>
      <c r="I642" s="7" t="str">
        <f t="shared" si="2"/>
        <v/>
      </c>
      <c r="J642" s="4" t="str">
        <f t="shared" si="10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1"/>
        <v/>
      </c>
      <c r="P642" s="4" t="str">
        <f t="array" ref="P642">XLOOKUP(L642,'Dados Funil'!A:A,'Dados Funil'!AM:AM,"")</f>
        <v/>
      </c>
      <c r="Q642" s="9" t="str">
        <f t="array" ref="Q642">XLOOKUP(L642,'Dados Funil'!A:A,'Dados Funil'!AN:AN,"")</f>
        <v/>
      </c>
      <c r="T642" s="7" t="str">
        <f t="shared" si="4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5"/>
        <v/>
      </c>
      <c r="AA642" s="4" t="str">
        <f t="shared" si="13"/>
        <v/>
      </c>
      <c r="AB642" s="4" t="str">
        <f t="array" ref="AB642">XLOOKUP(X642,'Dados Funil'!A:A,'Dados Funil'!O:O,"")</f>
        <v/>
      </c>
      <c r="AE642" s="7" t="str">
        <f t="shared" si="6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9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G643" s="4"/>
      <c r="H643" s="4"/>
      <c r="I643" s="7" t="str">
        <f t="shared" si="2"/>
        <v/>
      </c>
      <c r="J643" s="4" t="str">
        <f t="shared" si="10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1"/>
        <v/>
      </c>
      <c r="P643" s="4" t="str">
        <f t="array" ref="P643">XLOOKUP(L643,'Dados Funil'!A:A,'Dados Funil'!AM:AM,"")</f>
        <v/>
      </c>
      <c r="Q643" s="9" t="str">
        <f t="array" ref="Q643">XLOOKUP(L643,'Dados Funil'!A:A,'Dados Funil'!AN:AN,"")</f>
        <v/>
      </c>
      <c r="T643" s="7" t="str">
        <f t="shared" si="4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5"/>
        <v/>
      </c>
      <c r="AA643" s="4" t="str">
        <f t="shared" si="13"/>
        <v/>
      </c>
      <c r="AB643" s="4" t="str">
        <f t="array" ref="AB643">XLOOKUP(X643,'Dados Funil'!A:A,'Dados Funil'!O:O,"")</f>
        <v/>
      </c>
      <c r="AE643" s="7" t="str">
        <f t="shared" si="6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9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G644" s="4"/>
      <c r="H644" s="4"/>
      <c r="I644" s="7" t="str">
        <f t="shared" si="2"/>
        <v/>
      </c>
      <c r="J644" s="4" t="str">
        <f t="shared" si="10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1"/>
        <v/>
      </c>
      <c r="P644" s="4" t="str">
        <f t="array" ref="P644">XLOOKUP(L644,'Dados Funil'!A:A,'Dados Funil'!AM:AM,"")</f>
        <v/>
      </c>
      <c r="Q644" s="9" t="str">
        <f t="array" ref="Q644">XLOOKUP(L644,'Dados Funil'!A:A,'Dados Funil'!AN:AN,"")</f>
        <v/>
      </c>
      <c r="T644" s="7" t="str">
        <f t="shared" si="4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5"/>
        <v/>
      </c>
      <c r="AA644" s="4" t="str">
        <f t="shared" si="13"/>
        <v/>
      </c>
      <c r="AB644" s="4" t="str">
        <f t="array" ref="AB644">XLOOKUP(X644,'Dados Funil'!A:A,'Dados Funil'!O:O,"")</f>
        <v/>
      </c>
      <c r="AE644" s="7" t="str">
        <f t="shared" si="6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9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G645" s="4"/>
      <c r="H645" s="4"/>
      <c r="I645" s="7" t="str">
        <f t="shared" si="2"/>
        <v/>
      </c>
      <c r="J645" s="4" t="str">
        <f t="shared" si="10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1"/>
        <v/>
      </c>
      <c r="P645" s="4" t="str">
        <f t="array" ref="P645">XLOOKUP(L645,'Dados Funil'!A:A,'Dados Funil'!AM:AM,"")</f>
        <v/>
      </c>
      <c r="Q645" s="9" t="str">
        <f t="array" ref="Q645">XLOOKUP(L645,'Dados Funil'!A:A,'Dados Funil'!AN:AN,"")</f>
        <v/>
      </c>
      <c r="T645" s="7" t="str">
        <f t="shared" si="4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5"/>
        <v/>
      </c>
      <c r="AA645" s="4" t="str">
        <f t="shared" si="13"/>
        <v/>
      </c>
      <c r="AB645" s="4" t="str">
        <f t="array" ref="AB645">XLOOKUP(X645,'Dados Funil'!A:A,'Dados Funil'!O:O,"")</f>
        <v/>
      </c>
      <c r="AE645" s="7" t="str">
        <f t="shared" si="6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9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G646" s="4"/>
      <c r="H646" s="4"/>
      <c r="I646" s="7" t="str">
        <f t="shared" si="2"/>
        <v/>
      </c>
      <c r="J646" s="4" t="str">
        <f t="shared" si="10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1"/>
        <v/>
      </c>
      <c r="P646" s="4" t="str">
        <f t="array" ref="P646">XLOOKUP(L646,'Dados Funil'!A:A,'Dados Funil'!AM:AM,"")</f>
        <v/>
      </c>
      <c r="Q646" s="9" t="str">
        <f t="array" ref="Q646">XLOOKUP(L646,'Dados Funil'!A:A,'Dados Funil'!AN:AN,"")</f>
        <v/>
      </c>
      <c r="T646" s="7" t="str">
        <f t="shared" si="4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5"/>
        <v/>
      </c>
      <c r="AA646" s="4" t="str">
        <f t="shared" si="13"/>
        <v/>
      </c>
      <c r="AB646" s="4" t="str">
        <f t="array" ref="AB646">XLOOKUP(X646,'Dados Funil'!A:A,'Dados Funil'!O:O,"")</f>
        <v/>
      </c>
      <c r="AE646" s="7" t="str">
        <f t="shared" si="6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9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G647" s="4"/>
      <c r="H647" s="4"/>
      <c r="I647" s="7" t="str">
        <f t="shared" si="2"/>
        <v/>
      </c>
      <c r="J647" s="4" t="str">
        <f t="shared" si="10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1"/>
        <v/>
      </c>
      <c r="P647" s="4" t="str">
        <f t="array" ref="P647">XLOOKUP(L647,'Dados Funil'!A:A,'Dados Funil'!AM:AM,"")</f>
        <v/>
      </c>
      <c r="Q647" s="9" t="str">
        <f t="array" ref="Q647">XLOOKUP(L647,'Dados Funil'!A:A,'Dados Funil'!AN:AN,"")</f>
        <v/>
      </c>
      <c r="T647" s="7" t="str">
        <f t="shared" si="4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5"/>
        <v/>
      </c>
      <c r="AA647" s="4" t="str">
        <f t="shared" si="13"/>
        <v/>
      </c>
      <c r="AB647" s="4" t="str">
        <f t="array" ref="AB647">XLOOKUP(X647,'Dados Funil'!A:A,'Dados Funil'!O:O,"")</f>
        <v/>
      </c>
      <c r="AE647" s="7" t="str">
        <f t="shared" si="6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9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G648" s="4"/>
      <c r="H648" s="4"/>
      <c r="I648" s="7" t="str">
        <f t="shared" si="2"/>
        <v/>
      </c>
      <c r="J648" s="4" t="str">
        <f t="shared" si="10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1"/>
        <v/>
      </c>
      <c r="P648" s="4" t="str">
        <f t="array" ref="P648">XLOOKUP(L648,'Dados Funil'!A:A,'Dados Funil'!AM:AM,"")</f>
        <v/>
      </c>
      <c r="Q648" s="9" t="str">
        <f t="array" ref="Q648">XLOOKUP(L648,'Dados Funil'!A:A,'Dados Funil'!AN:AN,"")</f>
        <v/>
      </c>
      <c r="T648" s="7" t="str">
        <f t="shared" si="4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5"/>
        <v/>
      </c>
      <c r="AA648" s="4" t="str">
        <f t="shared" si="13"/>
        <v/>
      </c>
      <c r="AB648" s="4" t="str">
        <f t="array" ref="AB648">XLOOKUP(X648,'Dados Funil'!A:A,'Dados Funil'!O:O,"")</f>
        <v/>
      </c>
      <c r="AE648" s="7" t="str">
        <f t="shared" si="6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9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G649" s="4"/>
      <c r="H649" s="4"/>
      <c r="I649" s="7" t="str">
        <f t="shared" si="2"/>
        <v/>
      </c>
      <c r="J649" s="4" t="str">
        <f t="shared" si="10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1"/>
        <v/>
      </c>
      <c r="P649" s="4" t="str">
        <f t="array" ref="P649">XLOOKUP(L649,'Dados Funil'!A:A,'Dados Funil'!AM:AM,"")</f>
        <v/>
      </c>
      <c r="Q649" s="9" t="str">
        <f t="array" ref="Q649">XLOOKUP(L649,'Dados Funil'!A:A,'Dados Funil'!AN:AN,"")</f>
        <v/>
      </c>
      <c r="T649" s="7" t="str">
        <f t="shared" si="4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5"/>
        <v/>
      </c>
      <c r="AA649" s="4" t="str">
        <f t="shared" si="13"/>
        <v/>
      </c>
      <c r="AB649" s="4" t="str">
        <f t="array" ref="AB649">XLOOKUP(X649,'Dados Funil'!A:A,'Dados Funil'!O:O,"")</f>
        <v/>
      </c>
      <c r="AE649" s="7" t="str">
        <f t="shared" si="6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9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G650" s="4"/>
      <c r="H650" s="4"/>
      <c r="I650" s="7" t="str">
        <f t="shared" si="2"/>
        <v/>
      </c>
      <c r="J650" s="4" t="str">
        <f t="shared" si="10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1"/>
        <v/>
      </c>
      <c r="P650" s="4" t="str">
        <f t="array" ref="P650">XLOOKUP(L650,'Dados Funil'!A:A,'Dados Funil'!AM:AM,"")</f>
        <v/>
      </c>
      <c r="Q650" s="9" t="str">
        <f t="array" ref="Q650">XLOOKUP(L650,'Dados Funil'!A:A,'Dados Funil'!AN:AN,"")</f>
        <v/>
      </c>
      <c r="T650" s="7" t="str">
        <f t="shared" si="4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5"/>
        <v/>
      </c>
      <c r="AA650" s="4" t="str">
        <f t="shared" si="13"/>
        <v/>
      </c>
      <c r="AB650" s="4" t="str">
        <f t="array" ref="AB650">XLOOKUP(X650,'Dados Funil'!A:A,'Dados Funil'!O:O,"")</f>
        <v/>
      </c>
      <c r="AE650" s="7" t="str">
        <f t="shared" si="6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9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G651" s="4"/>
      <c r="H651" s="4"/>
      <c r="I651" s="7" t="str">
        <f t="shared" si="2"/>
        <v/>
      </c>
      <c r="J651" s="4" t="str">
        <f t="shared" si="10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1"/>
        <v/>
      </c>
      <c r="P651" s="4" t="str">
        <f t="array" ref="P651">XLOOKUP(L651,'Dados Funil'!A:A,'Dados Funil'!AM:AM,"")</f>
        <v/>
      </c>
      <c r="Q651" s="9" t="str">
        <f t="array" ref="Q651">XLOOKUP(L651,'Dados Funil'!A:A,'Dados Funil'!AN:AN,"")</f>
        <v/>
      </c>
      <c r="T651" s="7" t="str">
        <f t="shared" si="4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5"/>
        <v/>
      </c>
      <c r="AA651" s="4" t="str">
        <f t="shared" si="13"/>
        <v/>
      </c>
      <c r="AB651" s="4" t="str">
        <f t="array" ref="AB651">XLOOKUP(X651,'Dados Funil'!A:A,'Dados Funil'!O:O,"")</f>
        <v/>
      </c>
      <c r="AE651" s="7" t="str">
        <f t="shared" si="6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9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G652" s="4"/>
      <c r="H652" s="4"/>
      <c r="I652" s="7" t="str">
        <f t="shared" si="2"/>
        <v/>
      </c>
      <c r="J652" s="4" t="str">
        <f t="shared" si="10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1"/>
        <v/>
      </c>
      <c r="P652" s="4" t="str">
        <f t="array" ref="P652">XLOOKUP(L652,'Dados Funil'!A:A,'Dados Funil'!AM:AM,"")</f>
        <v/>
      </c>
      <c r="Q652" s="9" t="str">
        <f t="array" ref="Q652">XLOOKUP(L652,'Dados Funil'!A:A,'Dados Funil'!AN:AN,"")</f>
        <v/>
      </c>
      <c r="T652" s="7" t="str">
        <f t="shared" si="4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5"/>
        <v/>
      </c>
      <c r="AA652" s="4" t="str">
        <f t="shared" si="13"/>
        <v/>
      </c>
      <c r="AB652" s="4" t="str">
        <f t="array" ref="AB652">XLOOKUP(X652,'Dados Funil'!A:A,'Dados Funil'!O:O,"")</f>
        <v/>
      </c>
      <c r="AE652" s="7" t="str">
        <f t="shared" si="6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9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G653" s="4"/>
      <c r="H653" s="4"/>
      <c r="I653" s="7" t="str">
        <f t="shared" si="2"/>
        <v/>
      </c>
      <c r="J653" s="4" t="str">
        <f t="shared" si="10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1"/>
        <v/>
      </c>
      <c r="P653" s="4" t="str">
        <f t="array" ref="P653">XLOOKUP(L653,'Dados Funil'!A:A,'Dados Funil'!AM:AM,"")</f>
        <v/>
      </c>
      <c r="Q653" s="9" t="str">
        <f t="array" ref="Q653">XLOOKUP(L653,'Dados Funil'!A:A,'Dados Funil'!AN:AN,"")</f>
        <v/>
      </c>
      <c r="T653" s="7" t="str">
        <f t="shared" si="4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5"/>
        <v/>
      </c>
      <c r="AA653" s="4" t="str">
        <f t="shared" si="13"/>
        <v/>
      </c>
      <c r="AB653" s="4" t="str">
        <f t="array" ref="AB653">XLOOKUP(X653,'Dados Funil'!A:A,'Dados Funil'!O:O,"")</f>
        <v/>
      </c>
      <c r="AE653" s="7" t="str">
        <f t="shared" si="6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9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G654" s="4"/>
      <c r="H654" s="4"/>
      <c r="I654" s="7" t="str">
        <f t="shared" si="2"/>
        <v/>
      </c>
      <c r="J654" s="4" t="str">
        <f t="shared" si="10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1"/>
        <v/>
      </c>
      <c r="P654" s="4" t="str">
        <f t="array" ref="P654">XLOOKUP(L654,'Dados Funil'!A:A,'Dados Funil'!AM:AM,"")</f>
        <v/>
      </c>
      <c r="Q654" s="9" t="str">
        <f t="array" ref="Q654">XLOOKUP(L654,'Dados Funil'!A:A,'Dados Funil'!AN:AN,"")</f>
        <v/>
      </c>
      <c r="T654" s="7" t="str">
        <f t="shared" si="4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5"/>
        <v/>
      </c>
      <c r="AA654" s="4" t="str">
        <f t="shared" si="13"/>
        <v/>
      </c>
      <c r="AB654" s="4" t="str">
        <f t="array" ref="AB654">XLOOKUP(X654,'Dados Funil'!A:A,'Dados Funil'!O:O,"")</f>
        <v/>
      </c>
      <c r="AE654" s="7" t="str">
        <f t="shared" si="6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9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G655" s="4"/>
      <c r="H655" s="4"/>
      <c r="I655" s="7" t="str">
        <f t="shared" si="2"/>
        <v/>
      </c>
      <c r="J655" s="4" t="str">
        <f t="shared" si="10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1"/>
        <v/>
      </c>
      <c r="P655" s="4" t="str">
        <f t="array" ref="P655">XLOOKUP(L655,'Dados Funil'!A:A,'Dados Funil'!AM:AM,"")</f>
        <v/>
      </c>
      <c r="Q655" s="9" t="str">
        <f t="array" ref="Q655">XLOOKUP(L655,'Dados Funil'!A:A,'Dados Funil'!AN:AN,"")</f>
        <v/>
      </c>
      <c r="T655" s="7" t="str">
        <f t="shared" si="4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5"/>
        <v/>
      </c>
      <c r="AA655" s="4" t="str">
        <f t="shared" si="13"/>
        <v/>
      </c>
      <c r="AB655" s="4" t="str">
        <f t="array" ref="AB655">XLOOKUP(X655,'Dados Funil'!A:A,'Dados Funil'!O:O,"")</f>
        <v/>
      </c>
      <c r="AE655" s="7" t="str">
        <f t="shared" si="6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9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G656" s="4"/>
      <c r="H656" s="4"/>
      <c r="I656" s="7" t="str">
        <f t="shared" si="2"/>
        <v/>
      </c>
      <c r="J656" s="4" t="str">
        <f t="shared" si="10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1"/>
        <v/>
      </c>
      <c r="P656" s="4" t="str">
        <f t="array" ref="P656">XLOOKUP(L656,'Dados Funil'!A:A,'Dados Funil'!AM:AM,"")</f>
        <v/>
      </c>
      <c r="Q656" s="9" t="str">
        <f t="array" ref="Q656">XLOOKUP(L656,'Dados Funil'!A:A,'Dados Funil'!AN:AN,"")</f>
        <v/>
      </c>
      <c r="T656" s="7" t="str">
        <f t="shared" si="4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5"/>
        <v/>
      </c>
      <c r="AA656" s="4" t="str">
        <f t="shared" si="13"/>
        <v/>
      </c>
      <c r="AB656" s="4" t="str">
        <f t="array" ref="AB656">XLOOKUP(X656,'Dados Funil'!A:A,'Dados Funil'!O:O,"")</f>
        <v/>
      </c>
      <c r="AE656" s="7" t="str">
        <f t="shared" si="6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9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G657" s="4"/>
      <c r="H657" s="4"/>
      <c r="I657" s="7" t="str">
        <f t="shared" si="2"/>
        <v/>
      </c>
      <c r="J657" s="4" t="str">
        <f t="shared" si="10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1"/>
        <v/>
      </c>
      <c r="P657" s="4" t="str">
        <f t="array" ref="P657">XLOOKUP(L657,'Dados Funil'!A:A,'Dados Funil'!AM:AM,"")</f>
        <v/>
      </c>
      <c r="Q657" s="9" t="str">
        <f t="array" ref="Q657">XLOOKUP(L657,'Dados Funil'!A:A,'Dados Funil'!AN:AN,"")</f>
        <v/>
      </c>
      <c r="T657" s="7" t="str">
        <f t="shared" si="4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5"/>
        <v/>
      </c>
      <c r="AA657" s="4" t="str">
        <f t="shared" si="13"/>
        <v/>
      </c>
      <c r="AB657" s="4" t="str">
        <f t="array" ref="AB657">XLOOKUP(X657,'Dados Funil'!A:A,'Dados Funil'!O:O,"")</f>
        <v/>
      </c>
      <c r="AE657" s="7" t="str">
        <f t="shared" si="6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9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G658" s="4"/>
      <c r="H658" s="4"/>
      <c r="I658" s="7" t="str">
        <f t="shared" si="2"/>
        <v/>
      </c>
      <c r="J658" s="4" t="str">
        <f t="shared" si="10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1"/>
        <v/>
      </c>
      <c r="P658" s="4" t="str">
        <f t="array" ref="P658">XLOOKUP(L658,'Dados Funil'!A:A,'Dados Funil'!AM:AM,"")</f>
        <v/>
      </c>
      <c r="Q658" s="9" t="str">
        <f t="array" ref="Q658">XLOOKUP(L658,'Dados Funil'!A:A,'Dados Funil'!AN:AN,"")</f>
        <v/>
      </c>
      <c r="T658" s="7" t="str">
        <f t="shared" si="4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5"/>
        <v/>
      </c>
      <c r="AA658" s="4" t="str">
        <f t="shared" si="13"/>
        <v/>
      </c>
      <c r="AB658" s="4" t="str">
        <f t="array" ref="AB658">XLOOKUP(X658,'Dados Funil'!A:A,'Dados Funil'!O:O,"")</f>
        <v/>
      </c>
      <c r="AE658" s="7" t="str">
        <f t="shared" si="6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9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G659" s="4"/>
      <c r="H659" s="4"/>
      <c r="I659" s="7" t="str">
        <f t="shared" si="2"/>
        <v/>
      </c>
      <c r="J659" s="4" t="str">
        <f t="shared" si="10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1"/>
        <v/>
      </c>
      <c r="P659" s="4" t="str">
        <f t="array" ref="P659">XLOOKUP(L659,'Dados Funil'!A:A,'Dados Funil'!AM:AM,"")</f>
        <v/>
      </c>
      <c r="Q659" s="9" t="str">
        <f t="array" ref="Q659">XLOOKUP(L659,'Dados Funil'!A:A,'Dados Funil'!AN:AN,"")</f>
        <v/>
      </c>
      <c r="T659" s="7" t="str">
        <f t="shared" si="4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5"/>
        <v/>
      </c>
      <c r="AA659" s="4" t="str">
        <f t="shared" si="13"/>
        <v/>
      </c>
      <c r="AB659" s="4" t="str">
        <f t="array" ref="AB659">XLOOKUP(X659,'Dados Funil'!A:A,'Dados Funil'!O:O,"")</f>
        <v/>
      </c>
      <c r="AE659" s="7" t="str">
        <f t="shared" si="6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9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G660" s="4"/>
      <c r="H660" s="4"/>
      <c r="I660" s="7" t="str">
        <f t="shared" si="2"/>
        <v/>
      </c>
      <c r="J660" s="4" t="str">
        <f t="shared" si="10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1"/>
        <v/>
      </c>
      <c r="P660" s="4" t="str">
        <f t="array" ref="P660">XLOOKUP(L660,'Dados Funil'!A:A,'Dados Funil'!AM:AM,"")</f>
        <v/>
      </c>
      <c r="Q660" s="9" t="str">
        <f t="array" ref="Q660">XLOOKUP(L660,'Dados Funil'!A:A,'Dados Funil'!AN:AN,"")</f>
        <v/>
      </c>
      <c r="T660" s="7" t="str">
        <f t="shared" si="4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5"/>
        <v/>
      </c>
      <c r="AA660" s="4" t="str">
        <f t="shared" si="13"/>
        <v/>
      </c>
      <c r="AB660" s="4" t="str">
        <f t="array" ref="AB660">XLOOKUP(X660,'Dados Funil'!A:A,'Dados Funil'!O:O,"")</f>
        <v/>
      </c>
      <c r="AE660" s="7" t="str">
        <f t="shared" si="6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9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G661" s="4"/>
      <c r="H661" s="4"/>
      <c r="I661" s="7" t="str">
        <f t="shared" si="2"/>
        <v/>
      </c>
      <c r="J661" s="4" t="str">
        <f t="shared" si="10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1"/>
        <v/>
      </c>
      <c r="P661" s="4" t="str">
        <f t="array" ref="P661">XLOOKUP(L661,'Dados Funil'!A:A,'Dados Funil'!AM:AM,"")</f>
        <v/>
      </c>
      <c r="Q661" s="9" t="str">
        <f t="array" ref="Q661">XLOOKUP(L661,'Dados Funil'!A:A,'Dados Funil'!AN:AN,"")</f>
        <v/>
      </c>
      <c r="T661" s="7" t="str">
        <f t="shared" si="4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5"/>
        <v/>
      </c>
      <c r="AA661" s="4" t="str">
        <f t="shared" si="13"/>
        <v/>
      </c>
      <c r="AB661" s="4" t="str">
        <f t="array" ref="AB661">XLOOKUP(X661,'Dados Funil'!A:A,'Dados Funil'!O:O,"")</f>
        <v/>
      </c>
      <c r="AE661" s="7" t="str">
        <f t="shared" si="6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9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G662" s="4"/>
      <c r="H662" s="4"/>
      <c r="I662" s="7" t="str">
        <f t="shared" si="2"/>
        <v/>
      </c>
      <c r="J662" s="4" t="str">
        <f t="shared" si="10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1"/>
        <v/>
      </c>
      <c r="P662" s="4" t="str">
        <f t="array" ref="P662">XLOOKUP(L662,'Dados Funil'!A:A,'Dados Funil'!AM:AM,"")</f>
        <v/>
      </c>
      <c r="Q662" s="9" t="str">
        <f t="array" ref="Q662">XLOOKUP(L662,'Dados Funil'!A:A,'Dados Funil'!AN:AN,"")</f>
        <v/>
      </c>
      <c r="T662" s="7" t="str">
        <f t="shared" si="4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5"/>
        <v/>
      </c>
      <c r="AA662" s="4" t="str">
        <f t="shared" si="13"/>
        <v/>
      </c>
      <c r="AB662" s="4" t="str">
        <f t="array" ref="AB662">XLOOKUP(X662,'Dados Funil'!A:A,'Dados Funil'!O:O,"")</f>
        <v/>
      </c>
      <c r="AE662" s="7" t="str">
        <f t="shared" si="6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9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G663" s="4"/>
      <c r="H663" s="4"/>
      <c r="I663" s="7" t="str">
        <f t="shared" si="2"/>
        <v/>
      </c>
      <c r="J663" s="4" t="str">
        <f t="shared" si="10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1"/>
        <v/>
      </c>
      <c r="P663" s="4" t="str">
        <f t="array" ref="P663">XLOOKUP(L663,'Dados Funil'!A:A,'Dados Funil'!AM:AM,"")</f>
        <v/>
      </c>
      <c r="Q663" s="9" t="str">
        <f t="array" ref="Q663">XLOOKUP(L663,'Dados Funil'!A:A,'Dados Funil'!AN:AN,"")</f>
        <v/>
      </c>
      <c r="T663" s="7" t="str">
        <f t="shared" si="4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5"/>
        <v/>
      </c>
      <c r="AA663" s="4" t="str">
        <f t="shared" si="13"/>
        <v/>
      </c>
      <c r="AB663" s="4" t="str">
        <f t="array" ref="AB663">XLOOKUP(X663,'Dados Funil'!A:A,'Dados Funil'!O:O,"")</f>
        <v/>
      </c>
      <c r="AE663" s="7" t="str">
        <f t="shared" si="6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9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G664" s="4"/>
      <c r="H664" s="4"/>
      <c r="I664" s="7" t="str">
        <f t="shared" si="2"/>
        <v/>
      </c>
      <c r="J664" s="4" t="str">
        <f t="shared" si="10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1"/>
        <v/>
      </c>
      <c r="P664" s="4" t="str">
        <f t="array" ref="P664">XLOOKUP(L664,'Dados Funil'!A:A,'Dados Funil'!AM:AM,"")</f>
        <v/>
      </c>
      <c r="Q664" s="9" t="str">
        <f t="array" ref="Q664">XLOOKUP(L664,'Dados Funil'!A:A,'Dados Funil'!AN:AN,"")</f>
        <v/>
      </c>
      <c r="T664" s="7" t="str">
        <f t="shared" si="4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5"/>
        <v/>
      </c>
      <c r="AA664" s="4" t="str">
        <f t="shared" si="13"/>
        <v/>
      </c>
      <c r="AB664" s="4" t="str">
        <f t="array" ref="AB664">XLOOKUP(X664,'Dados Funil'!A:A,'Dados Funil'!O:O,"")</f>
        <v/>
      </c>
      <c r="AE664" s="7" t="str">
        <f t="shared" si="6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9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G665" s="4"/>
      <c r="H665" s="4"/>
      <c r="I665" s="7" t="str">
        <f t="shared" si="2"/>
        <v/>
      </c>
      <c r="J665" s="4" t="str">
        <f t="shared" si="10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1"/>
        <v/>
      </c>
      <c r="P665" s="4" t="str">
        <f t="array" ref="P665">XLOOKUP(L665,'Dados Funil'!A:A,'Dados Funil'!AM:AM,"")</f>
        <v/>
      </c>
      <c r="Q665" s="9" t="str">
        <f t="array" ref="Q665">XLOOKUP(L665,'Dados Funil'!A:A,'Dados Funil'!AN:AN,"")</f>
        <v/>
      </c>
      <c r="T665" s="7" t="str">
        <f t="shared" si="4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5"/>
        <v/>
      </c>
      <c r="AA665" s="4" t="str">
        <f t="shared" si="13"/>
        <v/>
      </c>
      <c r="AB665" s="4" t="str">
        <f t="array" ref="AB665">XLOOKUP(X665,'Dados Funil'!A:A,'Dados Funil'!O:O,"")</f>
        <v/>
      </c>
      <c r="AE665" s="7" t="str">
        <f t="shared" si="6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9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G666" s="4"/>
      <c r="H666" s="4"/>
      <c r="I666" s="7" t="str">
        <f t="shared" si="2"/>
        <v/>
      </c>
      <c r="J666" s="4" t="str">
        <f t="shared" si="10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1"/>
        <v/>
      </c>
      <c r="P666" s="4" t="str">
        <f t="array" ref="P666">XLOOKUP(L666,'Dados Funil'!A:A,'Dados Funil'!AM:AM,"")</f>
        <v/>
      </c>
      <c r="Q666" s="9" t="str">
        <f t="array" ref="Q666">XLOOKUP(L666,'Dados Funil'!A:A,'Dados Funil'!AN:AN,"")</f>
        <v/>
      </c>
      <c r="T666" s="7" t="str">
        <f t="shared" si="4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5"/>
        <v/>
      </c>
      <c r="AA666" s="4" t="str">
        <f t="shared" si="13"/>
        <v/>
      </c>
      <c r="AB666" s="4" t="str">
        <f t="array" ref="AB666">XLOOKUP(X666,'Dados Funil'!A:A,'Dados Funil'!O:O,"")</f>
        <v/>
      </c>
      <c r="AE666" s="7" t="str">
        <f t="shared" si="6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9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G667" s="4"/>
      <c r="H667" s="4"/>
      <c r="I667" s="7" t="str">
        <f t="shared" si="2"/>
        <v/>
      </c>
      <c r="J667" s="4" t="str">
        <f t="shared" si="10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1"/>
        <v/>
      </c>
      <c r="P667" s="4" t="str">
        <f t="array" ref="P667">XLOOKUP(L667,'Dados Funil'!A:A,'Dados Funil'!AM:AM,"")</f>
        <v/>
      </c>
      <c r="Q667" s="9" t="str">
        <f t="array" ref="Q667">XLOOKUP(L667,'Dados Funil'!A:A,'Dados Funil'!AN:AN,"")</f>
        <v/>
      </c>
      <c r="T667" s="7" t="str">
        <f t="shared" si="4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5"/>
        <v/>
      </c>
      <c r="AA667" s="4" t="str">
        <f t="shared" si="13"/>
        <v/>
      </c>
      <c r="AB667" s="4" t="str">
        <f t="array" ref="AB667">XLOOKUP(X667,'Dados Funil'!A:A,'Dados Funil'!O:O,"")</f>
        <v/>
      </c>
      <c r="AE667" s="7" t="str">
        <f t="shared" si="6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9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G668" s="4"/>
      <c r="H668" s="4"/>
      <c r="I668" s="7" t="str">
        <f t="shared" si="2"/>
        <v/>
      </c>
      <c r="J668" s="4" t="str">
        <f t="shared" si="10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1"/>
        <v/>
      </c>
      <c r="P668" s="4" t="str">
        <f t="array" ref="P668">XLOOKUP(L668,'Dados Funil'!A:A,'Dados Funil'!AM:AM,"")</f>
        <v/>
      </c>
      <c r="Q668" s="9" t="str">
        <f t="array" ref="Q668">XLOOKUP(L668,'Dados Funil'!A:A,'Dados Funil'!AN:AN,"")</f>
        <v/>
      </c>
      <c r="T668" s="7" t="str">
        <f t="shared" si="4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5"/>
        <v/>
      </c>
      <c r="AA668" s="4" t="str">
        <f t="shared" si="13"/>
        <v/>
      </c>
      <c r="AB668" s="4" t="str">
        <f t="array" ref="AB668">XLOOKUP(X668,'Dados Funil'!A:A,'Dados Funil'!O:O,"")</f>
        <v/>
      </c>
      <c r="AE668" s="7" t="str">
        <f t="shared" si="6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9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G669" s="4"/>
      <c r="H669" s="4"/>
      <c r="I669" s="7" t="str">
        <f t="shared" si="2"/>
        <v/>
      </c>
      <c r="J669" s="4" t="str">
        <f t="shared" si="10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1"/>
        <v/>
      </c>
      <c r="P669" s="4" t="str">
        <f t="array" ref="P669">XLOOKUP(L669,'Dados Funil'!A:A,'Dados Funil'!AM:AM,"")</f>
        <v/>
      </c>
      <c r="Q669" s="9" t="str">
        <f t="array" ref="Q669">XLOOKUP(L669,'Dados Funil'!A:A,'Dados Funil'!AN:AN,"")</f>
        <v/>
      </c>
      <c r="T669" s="7" t="str">
        <f t="shared" si="4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5"/>
        <v/>
      </c>
      <c r="AA669" s="4" t="str">
        <f t="shared" si="13"/>
        <v/>
      </c>
      <c r="AB669" s="4" t="str">
        <f t="array" ref="AB669">XLOOKUP(X669,'Dados Funil'!A:A,'Dados Funil'!O:O,"")</f>
        <v/>
      </c>
      <c r="AE669" s="7" t="str">
        <f t="shared" si="6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9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G670" s="4"/>
      <c r="H670" s="4"/>
      <c r="I670" s="7" t="str">
        <f t="shared" si="2"/>
        <v/>
      </c>
      <c r="J670" s="4" t="str">
        <f t="shared" si="10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1"/>
        <v/>
      </c>
      <c r="P670" s="4" t="str">
        <f t="array" ref="P670">XLOOKUP(L670,'Dados Funil'!A:A,'Dados Funil'!AM:AM,"")</f>
        <v/>
      </c>
      <c r="Q670" s="9" t="str">
        <f t="array" ref="Q670">XLOOKUP(L670,'Dados Funil'!A:A,'Dados Funil'!AN:AN,"")</f>
        <v/>
      </c>
      <c r="T670" s="7" t="str">
        <f t="shared" si="4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5"/>
        <v/>
      </c>
      <c r="AA670" s="4" t="str">
        <f t="shared" si="13"/>
        <v/>
      </c>
      <c r="AB670" s="4" t="str">
        <f t="array" ref="AB670">XLOOKUP(X670,'Dados Funil'!A:A,'Dados Funil'!O:O,"")</f>
        <v/>
      </c>
      <c r="AE670" s="7" t="str">
        <f t="shared" si="6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9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G671" s="4"/>
      <c r="H671" s="4"/>
      <c r="I671" s="7" t="str">
        <f t="shared" si="2"/>
        <v/>
      </c>
      <c r="J671" s="4" t="str">
        <f t="shared" si="10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1"/>
        <v/>
      </c>
      <c r="P671" s="4" t="str">
        <f t="array" ref="P671">XLOOKUP(L671,'Dados Funil'!A:A,'Dados Funil'!AM:AM,"")</f>
        <v/>
      </c>
      <c r="Q671" s="9" t="str">
        <f t="array" ref="Q671">XLOOKUP(L671,'Dados Funil'!A:A,'Dados Funil'!AN:AN,"")</f>
        <v/>
      </c>
      <c r="T671" s="7" t="str">
        <f t="shared" si="4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5"/>
        <v/>
      </c>
      <c r="AA671" s="4" t="str">
        <f t="shared" si="13"/>
        <v/>
      </c>
      <c r="AB671" s="4" t="str">
        <f t="array" ref="AB671">XLOOKUP(X671,'Dados Funil'!A:A,'Dados Funil'!O:O,"")</f>
        <v/>
      </c>
      <c r="AE671" s="7" t="str">
        <f t="shared" si="6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9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G672" s="4"/>
      <c r="H672" s="4"/>
      <c r="I672" s="7" t="str">
        <f t="shared" si="2"/>
        <v/>
      </c>
      <c r="J672" s="4" t="str">
        <f t="shared" si="10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1"/>
        <v/>
      </c>
      <c r="P672" s="4" t="str">
        <f t="array" ref="P672">XLOOKUP(L672,'Dados Funil'!A:A,'Dados Funil'!AM:AM,"")</f>
        <v/>
      </c>
      <c r="Q672" s="9" t="str">
        <f t="array" ref="Q672">XLOOKUP(L672,'Dados Funil'!A:A,'Dados Funil'!AN:AN,"")</f>
        <v/>
      </c>
      <c r="T672" s="7" t="str">
        <f t="shared" si="4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5"/>
        <v/>
      </c>
      <c r="AA672" s="4" t="str">
        <f t="shared" si="13"/>
        <v/>
      </c>
      <c r="AB672" s="4" t="str">
        <f t="array" ref="AB672">XLOOKUP(X672,'Dados Funil'!A:A,'Dados Funil'!O:O,"")</f>
        <v/>
      </c>
      <c r="AE672" s="7" t="str">
        <f t="shared" si="6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9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G673" s="4"/>
      <c r="H673" s="4"/>
      <c r="I673" s="7" t="str">
        <f t="shared" si="2"/>
        <v/>
      </c>
      <c r="J673" s="4" t="str">
        <f t="shared" si="10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1"/>
        <v/>
      </c>
      <c r="P673" s="4" t="str">
        <f t="array" ref="P673">XLOOKUP(L673,'Dados Funil'!A:A,'Dados Funil'!AM:AM,"")</f>
        <v/>
      </c>
      <c r="Q673" s="9" t="str">
        <f t="array" ref="Q673">XLOOKUP(L673,'Dados Funil'!A:A,'Dados Funil'!AN:AN,"")</f>
        <v/>
      </c>
      <c r="T673" s="7" t="str">
        <f t="shared" si="4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5"/>
        <v/>
      </c>
      <c r="AA673" s="4" t="str">
        <f t="shared" si="13"/>
        <v/>
      </c>
      <c r="AB673" s="4" t="str">
        <f t="array" ref="AB673">XLOOKUP(X673,'Dados Funil'!A:A,'Dados Funil'!O:O,"")</f>
        <v/>
      </c>
      <c r="AE673" s="7" t="str">
        <f t="shared" si="6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9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G674" s="4"/>
      <c r="H674" s="4"/>
      <c r="I674" s="7" t="str">
        <f t="shared" si="2"/>
        <v/>
      </c>
      <c r="J674" s="4" t="str">
        <f t="shared" si="10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1"/>
        <v/>
      </c>
      <c r="P674" s="4" t="str">
        <f t="array" ref="P674">XLOOKUP(L674,'Dados Funil'!A:A,'Dados Funil'!AM:AM,"")</f>
        <v/>
      </c>
      <c r="Q674" s="9" t="str">
        <f t="array" ref="Q674">XLOOKUP(L674,'Dados Funil'!A:A,'Dados Funil'!AN:AN,"")</f>
        <v/>
      </c>
      <c r="T674" s="7" t="str">
        <f t="shared" si="4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5"/>
        <v/>
      </c>
      <c r="AA674" s="4" t="str">
        <f t="shared" si="13"/>
        <v/>
      </c>
      <c r="AB674" s="4" t="str">
        <f t="array" ref="AB674">XLOOKUP(X674,'Dados Funil'!A:A,'Dados Funil'!O:O,"")</f>
        <v/>
      </c>
      <c r="AE674" s="7" t="str">
        <f t="shared" si="6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9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G675" s="4"/>
      <c r="H675" s="4"/>
      <c r="I675" s="7" t="str">
        <f t="shared" si="2"/>
        <v/>
      </c>
      <c r="J675" s="4" t="str">
        <f t="shared" si="10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1"/>
        <v/>
      </c>
      <c r="P675" s="4" t="str">
        <f t="array" ref="P675">XLOOKUP(L675,'Dados Funil'!A:A,'Dados Funil'!AM:AM,"")</f>
        <v/>
      </c>
      <c r="Q675" s="9" t="str">
        <f t="array" ref="Q675">XLOOKUP(L675,'Dados Funil'!A:A,'Dados Funil'!AN:AN,"")</f>
        <v/>
      </c>
      <c r="T675" s="7" t="str">
        <f t="shared" si="4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5"/>
        <v/>
      </c>
      <c r="AA675" s="4" t="str">
        <f t="shared" si="13"/>
        <v/>
      </c>
      <c r="AB675" s="4" t="str">
        <f t="array" ref="AB675">XLOOKUP(X675,'Dados Funil'!A:A,'Dados Funil'!O:O,"")</f>
        <v/>
      </c>
      <c r="AE675" s="7" t="str">
        <f t="shared" si="6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9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G676" s="4"/>
      <c r="H676" s="4"/>
      <c r="I676" s="7" t="str">
        <f t="shared" si="2"/>
        <v/>
      </c>
      <c r="J676" s="4" t="str">
        <f t="shared" si="10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1"/>
        <v/>
      </c>
      <c r="P676" s="4" t="str">
        <f t="array" ref="P676">XLOOKUP(L676,'Dados Funil'!A:A,'Dados Funil'!AM:AM,"")</f>
        <v/>
      </c>
      <c r="Q676" s="9" t="str">
        <f t="array" ref="Q676">XLOOKUP(L676,'Dados Funil'!A:A,'Dados Funil'!AN:AN,"")</f>
        <v/>
      </c>
      <c r="T676" s="7" t="str">
        <f t="shared" si="4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5"/>
        <v/>
      </c>
      <c r="AA676" s="4" t="str">
        <f t="shared" si="13"/>
        <v/>
      </c>
      <c r="AB676" s="4" t="str">
        <f t="array" ref="AB676">XLOOKUP(X676,'Dados Funil'!A:A,'Dados Funil'!O:O,"")</f>
        <v/>
      </c>
      <c r="AE676" s="7" t="str">
        <f t="shared" si="6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9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G677" s="4"/>
      <c r="H677" s="4"/>
      <c r="I677" s="7" t="str">
        <f t="shared" si="2"/>
        <v/>
      </c>
      <c r="J677" s="4" t="str">
        <f t="shared" si="10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1"/>
        <v/>
      </c>
      <c r="P677" s="4" t="str">
        <f t="array" ref="P677">XLOOKUP(L677,'Dados Funil'!A:A,'Dados Funil'!AM:AM,"")</f>
        <v/>
      </c>
      <c r="Q677" s="9" t="str">
        <f t="array" ref="Q677">XLOOKUP(L677,'Dados Funil'!A:A,'Dados Funil'!AN:AN,"")</f>
        <v/>
      </c>
      <c r="T677" s="7" t="str">
        <f t="shared" si="4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5"/>
        <v/>
      </c>
      <c r="AA677" s="4" t="str">
        <f t="shared" si="13"/>
        <v/>
      </c>
      <c r="AB677" s="4" t="str">
        <f t="array" ref="AB677">XLOOKUP(X677,'Dados Funil'!A:A,'Dados Funil'!O:O,"")</f>
        <v/>
      </c>
      <c r="AE677" s="7" t="str">
        <f t="shared" si="6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9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G678" s="4"/>
      <c r="H678" s="4"/>
      <c r="I678" s="7" t="str">
        <f t="shared" si="2"/>
        <v/>
      </c>
      <c r="J678" s="4" t="str">
        <f t="shared" si="10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1"/>
        <v/>
      </c>
      <c r="P678" s="4" t="str">
        <f t="array" ref="P678">XLOOKUP(L678,'Dados Funil'!A:A,'Dados Funil'!AM:AM,"")</f>
        <v/>
      </c>
      <c r="Q678" s="9" t="str">
        <f t="array" ref="Q678">XLOOKUP(L678,'Dados Funil'!A:A,'Dados Funil'!AN:AN,"")</f>
        <v/>
      </c>
      <c r="T678" s="7" t="str">
        <f t="shared" si="4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5"/>
        <v/>
      </c>
      <c r="AA678" s="4" t="str">
        <f t="shared" si="13"/>
        <v/>
      </c>
      <c r="AB678" s="4" t="str">
        <f t="array" ref="AB678">XLOOKUP(X678,'Dados Funil'!A:A,'Dados Funil'!O:O,"")</f>
        <v/>
      </c>
      <c r="AE678" s="7" t="str">
        <f t="shared" si="6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9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G679" s="4"/>
      <c r="H679" s="4"/>
      <c r="I679" s="7" t="str">
        <f t="shared" si="2"/>
        <v/>
      </c>
      <c r="J679" s="4" t="str">
        <f t="shared" si="10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1"/>
        <v/>
      </c>
      <c r="P679" s="4" t="str">
        <f t="array" ref="P679">XLOOKUP(L679,'Dados Funil'!A:A,'Dados Funil'!AM:AM,"")</f>
        <v/>
      </c>
      <c r="Q679" s="9" t="str">
        <f t="array" ref="Q679">XLOOKUP(L679,'Dados Funil'!A:A,'Dados Funil'!AN:AN,"")</f>
        <v/>
      </c>
      <c r="T679" s="7" t="str">
        <f t="shared" si="4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5"/>
        <v/>
      </c>
      <c r="AA679" s="4" t="str">
        <f t="shared" si="13"/>
        <v/>
      </c>
      <c r="AB679" s="4" t="str">
        <f t="array" ref="AB679">XLOOKUP(X679,'Dados Funil'!A:A,'Dados Funil'!O:O,"")</f>
        <v/>
      </c>
      <c r="AE679" s="7" t="str">
        <f t="shared" si="6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9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G680" s="4"/>
      <c r="H680" s="4"/>
      <c r="I680" s="7" t="str">
        <f t="shared" si="2"/>
        <v/>
      </c>
      <c r="J680" s="4" t="str">
        <f t="shared" si="10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1"/>
        <v/>
      </c>
      <c r="P680" s="4" t="str">
        <f t="array" ref="P680">XLOOKUP(L680,'Dados Funil'!A:A,'Dados Funil'!AM:AM,"")</f>
        <v/>
      </c>
      <c r="Q680" s="9" t="str">
        <f t="array" ref="Q680">XLOOKUP(L680,'Dados Funil'!A:A,'Dados Funil'!AN:AN,"")</f>
        <v/>
      </c>
      <c r="T680" s="7" t="str">
        <f t="shared" si="4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5"/>
        <v/>
      </c>
      <c r="AA680" s="4" t="str">
        <f t="shared" si="13"/>
        <v/>
      </c>
      <c r="AB680" s="4" t="str">
        <f t="array" ref="AB680">XLOOKUP(X680,'Dados Funil'!A:A,'Dados Funil'!O:O,"")</f>
        <v/>
      </c>
      <c r="AE680" s="7" t="str">
        <f t="shared" si="6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9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G681" s="4"/>
      <c r="H681" s="4"/>
      <c r="I681" s="7" t="str">
        <f t="shared" si="2"/>
        <v/>
      </c>
      <c r="J681" s="4" t="str">
        <f t="shared" si="10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1"/>
        <v/>
      </c>
      <c r="P681" s="4" t="str">
        <f t="array" ref="P681">XLOOKUP(L681,'Dados Funil'!A:A,'Dados Funil'!AM:AM,"")</f>
        <v/>
      </c>
      <c r="Q681" s="9" t="str">
        <f t="array" ref="Q681">XLOOKUP(L681,'Dados Funil'!A:A,'Dados Funil'!AN:AN,"")</f>
        <v/>
      </c>
      <c r="T681" s="7" t="str">
        <f t="shared" si="4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5"/>
        <v/>
      </c>
      <c r="AA681" s="4" t="str">
        <f t="shared" si="13"/>
        <v/>
      </c>
      <c r="AB681" s="4" t="str">
        <f t="array" ref="AB681">XLOOKUP(X681,'Dados Funil'!A:A,'Dados Funil'!O:O,"")</f>
        <v/>
      </c>
      <c r="AE681" s="7" t="str">
        <f t="shared" si="6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9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G682" s="4"/>
      <c r="H682" s="4"/>
      <c r="I682" s="7" t="str">
        <f t="shared" si="2"/>
        <v/>
      </c>
      <c r="J682" s="4" t="str">
        <f t="shared" si="10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1"/>
        <v/>
      </c>
      <c r="P682" s="4" t="str">
        <f t="array" ref="P682">XLOOKUP(L682,'Dados Funil'!A:A,'Dados Funil'!AM:AM,"")</f>
        <v/>
      </c>
      <c r="Q682" s="9" t="str">
        <f t="array" ref="Q682">XLOOKUP(L682,'Dados Funil'!A:A,'Dados Funil'!AN:AN,"")</f>
        <v/>
      </c>
      <c r="T682" s="7" t="str">
        <f t="shared" si="4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5"/>
        <v/>
      </c>
      <c r="AA682" s="4" t="str">
        <f t="shared" si="13"/>
        <v/>
      </c>
      <c r="AB682" s="4" t="str">
        <f t="array" ref="AB682">XLOOKUP(X682,'Dados Funil'!A:A,'Dados Funil'!O:O,"")</f>
        <v/>
      </c>
      <c r="AE682" s="7" t="str">
        <f t="shared" si="6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9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G683" s="4"/>
      <c r="H683" s="4"/>
      <c r="I683" s="7" t="str">
        <f t="shared" si="2"/>
        <v/>
      </c>
      <c r="J683" s="4" t="str">
        <f t="shared" si="10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1"/>
        <v/>
      </c>
      <c r="P683" s="4" t="str">
        <f t="array" ref="P683">XLOOKUP(L683,'Dados Funil'!A:A,'Dados Funil'!AM:AM,"")</f>
        <v/>
      </c>
      <c r="Q683" s="9" t="str">
        <f t="array" ref="Q683">XLOOKUP(L683,'Dados Funil'!A:A,'Dados Funil'!AN:AN,"")</f>
        <v/>
      </c>
      <c r="T683" s="7" t="str">
        <f t="shared" si="4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5"/>
        <v/>
      </c>
      <c r="AA683" s="4" t="str">
        <f t="shared" si="13"/>
        <v/>
      </c>
      <c r="AB683" s="4" t="str">
        <f t="array" ref="AB683">XLOOKUP(X683,'Dados Funil'!A:A,'Dados Funil'!O:O,"")</f>
        <v/>
      </c>
      <c r="AE683" s="7" t="str">
        <f t="shared" si="6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9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G684" s="4"/>
      <c r="H684" s="4"/>
      <c r="I684" s="7" t="str">
        <f t="shared" si="2"/>
        <v/>
      </c>
      <c r="J684" s="4" t="str">
        <f t="shared" si="10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1"/>
        <v/>
      </c>
      <c r="P684" s="4" t="str">
        <f t="array" ref="P684">XLOOKUP(L684,'Dados Funil'!A:A,'Dados Funil'!AM:AM,"")</f>
        <v/>
      </c>
      <c r="Q684" s="9" t="str">
        <f t="array" ref="Q684">XLOOKUP(L684,'Dados Funil'!A:A,'Dados Funil'!AN:AN,"")</f>
        <v/>
      </c>
      <c r="T684" s="7" t="str">
        <f t="shared" si="4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5"/>
        <v/>
      </c>
      <c r="AA684" s="4" t="str">
        <f t="shared" si="13"/>
        <v/>
      </c>
      <c r="AB684" s="4" t="str">
        <f t="array" ref="AB684">XLOOKUP(X684,'Dados Funil'!A:A,'Dados Funil'!O:O,"")</f>
        <v/>
      </c>
      <c r="AE684" s="7" t="str">
        <f t="shared" si="6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9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G685" s="4"/>
      <c r="H685" s="4"/>
      <c r="I685" s="7" t="str">
        <f t="shared" si="2"/>
        <v/>
      </c>
      <c r="J685" s="4" t="str">
        <f t="shared" si="10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1"/>
        <v/>
      </c>
      <c r="P685" s="4" t="str">
        <f t="array" ref="P685">XLOOKUP(L685,'Dados Funil'!A:A,'Dados Funil'!AM:AM,"")</f>
        <v/>
      </c>
      <c r="Q685" s="9" t="str">
        <f t="array" ref="Q685">XLOOKUP(L685,'Dados Funil'!A:A,'Dados Funil'!AN:AN,"")</f>
        <v/>
      </c>
      <c r="T685" s="7" t="str">
        <f t="shared" si="4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5"/>
        <v/>
      </c>
      <c r="AA685" s="4" t="str">
        <f t="shared" si="13"/>
        <v/>
      </c>
      <c r="AB685" s="4" t="str">
        <f t="array" ref="AB685">XLOOKUP(X685,'Dados Funil'!A:A,'Dados Funil'!O:O,"")</f>
        <v/>
      </c>
      <c r="AE685" s="7" t="str">
        <f t="shared" si="6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9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G686" s="4"/>
      <c r="H686" s="4"/>
      <c r="I686" s="7" t="str">
        <f t="shared" si="2"/>
        <v/>
      </c>
      <c r="J686" s="4" t="str">
        <f t="shared" si="10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1"/>
        <v/>
      </c>
      <c r="P686" s="4" t="str">
        <f t="array" ref="P686">XLOOKUP(L686,'Dados Funil'!A:A,'Dados Funil'!AM:AM,"")</f>
        <v/>
      </c>
      <c r="Q686" s="9" t="str">
        <f t="array" ref="Q686">XLOOKUP(L686,'Dados Funil'!A:A,'Dados Funil'!AN:AN,"")</f>
        <v/>
      </c>
      <c r="T686" s="7" t="str">
        <f t="shared" si="4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5"/>
        <v/>
      </c>
      <c r="AA686" s="4" t="str">
        <f t="shared" si="13"/>
        <v/>
      </c>
      <c r="AB686" s="4" t="str">
        <f t="array" ref="AB686">XLOOKUP(X686,'Dados Funil'!A:A,'Dados Funil'!O:O,"")</f>
        <v/>
      </c>
      <c r="AE686" s="7" t="str">
        <f t="shared" si="6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9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G687" s="4"/>
      <c r="H687" s="4"/>
      <c r="I687" s="7" t="str">
        <f t="shared" si="2"/>
        <v/>
      </c>
      <c r="J687" s="4" t="str">
        <f t="shared" si="10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1"/>
        <v/>
      </c>
      <c r="P687" s="4" t="str">
        <f t="array" ref="P687">XLOOKUP(L687,'Dados Funil'!A:A,'Dados Funil'!AM:AM,"")</f>
        <v/>
      </c>
      <c r="Q687" s="9" t="str">
        <f t="array" ref="Q687">XLOOKUP(L687,'Dados Funil'!A:A,'Dados Funil'!AN:AN,"")</f>
        <v/>
      </c>
      <c r="T687" s="7" t="str">
        <f t="shared" si="4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5"/>
        <v/>
      </c>
      <c r="AA687" s="4" t="str">
        <f t="shared" si="13"/>
        <v/>
      </c>
      <c r="AB687" s="4" t="str">
        <f t="array" ref="AB687">XLOOKUP(X687,'Dados Funil'!A:A,'Dados Funil'!O:O,"")</f>
        <v/>
      </c>
      <c r="AE687" s="7" t="str">
        <f t="shared" si="6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9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G688" s="4"/>
      <c r="H688" s="4"/>
      <c r="I688" s="7" t="str">
        <f t="shared" si="2"/>
        <v/>
      </c>
      <c r="J688" s="4" t="str">
        <f t="shared" si="10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1"/>
        <v/>
      </c>
      <c r="P688" s="4" t="str">
        <f t="array" ref="P688">XLOOKUP(L688,'Dados Funil'!A:A,'Dados Funil'!AM:AM,"")</f>
        <v/>
      </c>
      <c r="Q688" s="9" t="str">
        <f t="array" ref="Q688">XLOOKUP(L688,'Dados Funil'!A:A,'Dados Funil'!AN:AN,"")</f>
        <v/>
      </c>
      <c r="T688" s="7" t="str">
        <f t="shared" si="4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5"/>
        <v/>
      </c>
      <c r="AA688" s="4" t="str">
        <f t="shared" si="13"/>
        <v/>
      </c>
      <c r="AB688" s="4" t="str">
        <f t="array" ref="AB688">XLOOKUP(X688,'Dados Funil'!A:A,'Dados Funil'!O:O,"")</f>
        <v/>
      </c>
      <c r="AE688" s="7" t="str">
        <f t="shared" si="6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9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G689" s="4"/>
      <c r="H689" s="4"/>
      <c r="I689" s="7" t="str">
        <f t="shared" si="2"/>
        <v/>
      </c>
      <c r="J689" s="4" t="str">
        <f t="shared" si="10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1"/>
        <v/>
      </c>
      <c r="P689" s="4" t="str">
        <f t="array" ref="P689">XLOOKUP(L689,'Dados Funil'!A:A,'Dados Funil'!AM:AM,"")</f>
        <v/>
      </c>
      <c r="Q689" s="9" t="str">
        <f t="array" ref="Q689">XLOOKUP(L689,'Dados Funil'!A:A,'Dados Funil'!AN:AN,"")</f>
        <v/>
      </c>
      <c r="T689" s="7" t="str">
        <f t="shared" si="4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5"/>
        <v/>
      </c>
      <c r="AA689" s="4" t="str">
        <f t="shared" si="13"/>
        <v/>
      </c>
      <c r="AB689" s="4" t="str">
        <f t="array" ref="AB689">XLOOKUP(X689,'Dados Funil'!A:A,'Dados Funil'!O:O,"")</f>
        <v/>
      </c>
      <c r="AE689" s="7" t="str">
        <f t="shared" si="6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9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G690" s="4"/>
      <c r="H690" s="4"/>
      <c r="I690" s="7" t="str">
        <f t="shared" si="2"/>
        <v/>
      </c>
      <c r="J690" s="4" t="str">
        <f t="shared" si="10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1"/>
        <v/>
      </c>
      <c r="P690" s="4" t="str">
        <f t="array" ref="P690">XLOOKUP(L690,'Dados Funil'!A:A,'Dados Funil'!AM:AM,"")</f>
        <v/>
      </c>
      <c r="Q690" s="9" t="str">
        <f t="array" ref="Q690">XLOOKUP(L690,'Dados Funil'!A:A,'Dados Funil'!AN:AN,"")</f>
        <v/>
      </c>
      <c r="T690" s="7" t="str">
        <f t="shared" si="4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5"/>
        <v/>
      </c>
      <c r="AA690" s="4" t="str">
        <f t="shared" si="13"/>
        <v/>
      </c>
      <c r="AB690" s="4" t="str">
        <f t="array" ref="AB690">XLOOKUP(X690,'Dados Funil'!A:A,'Dados Funil'!O:O,"")</f>
        <v/>
      </c>
      <c r="AE690" s="7" t="str">
        <f t="shared" si="6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9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G691" s="4"/>
      <c r="H691" s="4"/>
      <c r="I691" s="7" t="str">
        <f t="shared" si="2"/>
        <v/>
      </c>
      <c r="J691" s="4" t="str">
        <f t="shared" si="10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1"/>
        <v/>
      </c>
      <c r="P691" s="4" t="str">
        <f t="array" ref="P691">XLOOKUP(L691,'Dados Funil'!A:A,'Dados Funil'!AM:AM,"")</f>
        <v/>
      </c>
      <c r="Q691" s="9" t="str">
        <f t="array" ref="Q691">XLOOKUP(L691,'Dados Funil'!A:A,'Dados Funil'!AN:AN,"")</f>
        <v/>
      </c>
      <c r="T691" s="7" t="str">
        <f t="shared" si="4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5"/>
        <v/>
      </c>
      <c r="AA691" s="4" t="str">
        <f t="shared" si="13"/>
        <v/>
      </c>
      <c r="AB691" s="4" t="str">
        <f t="array" ref="AB691">XLOOKUP(X691,'Dados Funil'!A:A,'Dados Funil'!O:O,"")</f>
        <v/>
      </c>
      <c r="AE691" s="7" t="str">
        <f t="shared" si="6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9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G692" s="4"/>
      <c r="H692" s="4"/>
      <c r="I692" s="7" t="str">
        <f t="shared" si="2"/>
        <v/>
      </c>
      <c r="J692" s="4" t="str">
        <f t="shared" si="10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1"/>
        <v/>
      </c>
      <c r="P692" s="4" t="str">
        <f t="array" ref="P692">XLOOKUP(L692,'Dados Funil'!A:A,'Dados Funil'!AM:AM,"")</f>
        <v/>
      </c>
      <c r="Q692" s="9" t="str">
        <f t="array" ref="Q692">XLOOKUP(L692,'Dados Funil'!A:A,'Dados Funil'!AN:AN,"")</f>
        <v/>
      </c>
      <c r="T692" s="7" t="str">
        <f t="shared" si="4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5"/>
        <v/>
      </c>
      <c r="AA692" s="4" t="str">
        <f t="shared" si="13"/>
        <v/>
      </c>
      <c r="AB692" s="4" t="str">
        <f t="array" ref="AB692">XLOOKUP(X692,'Dados Funil'!A:A,'Dados Funil'!O:O,"")</f>
        <v/>
      </c>
      <c r="AE692" s="7" t="str">
        <f t="shared" si="6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9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G693" s="4"/>
      <c r="H693" s="4"/>
      <c r="I693" s="7" t="str">
        <f t="shared" si="2"/>
        <v/>
      </c>
      <c r="J693" s="4" t="str">
        <f t="shared" si="10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1"/>
        <v/>
      </c>
      <c r="P693" s="4" t="str">
        <f t="array" ref="P693">XLOOKUP(L693,'Dados Funil'!A:A,'Dados Funil'!AM:AM,"")</f>
        <v/>
      </c>
      <c r="Q693" s="9" t="str">
        <f t="array" ref="Q693">XLOOKUP(L693,'Dados Funil'!A:A,'Dados Funil'!AN:AN,"")</f>
        <v/>
      </c>
      <c r="T693" s="7" t="str">
        <f t="shared" si="4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5"/>
        <v/>
      </c>
      <c r="AA693" s="4" t="str">
        <f t="shared" si="13"/>
        <v/>
      </c>
      <c r="AB693" s="4" t="str">
        <f t="array" ref="AB693">XLOOKUP(X693,'Dados Funil'!A:A,'Dados Funil'!O:O,"")</f>
        <v/>
      </c>
      <c r="AE693" s="7" t="str">
        <f t="shared" si="6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9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G694" s="4"/>
      <c r="H694" s="4"/>
      <c r="I694" s="7" t="str">
        <f t="shared" si="2"/>
        <v/>
      </c>
      <c r="J694" s="4" t="str">
        <f t="shared" si="10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1"/>
        <v/>
      </c>
      <c r="P694" s="4" t="str">
        <f t="array" ref="P694">XLOOKUP(L694,'Dados Funil'!A:A,'Dados Funil'!AM:AM,"")</f>
        <v/>
      </c>
      <c r="Q694" s="9" t="str">
        <f t="array" ref="Q694">XLOOKUP(L694,'Dados Funil'!A:A,'Dados Funil'!AN:AN,"")</f>
        <v/>
      </c>
      <c r="T694" s="7" t="str">
        <f t="shared" si="4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5"/>
        <v/>
      </c>
      <c r="AA694" s="4" t="str">
        <f t="shared" si="13"/>
        <v/>
      </c>
      <c r="AB694" s="4" t="str">
        <f t="array" ref="AB694">XLOOKUP(X694,'Dados Funil'!A:A,'Dados Funil'!O:O,"")</f>
        <v/>
      </c>
      <c r="AE694" s="7" t="str">
        <f t="shared" si="6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9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G695" s="4"/>
      <c r="H695" s="4"/>
      <c r="I695" s="7" t="str">
        <f t="shared" si="2"/>
        <v/>
      </c>
      <c r="J695" s="4" t="str">
        <f t="shared" si="10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1"/>
        <v/>
      </c>
      <c r="P695" s="4" t="str">
        <f t="array" ref="P695">XLOOKUP(L695,'Dados Funil'!A:A,'Dados Funil'!AM:AM,"")</f>
        <v/>
      </c>
      <c r="Q695" s="9" t="str">
        <f t="array" ref="Q695">XLOOKUP(L695,'Dados Funil'!A:A,'Dados Funil'!AN:AN,"")</f>
        <v/>
      </c>
      <c r="T695" s="7" t="str">
        <f t="shared" si="4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5"/>
        <v/>
      </c>
      <c r="AA695" s="4" t="str">
        <f t="shared" si="13"/>
        <v/>
      </c>
      <c r="AB695" s="4" t="str">
        <f t="array" ref="AB695">XLOOKUP(X695,'Dados Funil'!A:A,'Dados Funil'!O:O,"")</f>
        <v/>
      </c>
      <c r="AE695" s="7" t="str">
        <f t="shared" si="6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9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G696" s="4"/>
      <c r="H696" s="4"/>
      <c r="I696" s="7" t="str">
        <f t="shared" si="2"/>
        <v/>
      </c>
      <c r="J696" s="4" t="str">
        <f t="shared" si="10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1"/>
        <v/>
      </c>
      <c r="P696" s="4" t="str">
        <f t="array" ref="P696">XLOOKUP(L696,'Dados Funil'!A:A,'Dados Funil'!AM:AM,"")</f>
        <v/>
      </c>
      <c r="Q696" s="9" t="str">
        <f t="array" ref="Q696">XLOOKUP(L696,'Dados Funil'!A:A,'Dados Funil'!AN:AN,"")</f>
        <v/>
      </c>
      <c r="T696" s="7" t="str">
        <f t="shared" si="4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5"/>
        <v/>
      </c>
      <c r="AA696" s="4" t="str">
        <f t="shared" si="13"/>
        <v/>
      </c>
      <c r="AB696" s="4" t="str">
        <f t="array" ref="AB696">XLOOKUP(X696,'Dados Funil'!A:A,'Dados Funil'!O:O,"")</f>
        <v/>
      </c>
      <c r="AE696" s="7" t="str">
        <f t="shared" si="6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9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G697" s="4"/>
      <c r="H697" s="4"/>
      <c r="I697" s="7" t="str">
        <f t="shared" si="2"/>
        <v/>
      </c>
      <c r="J697" s="4" t="str">
        <f t="shared" si="10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1"/>
        <v/>
      </c>
      <c r="P697" s="4" t="str">
        <f t="array" ref="P697">XLOOKUP(L697,'Dados Funil'!A:A,'Dados Funil'!AM:AM,"")</f>
        <v/>
      </c>
      <c r="Q697" s="9" t="str">
        <f t="array" ref="Q697">XLOOKUP(L697,'Dados Funil'!A:A,'Dados Funil'!AN:AN,"")</f>
        <v/>
      </c>
      <c r="T697" s="7" t="str">
        <f t="shared" si="4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5"/>
        <v/>
      </c>
      <c r="AA697" s="4" t="str">
        <f t="shared" si="13"/>
        <v/>
      </c>
      <c r="AB697" s="4" t="str">
        <f t="array" ref="AB697">XLOOKUP(X697,'Dados Funil'!A:A,'Dados Funil'!O:O,"")</f>
        <v/>
      </c>
      <c r="AE697" s="7" t="str">
        <f t="shared" si="6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9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G698" s="4"/>
      <c r="H698" s="4"/>
      <c r="I698" s="7" t="str">
        <f t="shared" si="2"/>
        <v/>
      </c>
      <c r="J698" s="4" t="str">
        <f t="shared" si="10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1"/>
        <v/>
      </c>
      <c r="P698" s="4" t="str">
        <f t="array" ref="P698">XLOOKUP(L698,'Dados Funil'!A:A,'Dados Funil'!AM:AM,"")</f>
        <v/>
      </c>
      <c r="Q698" s="9" t="str">
        <f t="array" ref="Q698">XLOOKUP(L698,'Dados Funil'!A:A,'Dados Funil'!AN:AN,"")</f>
        <v/>
      </c>
      <c r="T698" s="7" t="str">
        <f t="shared" si="4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5"/>
        <v/>
      </c>
      <c r="AA698" s="4" t="str">
        <f t="shared" si="13"/>
        <v/>
      </c>
      <c r="AB698" s="4" t="str">
        <f t="array" ref="AB698">XLOOKUP(X698,'Dados Funil'!A:A,'Dados Funil'!O:O,"")</f>
        <v/>
      </c>
      <c r="AE698" s="7" t="str">
        <f t="shared" si="6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9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G699" s="4"/>
      <c r="H699" s="4"/>
      <c r="I699" s="7" t="str">
        <f t="shared" si="2"/>
        <v/>
      </c>
      <c r="J699" s="4" t="str">
        <f t="shared" si="10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1"/>
        <v/>
      </c>
      <c r="P699" s="4" t="str">
        <f t="array" ref="P699">XLOOKUP(L699,'Dados Funil'!A:A,'Dados Funil'!AM:AM,"")</f>
        <v/>
      </c>
      <c r="Q699" s="9" t="str">
        <f t="array" ref="Q699">XLOOKUP(L699,'Dados Funil'!A:A,'Dados Funil'!AN:AN,"")</f>
        <v/>
      </c>
      <c r="T699" s="7" t="str">
        <f t="shared" si="4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5"/>
        <v/>
      </c>
      <c r="AA699" s="4" t="str">
        <f t="shared" si="13"/>
        <v/>
      </c>
      <c r="AB699" s="4" t="str">
        <f t="array" ref="AB699">XLOOKUP(X699,'Dados Funil'!A:A,'Dados Funil'!O:O,"")</f>
        <v/>
      </c>
      <c r="AE699" s="7" t="str">
        <f t="shared" si="6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9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G700" s="4"/>
      <c r="H700" s="4"/>
      <c r="I700" s="7" t="str">
        <f t="shared" si="2"/>
        <v/>
      </c>
      <c r="J700" s="4" t="str">
        <f t="shared" si="10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1"/>
        <v/>
      </c>
      <c r="P700" s="4" t="str">
        <f t="array" ref="P700">XLOOKUP(L700,'Dados Funil'!A:A,'Dados Funil'!AM:AM,"")</f>
        <v/>
      </c>
      <c r="Q700" s="9" t="str">
        <f t="array" ref="Q700">XLOOKUP(L700,'Dados Funil'!A:A,'Dados Funil'!AN:AN,"")</f>
        <v/>
      </c>
      <c r="T700" s="7" t="str">
        <f t="shared" si="4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5"/>
        <v/>
      </c>
      <c r="AA700" s="4" t="str">
        <f t="shared" si="13"/>
        <v/>
      </c>
      <c r="AB700" s="4" t="str">
        <f t="array" ref="AB700">XLOOKUP(X700,'Dados Funil'!A:A,'Dados Funil'!O:O,"")</f>
        <v/>
      </c>
      <c r="AE700" s="7" t="str">
        <f t="shared" si="6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9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G701" s="4"/>
      <c r="H701" s="4"/>
      <c r="I701" s="7" t="str">
        <f t="shared" si="2"/>
        <v/>
      </c>
      <c r="J701" s="4" t="str">
        <f t="shared" si="10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1"/>
        <v/>
      </c>
      <c r="P701" s="4" t="str">
        <f t="array" ref="P701">XLOOKUP(L701,'Dados Funil'!A:A,'Dados Funil'!AM:AM,"")</f>
        <v/>
      </c>
      <c r="Q701" s="9" t="str">
        <f t="array" ref="Q701">XLOOKUP(L701,'Dados Funil'!A:A,'Dados Funil'!AN:AN,"")</f>
        <v/>
      </c>
      <c r="T701" s="7" t="str">
        <f t="shared" si="4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5"/>
        <v/>
      </c>
      <c r="AA701" s="4" t="str">
        <f t="shared" si="13"/>
        <v/>
      </c>
      <c r="AB701" s="4" t="str">
        <f t="array" ref="AB701">XLOOKUP(X701,'Dados Funil'!A:A,'Dados Funil'!O:O,"")</f>
        <v/>
      </c>
      <c r="AE701" s="7" t="str">
        <f t="shared" si="6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9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G702" s="4"/>
      <c r="H702" s="4"/>
      <c r="I702" s="7" t="str">
        <f t="shared" si="2"/>
        <v/>
      </c>
      <c r="J702" s="4" t="str">
        <f t="shared" si="10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1"/>
        <v/>
      </c>
      <c r="P702" s="4" t="str">
        <f t="array" ref="P702">XLOOKUP(L702,'Dados Funil'!A:A,'Dados Funil'!AM:AM,"")</f>
        <v/>
      </c>
      <c r="Q702" s="9" t="str">
        <f t="array" ref="Q702">XLOOKUP(L702,'Dados Funil'!A:A,'Dados Funil'!AN:AN,"")</f>
        <v/>
      </c>
      <c r="T702" s="7" t="str">
        <f t="shared" si="4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5"/>
        <v/>
      </c>
      <c r="AA702" s="4" t="str">
        <f t="shared" si="13"/>
        <v/>
      </c>
      <c r="AB702" s="4" t="str">
        <f t="array" ref="AB702">XLOOKUP(X702,'Dados Funil'!A:A,'Dados Funil'!O:O,"")</f>
        <v/>
      </c>
      <c r="AE702" s="7" t="str">
        <f t="shared" si="6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9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G703" s="4"/>
      <c r="H703" s="4"/>
      <c r="I703" s="7" t="str">
        <f t="shared" si="2"/>
        <v/>
      </c>
      <c r="J703" s="4" t="str">
        <f t="shared" si="10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1"/>
        <v/>
      </c>
      <c r="P703" s="4" t="str">
        <f t="array" ref="P703">XLOOKUP(L703,'Dados Funil'!A:A,'Dados Funil'!AM:AM,"")</f>
        <v/>
      </c>
      <c r="Q703" s="9" t="str">
        <f t="array" ref="Q703">XLOOKUP(L703,'Dados Funil'!A:A,'Dados Funil'!AN:AN,"")</f>
        <v/>
      </c>
      <c r="T703" s="7" t="str">
        <f t="shared" si="4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5"/>
        <v/>
      </c>
      <c r="AA703" s="4" t="str">
        <f t="shared" si="13"/>
        <v/>
      </c>
      <c r="AB703" s="4" t="str">
        <f t="array" ref="AB703">XLOOKUP(X703,'Dados Funil'!A:A,'Dados Funil'!O:O,"")</f>
        <v/>
      </c>
      <c r="AE703" s="7" t="str">
        <f t="shared" si="6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9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G704" s="4"/>
      <c r="H704" s="4"/>
      <c r="I704" s="7" t="str">
        <f t="shared" si="2"/>
        <v/>
      </c>
      <c r="J704" s="4" t="str">
        <f t="shared" si="10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1"/>
        <v/>
      </c>
      <c r="P704" s="4" t="str">
        <f t="array" ref="P704">XLOOKUP(L704,'Dados Funil'!A:A,'Dados Funil'!AM:AM,"")</f>
        <v/>
      </c>
      <c r="Q704" s="9" t="str">
        <f t="array" ref="Q704">XLOOKUP(L704,'Dados Funil'!A:A,'Dados Funil'!AN:AN,"")</f>
        <v/>
      </c>
      <c r="T704" s="7" t="str">
        <f t="shared" si="4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5"/>
        <v/>
      </c>
      <c r="AA704" s="4" t="str">
        <f t="shared" si="13"/>
        <v/>
      </c>
      <c r="AB704" s="4" t="str">
        <f t="array" ref="AB704">XLOOKUP(X704,'Dados Funil'!A:A,'Dados Funil'!O:O,"")</f>
        <v/>
      </c>
      <c r="AE704" s="7" t="str">
        <f t="shared" si="6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9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G705" s="4"/>
      <c r="H705" s="4"/>
      <c r="I705" s="7" t="str">
        <f t="shared" si="2"/>
        <v/>
      </c>
      <c r="J705" s="4" t="str">
        <f t="shared" si="10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1"/>
        <v/>
      </c>
      <c r="P705" s="4" t="str">
        <f t="array" ref="P705">XLOOKUP(L705,'Dados Funil'!A:A,'Dados Funil'!AM:AM,"")</f>
        <v/>
      </c>
      <c r="Q705" s="9" t="str">
        <f t="array" ref="Q705">XLOOKUP(L705,'Dados Funil'!A:A,'Dados Funil'!AN:AN,"")</f>
        <v/>
      </c>
      <c r="T705" s="7" t="str">
        <f t="shared" si="4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5"/>
        <v/>
      </c>
      <c r="AA705" s="4" t="str">
        <f t="shared" si="13"/>
        <v/>
      </c>
      <c r="AB705" s="4" t="str">
        <f t="array" ref="AB705">XLOOKUP(X705,'Dados Funil'!A:A,'Dados Funil'!O:O,"")</f>
        <v/>
      </c>
      <c r="AE705" s="7" t="str">
        <f t="shared" si="6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9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G706" s="4"/>
      <c r="H706" s="4"/>
      <c r="I706" s="7" t="str">
        <f t="shared" si="2"/>
        <v/>
      </c>
      <c r="J706" s="4" t="str">
        <f t="shared" si="10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1"/>
        <v/>
      </c>
      <c r="P706" s="4" t="str">
        <f t="array" ref="P706">XLOOKUP(L706,'Dados Funil'!A:A,'Dados Funil'!AM:AM,"")</f>
        <v/>
      </c>
      <c r="Q706" s="9" t="str">
        <f t="array" ref="Q706">XLOOKUP(L706,'Dados Funil'!A:A,'Dados Funil'!AN:AN,"")</f>
        <v/>
      </c>
      <c r="T706" s="7" t="str">
        <f t="shared" si="4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5"/>
        <v/>
      </c>
      <c r="AA706" s="4" t="str">
        <f t="shared" si="13"/>
        <v/>
      </c>
      <c r="AB706" s="4" t="str">
        <f t="array" ref="AB706">XLOOKUP(X706,'Dados Funil'!A:A,'Dados Funil'!O:O,"")</f>
        <v/>
      </c>
      <c r="AE706" s="7" t="str">
        <f t="shared" si="6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9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G707" s="4"/>
      <c r="H707" s="4"/>
      <c r="I707" s="7" t="str">
        <f t="shared" si="2"/>
        <v/>
      </c>
      <c r="J707" s="4" t="str">
        <f t="shared" si="10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1"/>
        <v/>
      </c>
      <c r="P707" s="4" t="str">
        <f t="array" ref="P707">XLOOKUP(L707,'Dados Funil'!A:A,'Dados Funil'!AM:AM,"")</f>
        <v/>
      </c>
      <c r="Q707" s="9" t="str">
        <f t="array" ref="Q707">XLOOKUP(L707,'Dados Funil'!A:A,'Dados Funil'!AN:AN,"")</f>
        <v/>
      </c>
      <c r="T707" s="7" t="str">
        <f t="shared" si="4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5"/>
        <v/>
      </c>
      <c r="AA707" s="4" t="str">
        <f t="shared" si="13"/>
        <v/>
      </c>
      <c r="AB707" s="4" t="str">
        <f t="array" ref="AB707">XLOOKUP(X707,'Dados Funil'!A:A,'Dados Funil'!O:O,"")</f>
        <v/>
      </c>
      <c r="AE707" s="7" t="str">
        <f t="shared" si="6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9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G708" s="4"/>
      <c r="H708" s="4"/>
      <c r="I708" s="7" t="str">
        <f t="shared" si="2"/>
        <v/>
      </c>
      <c r="J708" s="4" t="str">
        <f t="shared" si="10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1"/>
        <v/>
      </c>
      <c r="P708" s="4" t="str">
        <f t="array" ref="P708">XLOOKUP(L708,'Dados Funil'!A:A,'Dados Funil'!AM:AM,"")</f>
        <v/>
      </c>
      <c r="Q708" s="9" t="str">
        <f t="array" ref="Q708">XLOOKUP(L708,'Dados Funil'!A:A,'Dados Funil'!AN:AN,"")</f>
        <v/>
      </c>
      <c r="T708" s="7" t="str">
        <f t="shared" si="4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5"/>
        <v/>
      </c>
      <c r="AA708" s="4" t="str">
        <f t="shared" si="13"/>
        <v/>
      </c>
      <c r="AB708" s="4" t="str">
        <f t="array" ref="AB708">XLOOKUP(X708,'Dados Funil'!A:A,'Dados Funil'!O:O,"")</f>
        <v/>
      </c>
      <c r="AE708" s="7" t="str">
        <f t="shared" si="6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9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G709" s="4"/>
      <c r="H709" s="4"/>
      <c r="I709" s="7" t="str">
        <f t="shared" si="2"/>
        <v/>
      </c>
      <c r="J709" s="4" t="str">
        <f t="shared" si="10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1"/>
        <v/>
      </c>
      <c r="P709" s="4" t="str">
        <f t="array" ref="P709">XLOOKUP(L709,'Dados Funil'!A:A,'Dados Funil'!AM:AM,"")</f>
        <v/>
      </c>
      <c r="Q709" s="9" t="str">
        <f t="array" ref="Q709">XLOOKUP(L709,'Dados Funil'!A:A,'Dados Funil'!AN:AN,"")</f>
        <v/>
      </c>
      <c r="T709" s="7" t="str">
        <f t="shared" si="4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5"/>
        <v/>
      </c>
      <c r="AA709" s="4" t="str">
        <f t="shared" si="13"/>
        <v/>
      </c>
      <c r="AB709" s="4" t="str">
        <f t="array" ref="AB709">XLOOKUP(X709,'Dados Funil'!A:A,'Dados Funil'!O:O,"")</f>
        <v/>
      </c>
      <c r="AE709" s="7" t="str">
        <f t="shared" si="6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9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G710" s="4"/>
      <c r="H710" s="4"/>
      <c r="I710" s="7" t="str">
        <f t="shared" si="2"/>
        <v/>
      </c>
      <c r="J710" s="4" t="str">
        <f t="shared" si="10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1"/>
        <v/>
      </c>
      <c r="P710" s="4" t="str">
        <f t="array" ref="P710">XLOOKUP(L710,'Dados Funil'!A:A,'Dados Funil'!AM:AM,"")</f>
        <v/>
      </c>
      <c r="Q710" s="9" t="str">
        <f t="array" ref="Q710">XLOOKUP(L710,'Dados Funil'!A:A,'Dados Funil'!AN:AN,"")</f>
        <v/>
      </c>
      <c r="T710" s="7" t="str">
        <f t="shared" si="4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5"/>
        <v/>
      </c>
      <c r="AA710" s="4" t="str">
        <f t="shared" si="13"/>
        <v/>
      </c>
      <c r="AB710" s="4" t="str">
        <f t="array" ref="AB710">XLOOKUP(X710,'Dados Funil'!A:A,'Dados Funil'!O:O,"")</f>
        <v/>
      </c>
      <c r="AE710" s="7" t="str">
        <f t="shared" si="6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9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G711" s="4"/>
      <c r="H711" s="4"/>
      <c r="I711" s="7" t="str">
        <f t="shared" si="2"/>
        <v/>
      </c>
      <c r="J711" s="4" t="str">
        <f t="shared" si="10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1"/>
        <v/>
      </c>
      <c r="P711" s="4" t="str">
        <f t="array" ref="P711">XLOOKUP(L711,'Dados Funil'!A:A,'Dados Funil'!AM:AM,"")</f>
        <v/>
      </c>
      <c r="Q711" s="9" t="str">
        <f t="array" ref="Q711">XLOOKUP(L711,'Dados Funil'!A:A,'Dados Funil'!AN:AN,"")</f>
        <v/>
      </c>
      <c r="T711" s="7" t="str">
        <f t="shared" si="4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5"/>
        <v/>
      </c>
      <c r="AA711" s="4" t="str">
        <f t="shared" si="13"/>
        <v/>
      </c>
      <c r="AB711" s="4" t="str">
        <f t="array" ref="AB711">XLOOKUP(X711,'Dados Funil'!A:A,'Dados Funil'!O:O,"")</f>
        <v/>
      </c>
      <c r="AE711" s="7" t="str">
        <f t="shared" si="6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9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G712" s="4"/>
      <c r="H712" s="4"/>
      <c r="I712" s="7" t="str">
        <f t="shared" si="2"/>
        <v/>
      </c>
      <c r="J712" s="4" t="str">
        <f t="shared" si="10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1"/>
        <v/>
      </c>
      <c r="P712" s="4" t="str">
        <f t="array" ref="P712">XLOOKUP(L712,'Dados Funil'!A:A,'Dados Funil'!AM:AM,"")</f>
        <v/>
      </c>
      <c r="Q712" s="9" t="str">
        <f t="array" ref="Q712">XLOOKUP(L712,'Dados Funil'!A:A,'Dados Funil'!AN:AN,"")</f>
        <v/>
      </c>
      <c r="T712" s="7" t="str">
        <f t="shared" si="4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5"/>
        <v/>
      </c>
      <c r="AA712" s="4" t="str">
        <f t="shared" si="13"/>
        <v/>
      </c>
      <c r="AB712" s="4" t="str">
        <f t="array" ref="AB712">XLOOKUP(X712,'Dados Funil'!A:A,'Dados Funil'!O:O,"")</f>
        <v/>
      </c>
      <c r="AE712" s="7" t="str">
        <f t="shared" si="6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9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G713" s="4"/>
      <c r="H713" s="4"/>
      <c r="I713" s="7" t="str">
        <f t="shared" si="2"/>
        <v/>
      </c>
      <c r="J713" s="4" t="str">
        <f t="shared" si="10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1"/>
        <v/>
      </c>
      <c r="P713" s="4" t="str">
        <f t="array" ref="P713">XLOOKUP(L713,'Dados Funil'!A:A,'Dados Funil'!AM:AM,"")</f>
        <v/>
      </c>
      <c r="Q713" s="9" t="str">
        <f t="array" ref="Q713">XLOOKUP(L713,'Dados Funil'!A:A,'Dados Funil'!AN:AN,"")</f>
        <v/>
      </c>
      <c r="T713" s="7" t="str">
        <f t="shared" si="4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5"/>
        <v/>
      </c>
      <c r="AA713" s="4" t="str">
        <f t="shared" si="13"/>
        <v/>
      </c>
      <c r="AB713" s="4" t="str">
        <f t="array" ref="AB713">XLOOKUP(X713,'Dados Funil'!A:A,'Dados Funil'!O:O,"")</f>
        <v/>
      </c>
      <c r="AE713" s="7" t="str">
        <f t="shared" si="6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9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G714" s="4"/>
      <c r="H714" s="4"/>
      <c r="I714" s="7" t="str">
        <f t="shared" si="2"/>
        <v/>
      </c>
      <c r="J714" s="4" t="str">
        <f t="shared" si="10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1"/>
        <v/>
      </c>
      <c r="P714" s="4" t="str">
        <f t="array" ref="P714">XLOOKUP(L714,'Dados Funil'!A:A,'Dados Funil'!AM:AM,"")</f>
        <v/>
      </c>
      <c r="Q714" s="9" t="str">
        <f t="array" ref="Q714">XLOOKUP(L714,'Dados Funil'!A:A,'Dados Funil'!AN:AN,"")</f>
        <v/>
      </c>
      <c r="T714" s="7" t="str">
        <f t="shared" si="4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5"/>
        <v/>
      </c>
      <c r="AA714" s="4" t="str">
        <f t="shared" si="13"/>
        <v/>
      </c>
      <c r="AB714" s="4" t="str">
        <f t="array" ref="AB714">XLOOKUP(X714,'Dados Funil'!A:A,'Dados Funil'!O:O,"")</f>
        <v/>
      </c>
      <c r="AE714" s="7" t="str">
        <f t="shared" si="6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9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G715" s="4"/>
      <c r="H715" s="4"/>
      <c r="I715" s="7" t="str">
        <f t="shared" si="2"/>
        <v/>
      </c>
      <c r="J715" s="4" t="str">
        <f t="shared" si="10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1"/>
        <v/>
      </c>
      <c r="P715" s="4" t="str">
        <f t="array" ref="P715">XLOOKUP(L715,'Dados Funil'!A:A,'Dados Funil'!AM:AM,"")</f>
        <v/>
      </c>
      <c r="Q715" s="9" t="str">
        <f t="array" ref="Q715">XLOOKUP(L715,'Dados Funil'!A:A,'Dados Funil'!AN:AN,"")</f>
        <v/>
      </c>
      <c r="T715" s="7" t="str">
        <f t="shared" si="4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5"/>
        <v/>
      </c>
      <c r="AA715" s="4" t="str">
        <f t="shared" si="13"/>
        <v/>
      </c>
      <c r="AB715" s="4" t="str">
        <f t="array" ref="AB715">XLOOKUP(X715,'Dados Funil'!A:A,'Dados Funil'!O:O,"")</f>
        <v/>
      </c>
      <c r="AE715" s="7" t="str">
        <f t="shared" si="6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9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G716" s="4"/>
      <c r="H716" s="4"/>
      <c r="I716" s="7" t="str">
        <f t="shared" si="2"/>
        <v/>
      </c>
      <c r="J716" s="4" t="str">
        <f t="shared" si="10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1"/>
        <v/>
      </c>
      <c r="P716" s="4" t="str">
        <f t="array" ref="P716">XLOOKUP(L716,'Dados Funil'!A:A,'Dados Funil'!AM:AM,"")</f>
        <v/>
      </c>
      <c r="Q716" s="9" t="str">
        <f t="array" ref="Q716">XLOOKUP(L716,'Dados Funil'!A:A,'Dados Funil'!AN:AN,"")</f>
        <v/>
      </c>
      <c r="T716" s="7" t="str">
        <f t="shared" si="4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5"/>
        <v/>
      </c>
      <c r="AA716" s="4" t="str">
        <f t="shared" si="13"/>
        <v/>
      </c>
      <c r="AB716" s="4" t="str">
        <f t="array" ref="AB716">XLOOKUP(X716,'Dados Funil'!A:A,'Dados Funil'!O:O,"")</f>
        <v/>
      </c>
      <c r="AE716" s="7" t="str">
        <f t="shared" si="6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9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G717" s="4"/>
      <c r="H717" s="4"/>
      <c r="I717" s="7" t="str">
        <f t="shared" si="2"/>
        <v/>
      </c>
      <c r="J717" s="4" t="str">
        <f t="shared" si="10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1"/>
        <v/>
      </c>
      <c r="P717" s="4" t="str">
        <f t="array" ref="P717">XLOOKUP(L717,'Dados Funil'!A:A,'Dados Funil'!AM:AM,"")</f>
        <v/>
      </c>
      <c r="Q717" s="9" t="str">
        <f t="array" ref="Q717">XLOOKUP(L717,'Dados Funil'!A:A,'Dados Funil'!AN:AN,"")</f>
        <v/>
      </c>
      <c r="T717" s="7" t="str">
        <f t="shared" si="4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5"/>
        <v/>
      </c>
      <c r="AA717" s="4" t="str">
        <f t="shared" si="13"/>
        <v/>
      </c>
      <c r="AB717" s="4" t="str">
        <f t="array" ref="AB717">XLOOKUP(X717,'Dados Funil'!A:A,'Dados Funil'!O:O,"")</f>
        <v/>
      </c>
      <c r="AE717" s="7" t="str">
        <f t="shared" si="6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9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G718" s="4"/>
      <c r="H718" s="4"/>
      <c r="I718" s="7" t="str">
        <f t="shared" si="2"/>
        <v/>
      </c>
      <c r="J718" s="4" t="str">
        <f t="shared" si="10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1"/>
        <v/>
      </c>
      <c r="P718" s="4" t="str">
        <f t="array" ref="P718">XLOOKUP(L718,'Dados Funil'!A:A,'Dados Funil'!AM:AM,"")</f>
        <v/>
      </c>
      <c r="Q718" s="9" t="str">
        <f t="array" ref="Q718">XLOOKUP(L718,'Dados Funil'!A:A,'Dados Funil'!AN:AN,"")</f>
        <v/>
      </c>
      <c r="T718" s="7" t="str">
        <f t="shared" si="4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5"/>
        <v/>
      </c>
      <c r="AA718" s="4" t="str">
        <f t="shared" si="13"/>
        <v/>
      </c>
      <c r="AB718" s="4" t="str">
        <f t="array" ref="AB718">XLOOKUP(X718,'Dados Funil'!A:A,'Dados Funil'!O:O,"")</f>
        <v/>
      </c>
      <c r="AE718" s="7" t="str">
        <f t="shared" si="6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9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G719" s="4"/>
      <c r="H719" s="4"/>
      <c r="I719" s="7" t="str">
        <f t="shared" si="2"/>
        <v/>
      </c>
      <c r="J719" s="4" t="str">
        <f t="shared" si="10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1"/>
        <v/>
      </c>
      <c r="P719" s="4" t="str">
        <f t="array" ref="P719">XLOOKUP(L719,'Dados Funil'!A:A,'Dados Funil'!AM:AM,"")</f>
        <v/>
      </c>
      <c r="Q719" s="9" t="str">
        <f t="array" ref="Q719">XLOOKUP(L719,'Dados Funil'!A:A,'Dados Funil'!AN:AN,"")</f>
        <v/>
      </c>
      <c r="T719" s="7" t="str">
        <f t="shared" si="4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5"/>
        <v/>
      </c>
      <c r="AA719" s="4" t="str">
        <f t="shared" si="13"/>
        <v/>
      </c>
      <c r="AB719" s="4" t="str">
        <f t="array" ref="AB719">XLOOKUP(X719,'Dados Funil'!A:A,'Dados Funil'!O:O,"")</f>
        <v/>
      </c>
      <c r="AE719" s="7" t="str">
        <f t="shared" si="6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9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G720" s="4"/>
      <c r="H720" s="4"/>
      <c r="I720" s="7" t="str">
        <f t="shared" si="2"/>
        <v/>
      </c>
      <c r="J720" s="4" t="str">
        <f t="shared" si="10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1"/>
        <v/>
      </c>
      <c r="P720" s="4" t="str">
        <f t="array" ref="P720">XLOOKUP(L720,'Dados Funil'!A:A,'Dados Funil'!AM:AM,"")</f>
        <v/>
      </c>
      <c r="Q720" s="9" t="str">
        <f t="array" ref="Q720">XLOOKUP(L720,'Dados Funil'!A:A,'Dados Funil'!AN:AN,"")</f>
        <v/>
      </c>
      <c r="T720" s="7" t="str">
        <f t="shared" si="4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5"/>
        <v/>
      </c>
      <c r="AA720" s="4" t="str">
        <f t="shared" si="13"/>
        <v/>
      </c>
      <c r="AB720" s="4" t="str">
        <f t="array" ref="AB720">XLOOKUP(X720,'Dados Funil'!A:A,'Dados Funil'!O:O,"")</f>
        <v/>
      </c>
      <c r="AE720" s="7" t="str">
        <f t="shared" si="6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9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G721" s="4"/>
      <c r="H721" s="4"/>
      <c r="I721" s="7" t="str">
        <f t="shared" si="2"/>
        <v/>
      </c>
      <c r="J721" s="4" t="str">
        <f t="shared" si="10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1"/>
        <v/>
      </c>
      <c r="P721" s="4" t="str">
        <f t="array" ref="P721">XLOOKUP(L721,'Dados Funil'!A:A,'Dados Funil'!AM:AM,"")</f>
        <v/>
      </c>
      <c r="Q721" s="9" t="str">
        <f t="array" ref="Q721">XLOOKUP(L721,'Dados Funil'!A:A,'Dados Funil'!AN:AN,"")</f>
        <v/>
      </c>
      <c r="T721" s="7" t="str">
        <f t="shared" si="4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5"/>
        <v/>
      </c>
      <c r="AA721" s="4" t="str">
        <f t="shared" si="13"/>
        <v/>
      </c>
      <c r="AB721" s="4" t="str">
        <f t="array" ref="AB721">XLOOKUP(X721,'Dados Funil'!A:A,'Dados Funil'!O:O,"")</f>
        <v/>
      </c>
      <c r="AE721" s="7" t="str">
        <f t="shared" si="6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9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G722" s="4"/>
      <c r="H722" s="4"/>
      <c r="I722" s="7" t="str">
        <f t="shared" si="2"/>
        <v/>
      </c>
      <c r="J722" s="4" t="str">
        <f t="shared" si="10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1"/>
        <v/>
      </c>
      <c r="P722" s="4" t="str">
        <f t="array" ref="P722">XLOOKUP(L722,'Dados Funil'!A:A,'Dados Funil'!AM:AM,"")</f>
        <v/>
      </c>
      <c r="Q722" s="9" t="str">
        <f t="array" ref="Q722">XLOOKUP(L722,'Dados Funil'!A:A,'Dados Funil'!AN:AN,"")</f>
        <v/>
      </c>
      <c r="T722" s="7" t="str">
        <f t="shared" si="4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5"/>
        <v/>
      </c>
      <c r="AA722" s="4" t="str">
        <f t="shared" si="13"/>
        <v/>
      </c>
      <c r="AB722" s="4" t="str">
        <f t="array" ref="AB722">XLOOKUP(X722,'Dados Funil'!A:A,'Dados Funil'!O:O,"")</f>
        <v/>
      </c>
      <c r="AE722" s="7" t="str">
        <f t="shared" si="6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9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G723" s="4"/>
      <c r="H723" s="4"/>
      <c r="I723" s="7" t="str">
        <f t="shared" si="2"/>
        <v/>
      </c>
      <c r="J723" s="4" t="str">
        <f t="shared" si="10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1"/>
        <v/>
      </c>
      <c r="P723" s="4" t="str">
        <f t="array" ref="P723">XLOOKUP(L723,'Dados Funil'!A:A,'Dados Funil'!AM:AM,"")</f>
        <v/>
      </c>
      <c r="Q723" s="9" t="str">
        <f t="array" ref="Q723">XLOOKUP(L723,'Dados Funil'!A:A,'Dados Funil'!AN:AN,"")</f>
        <v/>
      </c>
      <c r="T723" s="7" t="str">
        <f t="shared" si="4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5"/>
        <v/>
      </c>
      <c r="AA723" s="4" t="str">
        <f t="shared" si="13"/>
        <v/>
      </c>
      <c r="AB723" s="4" t="str">
        <f t="array" ref="AB723">XLOOKUP(X723,'Dados Funil'!A:A,'Dados Funil'!O:O,"")</f>
        <v/>
      </c>
      <c r="AE723" s="7" t="str">
        <f t="shared" si="6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9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G724" s="4"/>
      <c r="H724" s="4"/>
      <c r="I724" s="7" t="str">
        <f t="shared" si="2"/>
        <v/>
      </c>
      <c r="J724" s="4" t="str">
        <f t="shared" si="10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1"/>
        <v/>
      </c>
      <c r="P724" s="4" t="str">
        <f t="array" ref="P724">XLOOKUP(L724,'Dados Funil'!A:A,'Dados Funil'!AM:AM,"")</f>
        <v/>
      </c>
      <c r="Q724" s="9" t="str">
        <f t="array" ref="Q724">XLOOKUP(L724,'Dados Funil'!A:A,'Dados Funil'!AN:AN,"")</f>
        <v/>
      </c>
      <c r="T724" s="7" t="str">
        <f t="shared" si="4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5"/>
        <v/>
      </c>
      <c r="AA724" s="4" t="str">
        <f t="shared" si="13"/>
        <v/>
      </c>
      <c r="AB724" s="4" t="str">
        <f t="array" ref="AB724">XLOOKUP(X724,'Dados Funil'!A:A,'Dados Funil'!O:O,"")</f>
        <v/>
      </c>
      <c r="AE724" s="7" t="str">
        <f t="shared" si="6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9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G725" s="4"/>
      <c r="H725" s="4"/>
      <c r="I725" s="7" t="str">
        <f t="shared" si="2"/>
        <v/>
      </c>
      <c r="J725" s="4" t="str">
        <f t="shared" si="10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1"/>
        <v/>
      </c>
      <c r="P725" s="4" t="str">
        <f t="array" ref="P725">XLOOKUP(L725,'Dados Funil'!A:A,'Dados Funil'!AM:AM,"")</f>
        <v/>
      </c>
      <c r="Q725" s="9" t="str">
        <f t="array" ref="Q725">XLOOKUP(L725,'Dados Funil'!A:A,'Dados Funil'!AN:AN,"")</f>
        <v/>
      </c>
      <c r="T725" s="7" t="str">
        <f t="shared" si="4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5"/>
        <v/>
      </c>
      <c r="AA725" s="4" t="str">
        <f t="shared" si="13"/>
        <v/>
      </c>
      <c r="AB725" s="4" t="str">
        <f t="array" ref="AB725">XLOOKUP(X725,'Dados Funil'!A:A,'Dados Funil'!O:O,"")</f>
        <v/>
      </c>
      <c r="AE725" s="7" t="str">
        <f t="shared" si="6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9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G726" s="4"/>
      <c r="H726" s="4"/>
      <c r="I726" s="7" t="str">
        <f t="shared" si="2"/>
        <v/>
      </c>
      <c r="J726" s="4" t="str">
        <f t="shared" si="10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1"/>
        <v/>
      </c>
      <c r="P726" s="4" t="str">
        <f t="array" ref="P726">XLOOKUP(L726,'Dados Funil'!A:A,'Dados Funil'!AM:AM,"")</f>
        <v/>
      </c>
      <c r="Q726" s="9" t="str">
        <f t="array" ref="Q726">XLOOKUP(L726,'Dados Funil'!A:A,'Dados Funil'!AN:AN,"")</f>
        <v/>
      </c>
      <c r="T726" s="7" t="str">
        <f t="shared" si="4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5"/>
        <v/>
      </c>
      <c r="AA726" s="4" t="str">
        <f t="shared" si="13"/>
        <v/>
      </c>
      <c r="AB726" s="4" t="str">
        <f t="array" ref="AB726">XLOOKUP(X726,'Dados Funil'!A:A,'Dados Funil'!O:O,"")</f>
        <v/>
      </c>
      <c r="AE726" s="7" t="str">
        <f t="shared" si="6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9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G727" s="4"/>
      <c r="H727" s="4"/>
      <c r="I727" s="7" t="str">
        <f t="shared" si="2"/>
        <v/>
      </c>
      <c r="J727" s="4" t="str">
        <f t="shared" si="10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1"/>
        <v/>
      </c>
      <c r="P727" s="4" t="str">
        <f t="array" ref="P727">XLOOKUP(L727,'Dados Funil'!A:A,'Dados Funil'!AM:AM,"")</f>
        <v/>
      </c>
      <c r="Q727" s="9" t="str">
        <f t="array" ref="Q727">XLOOKUP(L727,'Dados Funil'!A:A,'Dados Funil'!AN:AN,"")</f>
        <v/>
      </c>
      <c r="T727" s="7" t="str">
        <f t="shared" si="4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5"/>
        <v/>
      </c>
      <c r="AA727" s="4" t="str">
        <f t="shared" si="13"/>
        <v/>
      </c>
      <c r="AB727" s="4" t="str">
        <f t="array" ref="AB727">XLOOKUP(X727,'Dados Funil'!A:A,'Dados Funil'!O:O,"")</f>
        <v/>
      </c>
      <c r="AE727" s="7" t="str">
        <f t="shared" si="6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9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G728" s="4"/>
      <c r="H728" s="4"/>
      <c r="I728" s="7" t="str">
        <f t="shared" si="2"/>
        <v/>
      </c>
      <c r="J728" s="4" t="str">
        <f t="shared" si="10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1"/>
        <v/>
      </c>
      <c r="P728" s="4" t="str">
        <f t="array" ref="P728">XLOOKUP(L728,'Dados Funil'!A:A,'Dados Funil'!AM:AM,"")</f>
        <v/>
      </c>
      <c r="Q728" s="9" t="str">
        <f t="array" ref="Q728">XLOOKUP(L728,'Dados Funil'!A:A,'Dados Funil'!AN:AN,"")</f>
        <v/>
      </c>
      <c r="T728" s="7" t="str">
        <f t="shared" si="4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5"/>
        <v/>
      </c>
      <c r="AA728" s="4" t="str">
        <f t="shared" si="13"/>
        <v/>
      </c>
      <c r="AB728" s="4" t="str">
        <f t="array" ref="AB728">XLOOKUP(X728,'Dados Funil'!A:A,'Dados Funil'!O:O,"")</f>
        <v/>
      </c>
      <c r="AE728" s="7" t="str">
        <f t="shared" si="6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9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G729" s="4"/>
      <c r="H729" s="4"/>
      <c r="I729" s="7" t="str">
        <f t="shared" si="2"/>
        <v/>
      </c>
      <c r="J729" s="4" t="str">
        <f t="shared" si="10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1"/>
        <v/>
      </c>
      <c r="P729" s="4" t="str">
        <f t="array" ref="P729">XLOOKUP(L729,'Dados Funil'!A:A,'Dados Funil'!AM:AM,"")</f>
        <v/>
      </c>
      <c r="Q729" s="9" t="str">
        <f t="array" ref="Q729">XLOOKUP(L729,'Dados Funil'!A:A,'Dados Funil'!AN:AN,"")</f>
        <v/>
      </c>
      <c r="T729" s="7" t="str">
        <f t="shared" si="4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5"/>
        <v/>
      </c>
      <c r="AA729" s="4" t="str">
        <f t="shared" si="13"/>
        <v/>
      </c>
      <c r="AB729" s="4" t="str">
        <f t="array" ref="AB729">XLOOKUP(X729,'Dados Funil'!A:A,'Dados Funil'!O:O,"")</f>
        <v/>
      </c>
      <c r="AE729" s="7" t="str">
        <f t="shared" si="6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9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G730" s="4"/>
      <c r="H730" s="4"/>
      <c r="I730" s="7" t="str">
        <f t="shared" si="2"/>
        <v/>
      </c>
      <c r="J730" s="4" t="str">
        <f t="shared" si="10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1"/>
        <v/>
      </c>
      <c r="P730" s="4" t="str">
        <f t="array" ref="P730">XLOOKUP(L730,'Dados Funil'!A:A,'Dados Funil'!AM:AM,"")</f>
        <v/>
      </c>
      <c r="Q730" s="9" t="str">
        <f t="array" ref="Q730">XLOOKUP(L730,'Dados Funil'!A:A,'Dados Funil'!AN:AN,"")</f>
        <v/>
      </c>
      <c r="T730" s="7" t="str">
        <f t="shared" si="4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5"/>
        <v/>
      </c>
      <c r="AA730" s="4" t="str">
        <f t="shared" si="13"/>
        <v/>
      </c>
      <c r="AB730" s="4" t="str">
        <f t="array" ref="AB730">XLOOKUP(X730,'Dados Funil'!A:A,'Dados Funil'!O:O,"")</f>
        <v/>
      </c>
      <c r="AE730" s="7" t="str">
        <f t="shared" si="6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9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G731" s="4"/>
      <c r="H731" s="4"/>
      <c r="I731" s="7" t="str">
        <f t="shared" si="2"/>
        <v/>
      </c>
      <c r="J731" s="4" t="str">
        <f t="shared" si="10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1"/>
        <v/>
      </c>
      <c r="P731" s="4" t="str">
        <f t="array" ref="P731">XLOOKUP(L731,'Dados Funil'!A:A,'Dados Funil'!AM:AM,"")</f>
        <v/>
      </c>
      <c r="Q731" s="9" t="str">
        <f t="array" ref="Q731">XLOOKUP(L731,'Dados Funil'!A:A,'Dados Funil'!AN:AN,"")</f>
        <v/>
      </c>
      <c r="T731" s="7" t="str">
        <f t="shared" si="4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5"/>
        <v/>
      </c>
      <c r="AA731" s="4" t="str">
        <f t="shared" si="13"/>
        <v/>
      </c>
      <c r="AB731" s="4" t="str">
        <f t="array" ref="AB731">XLOOKUP(X731,'Dados Funil'!A:A,'Dados Funil'!O:O,"")</f>
        <v/>
      </c>
      <c r="AE731" s="7" t="str">
        <f t="shared" si="6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9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G732" s="4"/>
      <c r="H732" s="4"/>
      <c r="I732" s="7" t="str">
        <f t="shared" si="2"/>
        <v/>
      </c>
      <c r="J732" s="4" t="str">
        <f t="shared" si="10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1"/>
        <v/>
      </c>
      <c r="P732" s="4" t="str">
        <f t="array" ref="P732">XLOOKUP(L732,'Dados Funil'!A:A,'Dados Funil'!AM:AM,"")</f>
        <v/>
      </c>
      <c r="Q732" s="9" t="str">
        <f t="array" ref="Q732">XLOOKUP(L732,'Dados Funil'!A:A,'Dados Funil'!AN:AN,"")</f>
        <v/>
      </c>
      <c r="T732" s="7" t="str">
        <f t="shared" si="4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5"/>
        <v/>
      </c>
      <c r="AA732" s="4" t="str">
        <f t="shared" si="13"/>
        <v/>
      </c>
      <c r="AB732" s="4" t="str">
        <f t="array" ref="AB732">XLOOKUP(X732,'Dados Funil'!A:A,'Dados Funil'!O:O,"")</f>
        <v/>
      </c>
      <c r="AE732" s="7" t="str">
        <f t="shared" si="6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9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G733" s="4"/>
      <c r="H733" s="4"/>
      <c r="I733" s="7" t="str">
        <f t="shared" si="2"/>
        <v/>
      </c>
      <c r="J733" s="4" t="str">
        <f t="shared" si="10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1"/>
        <v/>
      </c>
      <c r="P733" s="4" t="str">
        <f t="array" ref="P733">XLOOKUP(L733,'Dados Funil'!A:A,'Dados Funil'!AM:AM,"")</f>
        <v/>
      </c>
      <c r="Q733" s="9" t="str">
        <f t="array" ref="Q733">XLOOKUP(L733,'Dados Funil'!A:A,'Dados Funil'!AN:AN,"")</f>
        <v/>
      </c>
      <c r="T733" s="7" t="str">
        <f t="shared" si="4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5"/>
        <v/>
      </c>
      <c r="AA733" s="4" t="str">
        <f t="shared" si="13"/>
        <v/>
      </c>
      <c r="AB733" s="4" t="str">
        <f t="array" ref="AB733">XLOOKUP(X733,'Dados Funil'!A:A,'Dados Funil'!O:O,"")</f>
        <v/>
      </c>
      <c r="AE733" s="7" t="str">
        <f t="shared" si="6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9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G734" s="4"/>
      <c r="H734" s="4"/>
      <c r="I734" s="7" t="str">
        <f t="shared" si="2"/>
        <v/>
      </c>
      <c r="J734" s="4" t="str">
        <f t="shared" si="10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1"/>
        <v/>
      </c>
      <c r="P734" s="4" t="str">
        <f t="array" ref="P734">XLOOKUP(L734,'Dados Funil'!A:A,'Dados Funil'!AM:AM,"")</f>
        <v/>
      </c>
      <c r="Q734" s="9" t="str">
        <f t="array" ref="Q734">XLOOKUP(L734,'Dados Funil'!A:A,'Dados Funil'!AN:AN,"")</f>
        <v/>
      </c>
      <c r="T734" s="7" t="str">
        <f t="shared" si="4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5"/>
        <v/>
      </c>
      <c r="AA734" s="4" t="str">
        <f t="shared" si="13"/>
        <v/>
      </c>
      <c r="AB734" s="4" t="str">
        <f t="array" ref="AB734">XLOOKUP(X734,'Dados Funil'!A:A,'Dados Funil'!O:O,"")</f>
        <v/>
      </c>
      <c r="AE734" s="7" t="str">
        <f t="shared" si="6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9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G735" s="4"/>
      <c r="H735" s="4"/>
      <c r="I735" s="7" t="str">
        <f t="shared" si="2"/>
        <v/>
      </c>
      <c r="J735" s="4" t="str">
        <f t="shared" si="10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1"/>
        <v/>
      </c>
      <c r="P735" s="4" t="str">
        <f t="array" ref="P735">XLOOKUP(L735,'Dados Funil'!A:A,'Dados Funil'!AM:AM,"")</f>
        <v/>
      </c>
      <c r="Q735" s="9" t="str">
        <f t="array" ref="Q735">XLOOKUP(L735,'Dados Funil'!A:A,'Dados Funil'!AN:AN,"")</f>
        <v/>
      </c>
      <c r="T735" s="7" t="str">
        <f t="shared" si="4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5"/>
        <v/>
      </c>
      <c r="AA735" s="4" t="str">
        <f t="shared" si="13"/>
        <v/>
      </c>
      <c r="AB735" s="4" t="str">
        <f t="array" ref="AB735">XLOOKUP(X735,'Dados Funil'!A:A,'Dados Funil'!O:O,"")</f>
        <v/>
      </c>
      <c r="AE735" s="7" t="str">
        <f t="shared" si="6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9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G736" s="4"/>
      <c r="H736" s="4"/>
      <c r="I736" s="7" t="str">
        <f t="shared" si="2"/>
        <v/>
      </c>
      <c r="J736" s="4" t="str">
        <f t="shared" si="10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1"/>
        <v/>
      </c>
      <c r="P736" s="4" t="str">
        <f t="array" ref="P736">XLOOKUP(L736,'Dados Funil'!A:A,'Dados Funil'!AM:AM,"")</f>
        <v/>
      </c>
      <c r="Q736" s="9" t="str">
        <f t="array" ref="Q736">XLOOKUP(L736,'Dados Funil'!A:A,'Dados Funil'!AN:AN,"")</f>
        <v/>
      </c>
      <c r="T736" s="7" t="str">
        <f t="shared" si="4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5"/>
        <v/>
      </c>
      <c r="AA736" s="4" t="str">
        <f t="shared" si="13"/>
        <v/>
      </c>
      <c r="AB736" s="4" t="str">
        <f t="array" ref="AB736">XLOOKUP(X736,'Dados Funil'!A:A,'Dados Funil'!O:O,"")</f>
        <v/>
      </c>
      <c r="AE736" s="7" t="str">
        <f t="shared" si="6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9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G737" s="4"/>
      <c r="H737" s="4"/>
      <c r="I737" s="7" t="str">
        <f t="shared" si="2"/>
        <v/>
      </c>
      <c r="J737" s="4" t="str">
        <f t="shared" si="10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1"/>
        <v/>
      </c>
      <c r="P737" s="4" t="str">
        <f t="array" ref="P737">XLOOKUP(L737,'Dados Funil'!A:A,'Dados Funil'!AM:AM,"")</f>
        <v/>
      </c>
      <c r="Q737" s="9" t="str">
        <f t="array" ref="Q737">XLOOKUP(L737,'Dados Funil'!A:A,'Dados Funil'!AN:AN,"")</f>
        <v/>
      </c>
      <c r="T737" s="7" t="str">
        <f t="shared" si="4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5"/>
        <v/>
      </c>
      <c r="AA737" s="4" t="str">
        <f t="shared" si="13"/>
        <v/>
      </c>
      <c r="AB737" s="4" t="str">
        <f t="array" ref="AB737">XLOOKUP(X737,'Dados Funil'!A:A,'Dados Funil'!O:O,"")</f>
        <v/>
      </c>
      <c r="AE737" s="7" t="str">
        <f t="shared" si="6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9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G738" s="4"/>
      <c r="H738" s="4"/>
      <c r="I738" s="7" t="str">
        <f t="shared" si="2"/>
        <v/>
      </c>
      <c r="J738" s="4" t="str">
        <f t="shared" si="10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1"/>
        <v/>
      </c>
      <c r="P738" s="4" t="str">
        <f t="array" ref="P738">XLOOKUP(L738,'Dados Funil'!A:A,'Dados Funil'!AM:AM,"")</f>
        <v/>
      </c>
      <c r="Q738" s="9" t="str">
        <f t="array" ref="Q738">XLOOKUP(L738,'Dados Funil'!A:A,'Dados Funil'!AN:AN,"")</f>
        <v/>
      </c>
      <c r="T738" s="7" t="str">
        <f t="shared" si="4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5"/>
        <v/>
      </c>
      <c r="AA738" s="4" t="str">
        <f t="shared" si="13"/>
        <v/>
      </c>
      <c r="AB738" s="4" t="str">
        <f t="array" ref="AB738">XLOOKUP(X738,'Dados Funil'!A:A,'Dados Funil'!O:O,"")</f>
        <v/>
      </c>
      <c r="AE738" s="7" t="str">
        <f t="shared" si="6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9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G739" s="4"/>
      <c r="H739" s="4"/>
      <c r="I739" s="7" t="str">
        <f t="shared" si="2"/>
        <v/>
      </c>
      <c r="J739" s="4" t="str">
        <f t="shared" si="10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1"/>
        <v/>
      </c>
      <c r="P739" s="4" t="str">
        <f t="array" ref="P739">XLOOKUP(L739,'Dados Funil'!A:A,'Dados Funil'!AM:AM,"")</f>
        <v/>
      </c>
      <c r="Q739" s="9" t="str">
        <f t="array" ref="Q739">XLOOKUP(L739,'Dados Funil'!A:A,'Dados Funil'!AN:AN,"")</f>
        <v/>
      </c>
      <c r="T739" s="7" t="str">
        <f t="shared" si="4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5"/>
        <v/>
      </c>
      <c r="AA739" s="4" t="str">
        <f t="shared" si="13"/>
        <v/>
      </c>
      <c r="AB739" s="4" t="str">
        <f t="array" ref="AB739">XLOOKUP(X739,'Dados Funil'!A:A,'Dados Funil'!O:O,"")</f>
        <v/>
      </c>
      <c r="AE739" s="7" t="str">
        <f t="shared" si="6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9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G740" s="4"/>
      <c r="H740" s="4"/>
      <c r="I740" s="7" t="str">
        <f t="shared" si="2"/>
        <v/>
      </c>
      <c r="J740" s="4" t="str">
        <f t="shared" si="10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1"/>
        <v/>
      </c>
      <c r="P740" s="4" t="str">
        <f t="array" ref="P740">XLOOKUP(L740,'Dados Funil'!A:A,'Dados Funil'!AM:AM,"")</f>
        <v/>
      </c>
      <c r="Q740" s="9" t="str">
        <f t="array" ref="Q740">XLOOKUP(L740,'Dados Funil'!A:A,'Dados Funil'!AN:AN,"")</f>
        <v/>
      </c>
      <c r="T740" s="7" t="str">
        <f t="shared" si="4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5"/>
        <v/>
      </c>
      <c r="AA740" s="4" t="str">
        <f t="shared" si="13"/>
        <v/>
      </c>
      <c r="AB740" s="4" t="str">
        <f t="array" ref="AB740">XLOOKUP(X740,'Dados Funil'!A:A,'Dados Funil'!O:O,"")</f>
        <v/>
      </c>
      <c r="AE740" s="7" t="str">
        <f t="shared" si="6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9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G741" s="4"/>
      <c r="H741" s="4"/>
      <c r="I741" s="7" t="str">
        <f t="shared" si="2"/>
        <v/>
      </c>
      <c r="J741" s="4" t="str">
        <f t="shared" si="10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1"/>
        <v/>
      </c>
      <c r="P741" s="4" t="str">
        <f t="array" ref="P741">XLOOKUP(L741,'Dados Funil'!A:A,'Dados Funil'!AM:AM,"")</f>
        <v/>
      </c>
      <c r="Q741" s="9" t="str">
        <f t="array" ref="Q741">XLOOKUP(L741,'Dados Funil'!A:A,'Dados Funil'!AN:AN,"")</f>
        <v/>
      </c>
      <c r="T741" s="7" t="str">
        <f t="shared" si="4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5"/>
        <v/>
      </c>
      <c r="AA741" s="4" t="str">
        <f t="shared" si="13"/>
        <v/>
      </c>
      <c r="AB741" s="4" t="str">
        <f t="array" ref="AB741">XLOOKUP(X741,'Dados Funil'!A:A,'Dados Funil'!O:O,"")</f>
        <v/>
      </c>
      <c r="AE741" s="7" t="str">
        <f t="shared" si="6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9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G742" s="4"/>
      <c r="H742" s="4"/>
      <c r="I742" s="7" t="str">
        <f t="shared" si="2"/>
        <v/>
      </c>
      <c r="J742" s="4" t="str">
        <f t="shared" si="10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1"/>
        <v/>
      </c>
      <c r="P742" s="4" t="str">
        <f t="array" ref="P742">XLOOKUP(L742,'Dados Funil'!A:A,'Dados Funil'!AM:AM,"")</f>
        <v/>
      </c>
      <c r="Q742" s="9" t="str">
        <f t="array" ref="Q742">XLOOKUP(L742,'Dados Funil'!A:A,'Dados Funil'!AN:AN,"")</f>
        <v/>
      </c>
      <c r="T742" s="7" t="str">
        <f t="shared" si="4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5"/>
        <v/>
      </c>
      <c r="AA742" s="4" t="str">
        <f t="shared" si="13"/>
        <v/>
      </c>
      <c r="AB742" s="4" t="str">
        <f t="array" ref="AB742">XLOOKUP(X742,'Dados Funil'!A:A,'Dados Funil'!O:O,"")</f>
        <v/>
      </c>
      <c r="AE742" s="7" t="str">
        <f t="shared" si="6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9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G743" s="4"/>
      <c r="H743" s="4"/>
      <c r="I743" s="7" t="str">
        <f t="shared" si="2"/>
        <v/>
      </c>
      <c r="J743" s="4" t="str">
        <f t="shared" si="10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1"/>
        <v/>
      </c>
      <c r="P743" s="4" t="str">
        <f t="array" ref="P743">XLOOKUP(L743,'Dados Funil'!A:A,'Dados Funil'!AM:AM,"")</f>
        <v/>
      </c>
      <c r="Q743" s="9" t="str">
        <f t="array" ref="Q743">XLOOKUP(L743,'Dados Funil'!A:A,'Dados Funil'!AN:AN,"")</f>
        <v/>
      </c>
      <c r="T743" s="7" t="str">
        <f t="shared" si="4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5"/>
        <v/>
      </c>
      <c r="AA743" s="4" t="str">
        <f t="shared" si="13"/>
        <v/>
      </c>
      <c r="AB743" s="4" t="str">
        <f t="array" ref="AB743">XLOOKUP(X743,'Dados Funil'!A:A,'Dados Funil'!O:O,"")</f>
        <v/>
      </c>
      <c r="AE743" s="7" t="str">
        <f t="shared" si="6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9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G744" s="4"/>
      <c r="H744" s="4"/>
      <c r="I744" s="7" t="str">
        <f t="shared" si="2"/>
        <v/>
      </c>
      <c r="J744" s="4" t="str">
        <f t="shared" si="10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1"/>
        <v/>
      </c>
      <c r="P744" s="4" t="str">
        <f t="array" ref="P744">XLOOKUP(L744,'Dados Funil'!A:A,'Dados Funil'!AM:AM,"")</f>
        <v/>
      </c>
      <c r="Q744" s="9" t="str">
        <f t="array" ref="Q744">XLOOKUP(L744,'Dados Funil'!A:A,'Dados Funil'!AN:AN,"")</f>
        <v/>
      </c>
      <c r="T744" s="7" t="str">
        <f t="shared" si="4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5"/>
        <v/>
      </c>
      <c r="AA744" s="4" t="str">
        <f t="shared" si="13"/>
        <v/>
      </c>
      <c r="AB744" s="4" t="str">
        <f t="array" ref="AB744">XLOOKUP(X744,'Dados Funil'!A:A,'Dados Funil'!O:O,"")</f>
        <v/>
      </c>
      <c r="AE744" s="7" t="str">
        <f t="shared" si="6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9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G745" s="4"/>
      <c r="H745" s="4"/>
      <c r="I745" s="7" t="str">
        <f t="shared" si="2"/>
        <v/>
      </c>
      <c r="J745" s="4" t="str">
        <f t="shared" si="10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1"/>
        <v/>
      </c>
      <c r="P745" s="4" t="str">
        <f t="array" ref="P745">XLOOKUP(L745,'Dados Funil'!A:A,'Dados Funil'!AM:AM,"")</f>
        <v/>
      </c>
      <c r="Q745" s="9" t="str">
        <f t="array" ref="Q745">XLOOKUP(L745,'Dados Funil'!A:A,'Dados Funil'!AN:AN,"")</f>
        <v/>
      </c>
      <c r="T745" s="7" t="str">
        <f t="shared" si="4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5"/>
        <v/>
      </c>
      <c r="AA745" s="4" t="str">
        <f t="shared" si="13"/>
        <v/>
      </c>
      <c r="AB745" s="4" t="str">
        <f t="array" ref="AB745">XLOOKUP(X745,'Dados Funil'!A:A,'Dados Funil'!O:O,"")</f>
        <v/>
      </c>
      <c r="AE745" s="7" t="str">
        <f t="shared" si="6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9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G746" s="4"/>
      <c r="H746" s="4"/>
      <c r="I746" s="7" t="str">
        <f t="shared" si="2"/>
        <v/>
      </c>
      <c r="J746" s="4" t="str">
        <f t="shared" si="10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1"/>
        <v/>
      </c>
      <c r="P746" s="4" t="str">
        <f t="array" ref="P746">XLOOKUP(L746,'Dados Funil'!A:A,'Dados Funil'!AM:AM,"")</f>
        <v/>
      </c>
      <c r="Q746" s="9" t="str">
        <f t="array" ref="Q746">XLOOKUP(L746,'Dados Funil'!A:A,'Dados Funil'!AN:AN,"")</f>
        <v/>
      </c>
      <c r="T746" s="7" t="str">
        <f t="shared" si="4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5"/>
        <v/>
      </c>
      <c r="AA746" s="4" t="str">
        <f t="shared" si="13"/>
        <v/>
      </c>
      <c r="AB746" s="4" t="str">
        <f t="array" ref="AB746">XLOOKUP(X746,'Dados Funil'!A:A,'Dados Funil'!O:O,"")</f>
        <v/>
      </c>
      <c r="AE746" s="7" t="str">
        <f t="shared" si="6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9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G747" s="4"/>
      <c r="H747" s="4"/>
      <c r="I747" s="7" t="str">
        <f t="shared" si="2"/>
        <v/>
      </c>
      <c r="J747" s="4" t="str">
        <f t="shared" si="10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1"/>
        <v/>
      </c>
      <c r="P747" s="4" t="str">
        <f t="array" ref="P747">XLOOKUP(L747,'Dados Funil'!A:A,'Dados Funil'!AM:AM,"")</f>
        <v/>
      </c>
      <c r="Q747" s="9" t="str">
        <f t="array" ref="Q747">XLOOKUP(L747,'Dados Funil'!A:A,'Dados Funil'!AN:AN,"")</f>
        <v/>
      </c>
      <c r="T747" s="7" t="str">
        <f t="shared" si="4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5"/>
        <v/>
      </c>
      <c r="AA747" s="4" t="str">
        <f t="shared" si="13"/>
        <v/>
      </c>
      <c r="AB747" s="4" t="str">
        <f t="array" ref="AB747">XLOOKUP(X747,'Dados Funil'!A:A,'Dados Funil'!O:O,"")</f>
        <v/>
      </c>
      <c r="AE747" s="7" t="str">
        <f t="shared" si="6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9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G748" s="4"/>
      <c r="H748" s="4"/>
      <c r="I748" s="7" t="str">
        <f t="shared" si="2"/>
        <v/>
      </c>
      <c r="J748" s="4" t="str">
        <f t="shared" si="10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1"/>
        <v/>
      </c>
      <c r="P748" s="4" t="str">
        <f t="array" ref="P748">XLOOKUP(L748,'Dados Funil'!A:A,'Dados Funil'!AM:AM,"")</f>
        <v/>
      </c>
      <c r="Q748" s="9" t="str">
        <f t="array" ref="Q748">XLOOKUP(L748,'Dados Funil'!A:A,'Dados Funil'!AN:AN,"")</f>
        <v/>
      </c>
      <c r="T748" s="7" t="str">
        <f t="shared" si="4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5"/>
        <v/>
      </c>
      <c r="AA748" s="4" t="str">
        <f t="shared" si="13"/>
        <v/>
      </c>
      <c r="AB748" s="4" t="str">
        <f t="array" ref="AB748">XLOOKUP(X748,'Dados Funil'!A:A,'Dados Funil'!O:O,"")</f>
        <v/>
      </c>
      <c r="AE748" s="7" t="str">
        <f t="shared" si="6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9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G749" s="4"/>
      <c r="H749" s="4"/>
      <c r="I749" s="7" t="str">
        <f t="shared" si="2"/>
        <v/>
      </c>
      <c r="J749" s="4" t="str">
        <f t="shared" si="10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1"/>
        <v/>
      </c>
      <c r="P749" s="4" t="str">
        <f t="array" ref="P749">XLOOKUP(L749,'Dados Funil'!A:A,'Dados Funil'!AM:AM,"")</f>
        <v/>
      </c>
      <c r="Q749" s="9" t="str">
        <f t="array" ref="Q749">XLOOKUP(L749,'Dados Funil'!A:A,'Dados Funil'!AN:AN,"")</f>
        <v/>
      </c>
      <c r="T749" s="7" t="str">
        <f t="shared" si="4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5"/>
        <v/>
      </c>
      <c r="AA749" s="4" t="str">
        <f t="shared" si="13"/>
        <v/>
      </c>
      <c r="AB749" s="4" t="str">
        <f t="array" ref="AB749">XLOOKUP(X749,'Dados Funil'!A:A,'Dados Funil'!O:O,"")</f>
        <v/>
      </c>
      <c r="AE749" s="7" t="str">
        <f t="shared" si="6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9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G750" s="4"/>
      <c r="H750" s="4"/>
      <c r="I750" s="7" t="str">
        <f t="shared" si="2"/>
        <v/>
      </c>
      <c r="J750" s="4" t="str">
        <f t="shared" si="10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1"/>
        <v/>
      </c>
      <c r="P750" s="4" t="str">
        <f t="array" ref="P750">XLOOKUP(L750,'Dados Funil'!A:A,'Dados Funil'!AM:AM,"")</f>
        <v/>
      </c>
      <c r="Q750" s="9" t="str">
        <f t="array" ref="Q750">XLOOKUP(L750,'Dados Funil'!A:A,'Dados Funil'!AN:AN,"")</f>
        <v/>
      </c>
      <c r="T750" s="7" t="str">
        <f t="shared" si="4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5"/>
        <v/>
      </c>
      <c r="AA750" s="4" t="str">
        <f t="shared" si="13"/>
        <v/>
      </c>
      <c r="AB750" s="4" t="str">
        <f t="array" ref="AB750">XLOOKUP(X750,'Dados Funil'!A:A,'Dados Funil'!O:O,"")</f>
        <v/>
      </c>
      <c r="AE750" s="7" t="str">
        <f t="shared" si="6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9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G751" s="4"/>
      <c r="H751" s="4"/>
      <c r="I751" s="7" t="str">
        <f t="shared" si="2"/>
        <v/>
      </c>
      <c r="J751" s="4" t="str">
        <f t="shared" si="10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1"/>
        <v/>
      </c>
      <c r="P751" s="4" t="str">
        <f t="array" ref="P751">XLOOKUP(L751,'Dados Funil'!A:A,'Dados Funil'!AM:AM,"")</f>
        <v/>
      </c>
      <c r="Q751" s="9" t="str">
        <f t="array" ref="Q751">XLOOKUP(L751,'Dados Funil'!A:A,'Dados Funil'!AN:AN,"")</f>
        <v/>
      </c>
      <c r="T751" s="7" t="str">
        <f t="shared" si="4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5"/>
        <v/>
      </c>
      <c r="AA751" s="4" t="str">
        <f t="shared" si="13"/>
        <v/>
      </c>
      <c r="AB751" s="4" t="str">
        <f t="array" ref="AB751">XLOOKUP(X751,'Dados Funil'!A:A,'Dados Funil'!O:O,"")</f>
        <v/>
      </c>
      <c r="AE751" s="7" t="str">
        <f t="shared" si="6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9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G752" s="4"/>
      <c r="H752" s="4"/>
      <c r="I752" s="7" t="str">
        <f t="shared" si="2"/>
        <v/>
      </c>
      <c r="J752" s="4" t="str">
        <f t="shared" si="10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1"/>
        <v/>
      </c>
      <c r="P752" s="4" t="str">
        <f t="array" ref="P752">XLOOKUP(L752,'Dados Funil'!A:A,'Dados Funil'!AM:AM,"")</f>
        <v/>
      </c>
      <c r="Q752" s="9" t="str">
        <f t="array" ref="Q752">XLOOKUP(L752,'Dados Funil'!A:A,'Dados Funil'!AN:AN,"")</f>
        <v/>
      </c>
      <c r="T752" s="7" t="str">
        <f t="shared" si="4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5"/>
        <v/>
      </c>
      <c r="AA752" s="4" t="str">
        <f t="shared" si="13"/>
        <v/>
      </c>
      <c r="AB752" s="4" t="str">
        <f t="array" ref="AB752">XLOOKUP(X752,'Dados Funil'!A:A,'Dados Funil'!O:O,"")</f>
        <v/>
      </c>
      <c r="AE752" s="7" t="str">
        <f t="shared" si="6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9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G753" s="4"/>
      <c r="H753" s="4"/>
      <c r="I753" s="7" t="str">
        <f t="shared" si="2"/>
        <v/>
      </c>
      <c r="J753" s="4" t="str">
        <f t="shared" si="10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1"/>
        <v/>
      </c>
      <c r="P753" s="4" t="str">
        <f t="array" ref="P753">XLOOKUP(L753,'Dados Funil'!A:A,'Dados Funil'!AM:AM,"")</f>
        <v/>
      </c>
      <c r="Q753" s="9" t="str">
        <f t="array" ref="Q753">XLOOKUP(L753,'Dados Funil'!A:A,'Dados Funil'!AN:AN,"")</f>
        <v/>
      </c>
      <c r="T753" s="7" t="str">
        <f t="shared" si="4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5"/>
        <v/>
      </c>
      <c r="AA753" s="4" t="str">
        <f t="shared" si="13"/>
        <v/>
      </c>
      <c r="AB753" s="4" t="str">
        <f t="array" ref="AB753">XLOOKUP(X753,'Dados Funil'!A:A,'Dados Funil'!O:O,"")</f>
        <v/>
      </c>
      <c r="AE753" s="7" t="str">
        <f t="shared" si="6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9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G754" s="4"/>
      <c r="H754" s="4"/>
      <c r="I754" s="7" t="str">
        <f t="shared" si="2"/>
        <v/>
      </c>
      <c r="J754" s="4" t="str">
        <f t="shared" si="10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1"/>
        <v/>
      </c>
      <c r="P754" s="4" t="str">
        <f t="array" ref="P754">XLOOKUP(L754,'Dados Funil'!A:A,'Dados Funil'!AM:AM,"")</f>
        <v/>
      </c>
      <c r="Q754" s="9" t="str">
        <f t="array" ref="Q754">XLOOKUP(L754,'Dados Funil'!A:A,'Dados Funil'!AN:AN,"")</f>
        <v/>
      </c>
      <c r="T754" s="7" t="str">
        <f t="shared" si="4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5"/>
        <v/>
      </c>
      <c r="AA754" s="4" t="str">
        <f t="shared" si="13"/>
        <v/>
      </c>
      <c r="AB754" s="4" t="str">
        <f t="array" ref="AB754">XLOOKUP(X754,'Dados Funil'!A:A,'Dados Funil'!O:O,"")</f>
        <v/>
      </c>
      <c r="AE754" s="7" t="str">
        <f t="shared" si="6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9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G755" s="4"/>
      <c r="H755" s="4"/>
      <c r="I755" s="7" t="str">
        <f t="shared" si="2"/>
        <v/>
      </c>
      <c r="J755" s="4" t="str">
        <f t="shared" si="10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1"/>
        <v/>
      </c>
      <c r="P755" s="4" t="str">
        <f t="array" ref="P755">XLOOKUP(L755,'Dados Funil'!A:A,'Dados Funil'!AM:AM,"")</f>
        <v/>
      </c>
      <c r="Q755" s="9" t="str">
        <f t="array" ref="Q755">XLOOKUP(L755,'Dados Funil'!A:A,'Dados Funil'!AN:AN,"")</f>
        <v/>
      </c>
      <c r="T755" s="7" t="str">
        <f t="shared" si="4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5"/>
        <v/>
      </c>
      <c r="AA755" s="4" t="str">
        <f t="shared" si="13"/>
        <v/>
      </c>
      <c r="AB755" s="4" t="str">
        <f t="array" ref="AB755">XLOOKUP(X755,'Dados Funil'!A:A,'Dados Funil'!O:O,"")</f>
        <v/>
      </c>
      <c r="AE755" s="7" t="str">
        <f t="shared" si="6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9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G756" s="4"/>
      <c r="H756" s="4"/>
      <c r="I756" s="7" t="str">
        <f t="shared" si="2"/>
        <v/>
      </c>
      <c r="J756" s="4" t="str">
        <f t="shared" si="10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1"/>
        <v/>
      </c>
      <c r="P756" s="4" t="str">
        <f t="array" ref="P756">XLOOKUP(L756,'Dados Funil'!A:A,'Dados Funil'!AM:AM,"")</f>
        <v/>
      </c>
      <c r="Q756" s="9" t="str">
        <f t="array" ref="Q756">XLOOKUP(L756,'Dados Funil'!A:A,'Dados Funil'!AN:AN,"")</f>
        <v/>
      </c>
      <c r="T756" s="7" t="str">
        <f t="shared" si="4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5"/>
        <v/>
      </c>
      <c r="AA756" s="4" t="str">
        <f t="shared" si="13"/>
        <v/>
      </c>
      <c r="AB756" s="4" t="str">
        <f t="array" ref="AB756">XLOOKUP(X756,'Dados Funil'!A:A,'Dados Funil'!O:O,"")</f>
        <v/>
      </c>
      <c r="AE756" s="7" t="str">
        <f t="shared" si="6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9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G757" s="4"/>
      <c r="H757" s="4"/>
      <c r="I757" s="7" t="str">
        <f t="shared" si="2"/>
        <v/>
      </c>
      <c r="J757" s="4" t="str">
        <f t="shared" si="10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1"/>
        <v/>
      </c>
      <c r="P757" s="4" t="str">
        <f t="array" ref="P757">XLOOKUP(L757,'Dados Funil'!A:A,'Dados Funil'!AM:AM,"")</f>
        <v/>
      </c>
      <c r="Q757" s="9" t="str">
        <f t="array" ref="Q757">XLOOKUP(L757,'Dados Funil'!A:A,'Dados Funil'!AN:AN,"")</f>
        <v/>
      </c>
      <c r="T757" s="7" t="str">
        <f t="shared" si="4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5"/>
        <v/>
      </c>
      <c r="AA757" s="4" t="str">
        <f t="shared" si="13"/>
        <v/>
      </c>
      <c r="AB757" s="4" t="str">
        <f t="array" ref="AB757">XLOOKUP(X757,'Dados Funil'!A:A,'Dados Funil'!O:O,"")</f>
        <v/>
      </c>
      <c r="AE757" s="7" t="str">
        <f t="shared" si="6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9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G758" s="4"/>
      <c r="H758" s="4"/>
      <c r="I758" s="7" t="str">
        <f t="shared" si="2"/>
        <v/>
      </c>
      <c r="J758" s="4" t="str">
        <f t="shared" si="10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1"/>
        <v/>
      </c>
      <c r="P758" s="4" t="str">
        <f t="array" ref="P758">XLOOKUP(L758,'Dados Funil'!A:A,'Dados Funil'!AM:AM,"")</f>
        <v/>
      </c>
      <c r="Q758" s="9" t="str">
        <f t="array" ref="Q758">XLOOKUP(L758,'Dados Funil'!A:A,'Dados Funil'!AN:AN,"")</f>
        <v/>
      </c>
      <c r="T758" s="7" t="str">
        <f t="shared" si="4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5"/>
        <v/>
      </c>
      <c r="AA758" s="4" t="str">
        <f t="shared" si="13"/>
        <v/>
      </c>
      <c r="AB758" s="4" t="str">
        <f t="array" ref="AB758">XLOOKUP(X758,'Dados Funil'!A:A,'Dados Funil'!O:O,"")</f>
        <v/>
      </c>
      <c r="AE758" s="7" t="str">
        <f t="shared" si="6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9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G759" s="4"/>
      <c r="H759" s="4"/>
      <c r="I759" s="7" t="str">
        <f t="shared" si="2"/>
        <v/>
      </c>
      <c r="J759" s="4" t="str">
        <f t="shared" si="10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1"/>
        <v/>
      </c>
      <c r="P759" s="4" t="str">
        <f t="array" ref="P759">XLOOKUP(L759,'Dados Funil'!A:A,'Dados Funil'!AM:AM,"")</f>
        <v/>
      </c>
      <c r="Q759" s="9" t="str">
        <f t="array" ref="Q759">XLOOKUP(L759,'Dados Funil'!A:A,'Dados Funil'!AN:AN,"")</f>
        <v/>
      </c>
      <c r="T759" s="7" t="str">
        <f t="shared" si="4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5"/>
        <v/>
      </c>
      <c r="AA759" s="4" t="str">
        <f t="shared" si="13"/>
        <v/>
      </c>
      <c r="AB759" s="4" t="str">
        <f t="array" ref="AB759">XLOOKUP(X759,'Dados Funil'!A:A,'Dados Funil'!O:O,"")</f>
        <v/>
      </c>
      <c r="AE759" s="7" t="str">
        <f t="shared" si="6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9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G760" s="4"/>
      <c r="H760" s="4"/>
      <c r="I760" s="7" t="str">
        <f t="shared" si="2"/>
        <v/>
      </c>
      <c r="J760" s="4" t="str">
        <f t="shared" si="10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1"/>
        <v/>
      </c>
      <c r="P760" s="4" t="str">
        <f t="array" ref="P760">XLOOKUP(L760,'Dados Funil'!A:A,'Dados Funil'!AM:AM,"")</f>
        <v/>
      </c>
      <c r="Q760" s="9" t="str">
        <f t="array" ref="Q760">XLOOKUP(L760,'Dados Funil'!A:A,'Dados Funil'!AN:AN,"")</f>
        <v/>
      </c>
      <c r="T760" s="7" t="str">
        <f t="shared" si="4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5"/>
        <v/>
      </c>
      <c r="AA760" s="4" t="str">
        <f t="shared" si="13"/>
        <v/>
      </c>
      <c r="AB760" s="4" t="str">
        <f t="array" ref="AB760">XLOOKUP(X760,'Dados Funil'!A:A,'Dados Funil'!O:O,"")</f>
        <v/>
      </c>
      <c r="AE760" s="7" t="str">
        <f t="shared" si="6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9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G761" s="4"/>
      <c r="H761" s="4"/>
      <c r="I761" s="7" t="str">
        <f t="shared" si="2"/>
        <v/>
      </c>
      <c r="J761" s="4" t="str">
        <f t="shared" si="10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1"/>
        <v/>
      </c>
      <c r="P761" s="4" t="str">
        <f t="array" ref="P761">XLOOKUP(L761,'Dados Funil'!A:A,'Dados Funil'!AM:AM,"")</f>
        <v/>
      </c>
      <c r="Q761" s="9" t="str">
        <f t="array" ref="Q761">XLOOKUP(L761,'Dados Funil'!A:A,'Dados Funil'!AN:AN,"")</f>
        <v/>
      </c>
      <c r="T761" s="7" t="str">
        <f t="shared" si="4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5"/>
        <v/>
      </c>
      <c r="AA761" s="4" t="str">
        <f t="shared" si="13"/>
        <v/>
      </c>
      <c r="AB761" s="4" t="str">
        <f t="array" ref="AB761">XLOOKUP(X761,'Dados Funil'!A:A,'Dados Funil'!O:O,"")</f>
        <v/>
      </c>
      <c r="AE761" s="7" t="str">
        <f t="shared" si="6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9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G762" s="4"/>
      <c r="H762" s="4"/>
      <c r="I762" s="7" t="str">
        <f t="shared" si="2"/>
        <v/>
      </c>
      <c r="J762" s="4" t="str">
        <f t="shared" si="10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1"/>
        <v/>
      </c>
      <c r="P762" s="4" t="str">
        <f t="array" ref="P762">XLOOKUP(L762,'Dados Funil'!A:A,'Dados Funil'!AM:AM,"")</f>
        <v/>
      </c>
      <c r="Q762" s="9" t="str">
        <f t="array" ref="Q762">XLOOKUP(L762,'Dados Funil'!A:A,'Dados Funil'!AN:AN,"")</f>
        <v/>
      </c>
      <c r="T762" s="7" t="str">
        <f t="shared" si="4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5"/>
        <v/>
      </c>
      <c r="AA762" s="4" t="str">
        <f t="shared" si="13"/>
        <v/>
      </c>
      <c r="AB762" s="4" t="str">
        <f t="array" ref="AB762">XLOOKUP(X762,'Dados Funil'!A:A,'Dados Funil'!O:O,"")</f>
        <v/>
      </c>
      <c r="AE762" s="7" t="str">
        <f t="shared" si="6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9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G763" s="4"/>
      <c r="H763" s="4"/>
      <c r="I763" s="7" t="str">
        <f t="shared" si="2"/>
        <v/>
      </c>
      <c r="J763" s="4" t="str">
        <f t="shared" si="10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1"/>
        <v/>
      </c>
      <c r="P763" s="4" t="str">
        <f t="array" ref="P763">XLOOKUP(L763,'Dados Funil'!A:A,'Dados Funil'!AM:AM,"")</f>
        <v/>
      </c>
      <c r="Q763" s="9" t="str">
        <f t="array" ref="Q763">XLOOKUP(L763,'Dados Funil'!A:A,'Dados Funil'!AN:AN,"")</f>
        <v/>
      </c>
      <c r="T763" s="7" t="str">
        <f t="shared" si="4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5"/>
        <v/>
      </c>
      <c r="AA763" s="4" t="str">
        <f t="shared" si="13"/>
        <v/>
      </c>
      <c r="AB763" s="4" t="str">
        <f t="array" ref="AB763">XLOOKUP(X763,'Dados Funil'!A:A,'Dados Funil'!O:O,"")</f>
        <v/>
      </c>
      <c r="AE763" s="7" t="str">
        <f t="shared" si="6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9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G764" s="4"/>
      <c r="H764" s="4"/>
      <c r="I764" s="7" t="str">
        <f t="shared" si="2"/>
        <v/>
      </c>
      <c r="J764" s="4" t="str">
        <f t="shared" si="10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1"/>
        <v/>
      </c>
      <c r="P764" s="4" t="str">
        <f t="array" ref="P764">XLOOKUP(L764,'Dados Funil'!A:A,'Dados Funil'!AM:AM,"")</f>
        <v/>
      </c>
      <c r="Q764" s="9" t="str">
        <f t="array" ref="Q764">XLOOKUP(L764,'Dados Funil'!A:A,'Dados Funil'!AN:AN,"")</f>
        <v/>
      </c>
      <c r="T764" s="7" t="str">
        <f t="shared" si="4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5"/>
        <v/>
      </c>
      <c r="AA764" s="4" t="str">
        <f t="shared" si="13"/>
        <v/>
      </c>
      <c r="AB764" s="4" t="str">
        <f t="array" ref="AB764">XLOOKUP(X764,'Dados Funil'!A:A,'Dados Funil'!O:O,"")</f>
        <v/>
      </c>
      <c r="AE764" s="7" t="str">
        <f t="shared" si="6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9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G765" s="4"/>
      <c r="H765" s="4"/>
      <c r="I765" s="7" t="str">
        <f t="shared" si="2"/>
        <v/>
      </c>
      <c r="J765" s="4" t="str">
        <f t="shared" si="10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1"/>
        <v/>
      </c>
      <c r="P765" s="4" t="str">
        <f t="array" ref="P765">XLOOKUP(L765,'Dados Funil'!A:A,'Dados Funil'!AM:AM,"")</f>
        <v/>
      </c>
      <c r="Q765" s="9" t="str">
        <f t="array" ref="Q765">XLOOKUP(L765,'Dados Funil'!A:A,'Dados Funil'!AN:AN,"")</f>
        <v/>
      </c>
      <c r="T765" s="7" t="str">
        <f t="shared" si="4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5"/>
        <v/>
      </c>
      <c r="AA765" s="4" t="str">
        <f t="shared" si="13"/>
        <v/>
      </c>
      <c r="AB765" s="4" t="str">
        <f t="array" ref="AB765">XLOOKUP(X765,'Dados Funil'!A:A,'Dados Funil'!O:O,"")</f>
        <v/>
      </c>
      <c r="AE765" s="7" t="str">
        <f t="shared" si="6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9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G766" s="4"/>
      <c r="H766" s="4"/>
      <c r="I766" s="7" t="str">
        <f t="shared" si="2"/>
        <v/>
      </c>
      <c r="J766" s="4" t="str">
        <f t="shared" si="10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1"/>
        <v/>
      </c>
      <c r="P766" s="4" t="str">
        <f t="array" ref="P766">XLOOKUP(L766,'Dados Funil'!A:A,'Dados Funil'!AM:AM,"")</f>
        <v/>
      </c>
      <c r="Q766" s="9" t="str">
        <f t="array" ref="Q766">XLOOKUP(L766,'Dados Funil'!A:A,'Dados Funil'!AN:AN,"")</f>
        <v/>
      </c>
      <c r="T766" s="7" t="str">
        <f t="shared" si="4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5"/>
        <v/>
      </c>
      <c r="AA766" s="4" t="str">
        <f t="shared" si="13"/>
        <v/>
      </c>
      <c r="AB766" s="4" t="str">
        <f t="array" ref="AB766">XLOOKUP(X766,'Dados Funil'!A:A,'Dados Funil'!O:O,"")</f>
        <v/>
      </c>
      <c r="AE766" s="7" t="str">
        <f t="shared" si="6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9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G767" s="4"/>
      <c r="H767" s="4"/>
      <c r="I767" s="7" t="str">
        <f t="shared" si="2"/>
        <v/>
      </c>
      <c r="J767" s="4" t="str">
        <f t="shared" si="10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1"/>
        <v/>
      </c>
      <c r="P767" s="4" t="str">
        <f t="array" ref="P767">XLOOKUP(L767,'Dados Funil'!A:A,'Dados Funil'!AM:AM,"")</f>
        <v/>
      </c>
      <c r="Q767" s="9" t="str">
        <f t="array" ref="Q767">XLOOKUP(L767,'Dados Funil'!A:A,'Dados Funil'!AN:AN,"")</f>
        <v/>
      </c>
      <c r="T767" s="7" t="str">
        <f t="shared" si="4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5"/>
        <v/>
      </c>
      <c r="AA767" s="4" t="str">
        <f t="shared" si="13"/>
        <v/>
      </c>
      <c r="AB767" s="4" t="str">
        <f t="array" ref="AB767">XLOOKUP(X767,'Dados Funil'!A:A,'Dados Funil'!O:O,"")</f>
        <v/>
      </c>
      <c r="AE767" s="7" t="str">
        <f t="shared" si="6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9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G768" s="4"/>
      <c r="H768" s="4"/>
      <c r="I768" s="7" t="str">
        <f t="shared" si="2"/>
        <v/>
      </c>
      <c r="J768" s="4" t="str">
        <f t="shared" si="10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1"/>
        <v/>
      </c>
      <c r="P768" s="4" t="str">
        <f t="array" ref="P768">XLOOKUP(L768,'Dados Funil'!A:A,'Dados Funil'!AM:AM,"")</f>
        <v/>
      </c>
      <c r="Q768" s="9" t="str">
        <f t="array" ref="Q768">XLOOKUP(L768,'Dados Funil'!A:A,'Dados Funil'!AN:AN,"")</f>
        <v/>
      </c>
      <c r="T768" s="7" t="str">
        <f t="shared" si="4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5"/>
        <v/>
      </c>
      <c r="AA768" s="4" t="str">
        <f t="shared" si="13"/>
        <v/>
      </c>
      <c r="AB768" s="4" t="str">
        <f t="array" ref="AB768">XLOOKUP(X768,'Dados Funil'!A:A,'Dados Funil'!O:O,"")</f>
        <v/>
      </c>
      <c r="AE768" s="7" t="str">
        <f t="shared" si="6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9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G769" s="4"/>
      <c r="H769" s="4"/>
      <c r="I769" s="7" t="str">
        <f t="shared" si="2"/>
        <v/>
      </c>
      <c r="J769" s="4" t="str">
        <f t="shared" si="10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1"/>
        <v/>
      </c>
      <c r="P769" s="4" t="str">
        <f t="array" ref="P769">XLOOKUP(L769,'Dados Funil'!A:A,'Dados Funil'!AM:AM,"")</f>
        <v/>
      </c>
      <c r="Q769" s="9" t="str">
        <f t="array" ref="Q769">XLOOKUP(L769,'Dados Funil'!A:A,'Dados Funil'!AN:AN,"")</f>
        <v/>
      </c>
      <c r="T769" s="7" t="str">
        <f t="shared" si="4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5"/>
        <v/>
      </c>
      <c r="AA769" s="4" t="str">
        <f t="shared" si="13"/>
        <v/>
      </c>
      <c r="AB769" s="4" t="str">
        <f t="array" ref="AB769">XLOOKUP(X769,'Dados Funil'!A:A,'Dados Funil'!O:O,"")</f>
        <v/>
      </c>
      <c r="AE769" s="7" t="str">
        <f t="shared" si="6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9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G770" s="4"/>
      <c r="H770" s="4"/>
      <c r="I770" s="7" t="str">
        <f t="shared" si="2"/>
        <v/>
      </c>
      <c r="J770" s="4" t="str">
        <f t="shared" si="10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1"/>
        <v/>
      </c>
      <c r="P770" s="4" t="str">
        <f t="array" ref="P770">XLOOKUP(L770,'Dados Funil'!A:A,'Dados Funil'!AM:AM,"")</f>
        <v/>
      </c>
      <c r="Q770" s="9" t="str">
        <f t="array" ref="Q770">XLOOKUP(L770,'Dados Funil'!A:A,'Dados Funil'!AN:AN,"")</f>
        <v/>
      </c>
      <c r="T770" s="7" t="str">
        <f t="shared" si="4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5"/>
        <v/>
      </c>
      <c r="AA770" s="4" t="str">
        <f t="shared" si="13"/>
        <v/>
      </c>
      <c r="AB770" s="4" t="str">
        <f t="array" ref="AB770">XLOOKUP(X770,'Dados Funil'!A:A,'Dados Funil'!O:O,"")</f>
        <v/>
      </c>
      <c r="AE770" s="7" t="str">
        <f t="shared" si="6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9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G771" s="4"/>
      <c r="H771" s="4"/>
      <c r="I771" s="7" t="str">
        <f t="shared" si="2"/>
        <v/>
      </c>
      <c r="J771" s="4" t="str">
        <f t="shared" si="10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1"/>
        <v/>
      </c>
      <c r="P771" s="4" t="str">
        <f t="array" ref="P771">XLOOKUP(L771,'Dados Funil'!A:A,'Dados Funil'!AM:AM,"")</f>
        <v/>
      </c>
      <c r="Q771" s="9" t="str">
        <f t="array" ref="Q771">XLOOKUP(L771,'Dados Funil'!A:A,'Dados Funil'!AN:AN,"")</f>
        <v/>
      </c>
      <c r="T771" s="7" t="str">
        <f t="shared" si="4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5"/>
        <v/>
      </c>
      <c r="AA771" s="4" t="str">
        <f t="shared" si="13"/>
        <v/>
      </c>
      <c r="AB771" s="4" t="str">
        <f t="array" ref="AB771">XLOOKUP(X771,'Dados Funil'!A:A,'Dados Funil'!O:O,"")</f>
        <v/>
      </c>
      <c r="AE771" s="7" t="str">
        <f t="shared" si="6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9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G772" s="4"/>
      <c r="H772" s="4"/>
      <c r="I772" s="7" t="str">
        <f t="shared" si="2"/>
        <v/>
      </c>
      <c r="J772" s="4" t="str">
        <f t="shared" si="10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1"/>
        <v/>
      </c>
      <c r="P772" s="4" t="str">
        <f t="array" ref="P772">XLOOKUP(L772,'Dados Funil'!A:A,'Dados Funil'!AM:AM,"")</f>
        <v/>
      </c>
      <c r="Q772" s="9" t="str">
        <f t="array" ref="Q772">XLOOKUP(L772,'Dados Funil'!A:A,'Dados Funil'!AN:AN,"")</f>
        <v/>
      </c>
      <c r="T772" s="7" t="str">
        <f t="shared" si="4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5"/>
        <v/>
      </c>
      <c r="AA772" s="4" t="str">
        <f t="shared" si="13"/>
        <v/>
      </c>
      <c r="AB772" s="4" t="str">
        <f t="array" ref="AB772">XLOOKUP(X772,'Dados Funil'!A:A,'Dados Funil'!O:O,"")</f>
        <v/>
      </c>
      <c r="AE772" s="7" t="str">
        <f t="shared" si="6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9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G773" s="4"/>
      <c r="H773" s="4"/>
      <c r="I773" s="7" t="str">
        <f t="shared" si="2"/>
        <v/>
      </c>
      <c r="J773" s="4" t="str">
        <f t="shared" si="10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1"/>
        <v/>
      </c>
      <c r="P773" s="4" t="str">
        <f t="array" ref="P773">XLOOKUP(L773,'Dados Funil'!A:A,'Dados Funil'!AM:AM,"")</f>
        <v/>
      </c>
      <c r="Q773" s="9" t="str">
        <f t="array" ref="Q773">XLOOKUP(L773,'Dados Funil'!A:A,'Dados Funil'!AN:AN,"")</f>
        <v/>
      </c>
      <c r="T773" s="7" t="str">
        <f t="shared" si="4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5"/>
        <v/>
      </c>
      <c r="AA773" s="4" t="str">
        <f t="shared" si="13"/>
        <v/>
      </c>
      <c r="AB773" s="4" t="str">
        <f t="array" ref="AB773">XLOOKUP(X773,'Dados Funil'!A:A,'Dados Funil'!O:O,"")</f>
        <v/>
      </c>
      <c r="AE773" s="7" t="str">
        <f t="shared" si="6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9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G774" s="4"/>
      <c r="H774" s="4"/>
      <c r="I774" s="7" t="str">
        <f t="shared" si="2"/>
        <v/>
      </c>
      <c r="J774" s="4" t="str">
        <f t="shared" si="10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1"/>
        <v/>
      </c>
      <c r="P774" s="4" t="str">
        <f t="array" ref="P774">XLOOKUP(L774,'Dados Funil'!A:A,'Dados Funil'!AM:AM,"")</f>
        <v/>
      </c>
      <c r="Q774" s="9" t="str">
        <f t="array" ref="Q774">XLOOKUP(L774,'Dados Funil'!A:A,'Dados Funil'!AN:AN,"")</f>
        <v/>
      </c>
      <c r="T774" s="7" t="str">
        <f t="shared" si="4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5"/>
        <v/>
      </c>
      <c r="AA774" s="4" t="str">
        <f t="shared" si="13"/>
        <v/>
      </c>
      <c r="AB774" s="4" t="str">
        <f t="array" ref="AB774">XLOOKUP(X774,'Dados Funil'!A:A,'Dados Funil'!O:O,"")</f>
        <v/>
      </c>
      <c r="AE774" s="7" t="str">
        <f t="shared" si="6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9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G775" s="4"/>
      <c r="H775" s="4"/>
      <c r="I775" s="7" t="str">
        <f t="shared" si="2"/>
        <v/>
      </c>
      <c r="J775" s="4" t="str">
        <f t="shared" si="10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1"/>
        <v/>
      </c>
      <c r="P775" s="4" t="str">
        <f t="array" ref="P775">XLOOKUP(L775,'Dados Funil'!A:A,'Dados Funil'!AM:AM,"")</f>
        <v/>
      </c>
      <c r="Q775" s="9" t="str">
        <f t="array" ref="Q775">XLOOKUP(L775,'Dados Funil'!A:A,'Dados Funil'!AN:AN,"")</f>
        <v/>
      </c>
      <c r="T775" s="7" t="str">
        <f t="shared" si="4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5"/>
        <v/>
      </c>
      <c r="AA775" s="4" t="str">
        <f t="shared" si="13"/>
        <v/>
      </c>
      <c r="AB775" s="4" t="str">
        <f t="array" ref="AB775">XLOOKUP(X775,'Dados Funil'!A:A,'Dados Funil'!O:O,"")</f>
        <v/>
      </c>
      <c r="AE775" s="7" t="str">
        <f t="shared" si="6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9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G776" s="4"/>
      <c r="H776" s="4"/>
      <c r="I776" s="7" t="str">
        <f t="shared" si="2"/>
        <v/>
      </c>
      <c r="J776" s="4" t="str">
        <f t="shared" si="10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1"/>
        <v/>
      </c>
      <c r="P776" s="4" t="str">
        <f t="array" ref="P776">XLOOKUP(L776,'Dados Funil'!A:A,'Dados Funil'!AM:AM,"")</f>
        <v/>
      </c>
      <c r="Q776" s="9" t="str">
        <f t="array" ref="Q776">XLOOKUP(L776,'Dados Funil'!A:A,'Dados Funil'!AN:AN,"")</f>
        <v/>
      </c>
      <c r="T776" s="7" t="str">
        <f t="shared" si="4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5"/>
        <v/>
      </c>
      <c r="AA776" s="4" t="str">
        <f t="shared" si="13"/>
        <v/>
      </c>
      <c r="AB776" s="4" t="str">
        <f t="array" ref="AB776">XLOOKUP(X776,'Dados Funil'!A:A,'Dados Funil'!O:O,"")</f>
        <v/>
      </c>
      <c r="AE776" s="7" t="str">
        <f t="shared" si="6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9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G777" s="4"/>
      <c r="H777" s="4"/>
      <c r="I777" s="7" t="str">
        <f t="shared" si="2"/>
        <v/>
      </c>
      <c r="J777" s="4" t="str">
        <f t="shared" si="10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1"/>
        <v/>
      </c>
      <c r="P777" s="4" t="str">
        <f t="array" ref="P777">XLOOKUP(L777,'Dados Funil'!A:A,'Dados Funil'!AM:AM,"")</f>
        <v/>
      </c>
      <c r="Q777" s="9" t="str">
        <f t="array" ref="Q777">XLOOKUP(L777,'Dados Funil'!A:A,'Dados Funil'!AN:AN,"")</f>
        <v/>
      </c>
      <c r="T777" s="7" t="str">
        <f t="shared" si="4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5"/>
        <v/>
      </c>
      <c r="AA777" s="4" t="str">
        <f t="shared" si="13"/>
        <v/>
      </c>
      <c r="AB777" s="4" t="str">
        <f t="array" ref="AB777">XLOOKUP(X777,'Dados Funil'!A:A,'Dados Funil'!O:O,"")</f>
        <v/>
      </c>
      <c r="AE777" s="7" t="str">
        <f t="shared" si="6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9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G778" s="4"/>
      <c r="H778" s="4"/>
      <c r="I778" s="7" t="str">
        <f t="shared" si="2"/>
        <v/>
      </c>
      <c r="J778" s="4" t="str">
        <f t="shared" si="10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1"/>
        <v/>
      </c>
      <c r="P778" s="4" t="str">
        <f t="array" ref="P778">XLOOKUP(L778,'Dados Funil'!A:A,'Dados Funil'!AM:AM,"")</f>
        <v/>
      </c>
      <c r="Q778" s="9" t="str">
        <f t="array" ref="Q778">XLOOKUP(L778,'Dados Funil'!A:A,'Dados Funil'!AN:AN,"")</f>
        <v/>
      </c>
      <c r="T778" s="7" t="str">
        <f t="shared" si="4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5"/>
        <v/>
      </c>
      <c r="AA778" s="4" t="str">
        <f t="shared" si="13"/>
        <v/>
      </c>
      <c r="AB778" s="4" t="str">
        <f t="array" ref="AB778">XLOOKUP(X778,'Dados Funil'!A:A,'Dados Funil'!O:O,"")</f>
        <v/>
      </c>
      <c r="AE778" s="7" t="str">
        <f t="shared" si="6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9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G779" s="4"/>
      <c r="H779" s="4"/>
      <c r="I779" s="7" t="str">
        <f t="shared" si="2"/>
        <v/>
      </c>
      <c r="J779" s="4" t="str">
        <f t="shared" si="10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1"/>
        <v/>
      </c>
      <c r="P779" s="4" t="str">
        <f t="array" ref="P779">XLOOKUP(L779,'Dados Funil'!A:A,'Dados Funil'!AM:AM,"")</f>
        <v/>
      </c>
      <c r="Q779" s="9" t="str">
        <f t="array" ref="Q779">XLOOKUP(L779,'Dados Funil'!A:A,'Dados Funil'!AN:AN,"")</f>
        <v/>
      </c>
      <c r="T779" s="7" t="str">
        <f t="shared" si="4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5"/>
        <v/>
      </c>
      <c r="AA779" s="4" t="str">
        <f t="shared" si="13"/>
        <v/>
      </c>
      <c r="AB779" s="4" t="str">
        <f t="array" ref="AB779">XLOOKUP(X779,'Dados Funil'!A:A,'Dados Funil'!O:O,"")</f>
        <v/>
      </c>
      <c r="AE779" s="7" t="str">
        <f t="shared" si="6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9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G780" s="4"/>
      <c r="H780" s="4"/>
      <c r="I780" s="7" t="str">
        <f t="shared" si="2"/>
        <v/>
      </c>
      <c r="J780" s="4" t="str">
        <f t="shared" si="10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1"/>
        <v/>
      </c>
      <c r="P780" s="4" t="str">
        <f t="array" ref="P780">XLOOKUP(L780,'Dados Funil'!A:A,'Dados Funil'!AM:AM,"")</f>
        <v/>
      </c>
      <c r="Q780" s="9" t="str">
        <f t="array" ref="Q780">XLOOKUP(L780,'Dados Funil'!A:A,'Dados Funil'!AN:AN,"")</f>
        <v/>
      </c>
      <c r="T780" s="7" t="str">
        <f t="shared" si="4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5"/>
        <v/>
      </c>
      <c r="AA780" s="4" t="str">
        <f t="shared" si="13"/>
        <v/>
      </c>
      <c r="AB780" s="4" t="str">
        <f t="array" ref="AB780">XLOOKUP(X780,'Dados Funil'!A:A,'Dados Funil'!O:O,"")</f>
        <v/>
      </c>
      <c r="AE780" s="7" t="str">
        <f t="shared" si="6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9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G781" s="4"/>
      <c r="H781" s="4"/>
      <c r="I781" s="7" t="str">
        <f t="shared" si="2"/>
        <v/>
      </c>
      <c r="J781" s="4" t="str">
        <f t="shared" si="10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1"/>
        <v/>
      </c>
      <c r="P781" s="4" t="str">
        <f t="array" ref="P781">XLOOKUP(L781,'Dados Funil'!A:A,'Dados Funil'!AM:AM,"")</f>
        <v/>
      </c>
      <c r="Q781" s="9" t="str">
        <f t="array" ref="Q781">XLOOKUP(L781,'Dados Funil'!A:A,'Dados Funil'!AN:AN,"")</f>
        <v/>
      </c>
      <c r="T781" s="7" t="str">
        <f t="shared" si="4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5"/>
        <v/>
      </c>
      <c r="AA781" s="4" t="str">
        <f t="shared" si="13"/>
        <v/>
      </c>
      <c r="AB781" s="4" t="str">
        <f t="array" ref="AB781">XLOOKUP(X781,'Dados Funil'!A:A,'Dados Funil'!O:O,"")</f>
        <v/>
      </c>
      <c r="AE781" s="7" t="str">
        <f t="shared" si="6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9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G782" s="4"/>
      <c r="H782" s="4"/>
      <c r="I782" s="7" t="str">
        <f t="shared" si="2"/>
        <v/>
      </c>
      <c r="J782" s="4" t="str">
        <f t="shared" si="10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1"/>
        <v/>
      </c>
      <c r="P782" s="4" t="str">
        <f t="array" ref="P782">XLOOKUP(L782,'Dados Funil'!A:A,'Dados Funil'!AM:AM,"")</f>
        <v/>
      </c>
      <c r="Q782" s="9" t="str">
        <f t="array" ref="Q782">XLOOKUP(L782,'Dados Funil'!A:A,'Dados Funil'!AN:AN,"")</f>
        <v/>
      </c>
      <c r="T782" s="7" t="str">
        <f t="shared" si="4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5"/>
        <v/>
      </c>
      <c r="AA782" s="4" t="str">
        <f t="shared" si="13"/>
        <v/>
      </c>
      <c r="AB782" s="4" t="str">
        <f t="array" ref="AB782">XLOOKUP(X782,'Dados Funil'!A:A,'Dados Funil'!O:O,"")</f>
        <v/>
      </c>
      <c r="AE782" s="7" t="str">
        <f t="shared" si="6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9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G783" s="4"/>
      <c r="H783" s="4"/>
      <c r="I783" s="7" t="str">
        <f t="shared" si="2"/>
        <v/>
      </c>
      <c r="J783" s="4" t="str">
        <f t="shared" si="10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1"/>
        <v/>
      </c>
      <c r="P783" s="4" t="str">
        <f t="array" ref="P783">XLOOKUP(L783,'Dados Funil'!A:A,'Dados Funil'!AM:AM,"")</f>
        <v/>
      </c>
      <c r="Q783" s="9" t="str">
        <f t="array" ref="Q783">XLOOKUP(L783,'Dados Funil'!A:A,'Dados Funil'!AN:AN,"")</f>
        <v/>
      </c>
      <c r="T783" s="7" t="str">
        <f t="shared" si="4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5"/>
        <v/>
      </c>
      <c r="AA783" s="4" t="str">
        <f t="shared" si="13"/>
        <v/>
      </c>
      <c r="AB783" s="4" t="str">
        <f t="array" ref="AB783">XLOOKUP(X783,'Dados Funil'!A:A,'Dados Funil'!O:O,"")</f>
        <v/>
      </c>
      <c r="AE783" s="7" t="str">
        <f t="shared" si="6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9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G784" s="4"/>
      <c r="H784" s="4"/>
      <c r="I784" s="7" t="str">
        <f t="shared" si="2"/>
        <v/>
      </c>
      <c r="J784" s="4" t="str">
        <f t="shared" si="10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1"/>
        <v/>
      </c>
      <c r="P784" s="4" t="str">
        <f t="array" ref="P784">XLOOKUP(L784,'Dados Funil'!A:A,'Dados Funil'!AM:AM,"")</f>
        <v/>
      </c>
      <c r="Q784" s="9" t="str">
        <f t="array" ref="Q784">XLOOKUP(L784,'Dados Funil'!A:A,'Dados Funil'!AN:AN,"")</f>
        <v/>
      </c>
      <c r="T784" s="7" t="str">
        <f t="shared" si="4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5"/>
        <v/>
      </c>
      <c r="AA784" s="4" t="str">
        <f t="shared" si="13"/>
        <v/>
      </c>
      <c r="AB784" s="4" t="str">
        <f t="array" ref="AB784">XLOOKUP(X784,'Dados Funil'!A:A,'Dados Funil'!O:O,"")</f>
        <v/>
      </c>
      <c r="AE784" s="7" t="str">
        <f t="shared" si="6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9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G785" s="4"/>
      <c r="H785" s="4"/>
      <c r="I785" s="7" t="str">
        <f t="shared" si="2"/>
        <v/>
      </c>
      <c r="J785" s="4" t="str">
        <f t="shared" si="10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1"/>
        <v/>
      </c>
      <c r="P785" s="4" t="str">
        <f t="array" ref="P785">XLOOKUP(L785,'Dados Funil'!A:A,'Dados Funil'!AM:AM,"")</f>
        <v/>
      </c>
      <c r="Q785" s="9" t="str">
        <f t="array" ref="Q785">XLOOKUP(L785,'Dados Funil'!A:A,'Dados Funil'!AN:AN,"")</f>
        <v/>
      </c>
      <c r="T785" s="7" t="str">
        <f t="shared" si="4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5"/>
        <v/>
      </c>
      <c r="AA785" s="4" t="str">
        <f t="shared" si="13"/>
        <v/>
      </c>
      <c r="AB785" s="4" t="str">
        <f t="array" ref="AB785">XLOOKUP(X785,'Dados Funil'!A:A,'Dados Funil'!O:O,"")</f>
        <v/>
      </c>
      <c r="AE785" s="7" t="str">
        <f t="shared" si="6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9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G786" s="4"/>
      <c r="H786" s="4"/>
      <c r="I786" s="7" t="str">
        <f t="shared" si="2"/>
        <v/>
      </c>
      <c r="J786" s="4" t="str">
        <f t="shared" si="10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1"/>
        <v/>
      </c>
      <c r="P786" s="4" t="str">
        <f t="array" ref="P786">XLOOKUP(L786,'Dados Funil'!A:A,'Dados Funil'!AM:AM,"")</f>
        <v/>
      </c>
      <c r="Q786" s="9" t="str">
        <f t="array" ref="Q786">XLOOKUP(L786,'Dados Funil'!A:A,'Dados Funil'!AN:AN,"")</f>
        <v/>
      </c>
      <c r="T786" s="7" t="str">
        <f t="shared" si="4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5"/>
        <v/>
      </c>
      <c r="AA786" s="4" t="str">
        <f t="shared" si="13"/>
        <v/>
      </c>
      <c r="AB786" s="4" t="str">
        <f t="array" ref="AB786">XLOOKUP(X786,'Dados Funil'!A:A,'Dados Funil'!O:O,"")</f>
        <v/>
      </c>
      <c r="AE786" s="7" t="str">
        <f t="shared" si="6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9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G787" s="4"/>
      <c r="H787" s="4"/>
      <c r="I787" s="7" t="str">
        <f t="shared" si="2"/>
        <v/>
      </c>
      <c r="J787" s="4" t="str">
        <f t="shared" si="10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1"/>
        <v/>
      </c>
      <c r="P787" s="4" t="str">
        <f t="array" ref="P787">XLOOKUP(L787,'Dados Funil'!A:A,'Dados Funil'!AM:AM,"")</f>
        <v/>
      </c>
      <c r="Q787" s="9" t="str">
        <f t="array" ref="Q787">XLOOKUP(L787,'Dados Funil'!A:A,'Dados Funil'!AN:AN,"")</f>
        <v/>
      </c>
      <c r="T787" s="7" t="str">
        <f t="shared" si="4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5"/>
        <v/>
      </c>
      <c r="AA787" s="4" t="str">
        <f t="shared" si="13"/>
        <v/>
      </c>
      <c r="AB787" s="4" t="str">
        <f t="array" ref="AB787">XLOOKUP(X787,'Dados Funil'!A:A,'Dados Funil'!O:O,"")</f>
        <v/>
      </c>
      <c r="AE787" s="7" t="str">
        <f t="shared" si="6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9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G788" s="4"/>
      <c r="H788" s="4"/>
      <c r="I788" s="7" t="str">
        <f t="shared" si="2"/>
        <v/>
      </c>
      <c r="J788" s="4" t="str">
        <f t="shared" si="10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1"/>
        <v/>
      </c>
      <c r="P788" s="4" t="str">
        <f t="array" ref="P788">XLOOKUP(L788,'Dados Funil'!A:A,'Dados Funil'!AM:AM,"")</f>
        <v/>
      </c>
      <c r="Q788" s="9" t="str">
        <f t="array" ref="Q788">XLOOKUP(L788,'Dados Funil'!A:A,'Dados Funil'!AN:AN,"")</f>
        <v/>
      </c>
      <c r="T788" s="7" t="str">
        <f t="shared" si="4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5"/>
        <v/>
      </c>
      <c r="AA788" s="4" t="str">
        <f t="shared" si="13"/>
        <v/>
      </c>
      <c r="AB788" s="4" t="str">
        <f t="array" ref="AB788">XLOOKUP(X788,'Dados Funil'!A:A,'Dados Funil'!O:O,"")</f>
        <v/>
      </c>
      <c r="AE788" s="7" t="str">
        <f t="shared" si="6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9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G789" s="4"/>
      <c r="H789" s="4"/>
      <c r="I789" s="7" t="str">
        <f t="shared" si="2"/>
        <v/>
      </c>
      <c r="J789" s="4" t="str">
        <f t="shared" si="10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1"/>
        <v/>
      </c>
      <c r="P789" s="4" t="str">
        <f t="array" ref="P789">XLOOKUP(L789,'Dados Funil'!A:A,'Dados Funil'!AM:AM,"")</f>
        <v/>
      </c>
      <c r="Q789" s="9" t="str">
        <f t="array" ref="Q789">XLOOKUP(L789,'Dados Funil'!A:A,'Dados Funil'!AN:AN,"")</f>
        <v/>
      </c>
      <c r="T789" s="7" t="str">
        <f t="shared" si="4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5"/>
        <v/>
      </c>
      <c r="AA789" s="4" t="str">
        <f t="shared" si="13"/>
        <v/>
      </c>
      <c r="AB789" s="4" t="str">
        <f t="array" ref="AB789">XLOOKUP(X789,'Dados Funil'!A:A,'Dados Funil'!O:O,"")</f>
        <v/>
      </c>
      <c r="AE789" s="7" t="str">
        <f t="shared" si="6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9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G790" s="4"/>
      <c r="H790" s="4"/>
      <c r="I790" s="7" t="str">
        <f t="shared" si="2"/>
        <v/>
      </c>
      <c r="J790" s="4" t="str">
        <f t="shared" si="10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1"/>
        <v/>
      </c>
      <c r="P790" s="4" t="str">
        <f t="array" ref="P790">XLOOKUP(L790,'Dados Funil'!A:A,'Dados Funil'!AM:AM,"")</f>
        <v/>
      </c>
      <c r="Q790" s="9" t="str">
        <f t="array" ref="Q790">XLOOKUP(L790,'Dados Funil'!A:A,'Dados Funil'!AN:AN,"")</f>
        <v/>
      </c>
      <c r="T790" s="7" t="str">
        <f t="shared" si="4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5"/>
        <v/>
      </c>
      <c r="AA790" s="4" t="str">
        <f t="shared" si="13"/>
        <v/>
      </c>
      <c r="AB790" s="4" t="str">
        <f t="array" ref="AB790">XLOOKUP(X790,'Dados Funil'!A:A,'Dados Funil'!O:O,"")</f>
        <v/>
      </c>
      <c r="AE790" s="7" t="str">
        <f t="shared" si="6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9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G791" s="4"/>
      <c r="H791" s="4"/>
      <c r="I791" s="7" t="str">
        <f t="shared" si="2"/>
        <v/>
      </c>
      <c r="J791" s="4" t="str">
        <f t="shared" si="10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1"/>
        <v/>
      </c>
      <c r="P791" s="4" t="str">
        <f t="array" ref="P791">XLOOKUP(L791,'Dados Funil'!A:A,'Dados Funil'!AM:AM,"")</f>
        <v/>
      </c>
      <c r="Q791" s="9" t="str">
        <f t="array" ref="Q791">XLOOKUP(L791,'Dados Funil'!A:A,'Dados Funil'!AN:AN,"")</f>
        <v/>
      </c>
      <c r="T791" s="7" t="str">
        <f t="shared" si="4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5"/>
        <v/>
      </c>
      <c r="AA791" s="4" t="str">
        <f t="shared" si="13"/>
        <v/>
      </c>
      <c r="AB791" s="4" t="str">
        <f t="array" ref="AB791">XLOOKUP(X791,'Dados Funil'!A:A,'Dados Funil'!O:O,"")</f>
        <v/>
      </c>
      <c r="AE791" s="7" t="str">
        <f t="shared" si="6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9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G792" s="4"/>
      <c r="H792" s="4"/>
      <c r="I792" s="7" t="str">
        <f t="shared" si="2"/>
        <v/>
      </c>
      <c r="J792" s="4" t="str">
        <f t="shared" si="10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1"/>
        <v/>
      </c>
      <c r="P792" s="4" t="str">
        <f t="array" ref="P792">XLOOKUP(L792,'Dados Funil'!A:A,'Dados Funil'!AM:AM,"")</f>
        <v/>
      </c>
      <c r="Q792" s="9" t="str">
        <f t="array" ref="Q792">XLOOKUP(L792,'Dados Funil'!A:A,'Dados Funil'!AN:AN,"")</f>
        <v/>
      </c>
      <c r="T792" s="7" t="str">
        <f t="shared" si="4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5"/>
        <v/>
      </c>
      <c r="AA792" s="4" t="str">
        <f t="shared" si="13"/>
        <v/>
      </c>
      <c r="AB792" s="4" t="str">
        <f t="array" ref="AB792">XLOOKUP(X792,'Dados Funil'!A:A,'Dados Funil'!O:O,"")</f>
        <v/>
      </c>
      <c r="AE792" s="7" t="str">
        <f t="shared" si="6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9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G793" s="4"/>
      <c r="H793" s="4"/>
      <c r="I793" s="7" t="str">
        <f t="shared" si="2"/>
        <v/>
      </c>
      <c r="J793" s="4" t="str">
        <f t="shared" si="10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1"/>
        <v/>
      </c>
      <c r="P793" s="4" t="str">
        <f t="array" ref="P793">XLOOKUP(L793,'Dados Funil'!A:A,'Dados Funil'!AM:AM,"")</f>
        <v/>
      </c>
      <c r="Q793" s="9" t="str">
        <f t="array" ref="Q793">XLOOKUP(L793,'Dados Funil'!A:A,'Dados Funil'!AN:AN,"")</f>
        <v/>
      </c>
      <c r="T793" s="7" t="str">
        <f t="shared" si="4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5"/>
        <v/>
      </c>
      <c r="AA793" s="4" t="str">
        <f t="shared" si="13"/>
        <v/>
      </c>
      <c r="AB793" s="4" t="str">
        <f t="array" ref="AB793">XLOOKUP(X793,'Dados Funil'!A:A,'Dados Funil'!O:O,"")</f>
        <v/>
      </c>
      <c r="AE793" s="7" t="str">
        <f t="shared" si="6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9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G794" s="4"/>
      <c r="H794" s="4"/>
      <c r="I794" s="7" t="str">
        <f t="shared" si="2"/>
        <v/>
      </c>
      <c r="J794" s="4" t="str">
        <f t="shared" si="10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1"/>
        <v/>
      </c>
      <c r="P794" s="4" t="str">
        <f t="array" ref="P794">XLOOKUP(L794,'Dados Funil'!A:A,'Dados Funil'!AM:AM,"")</f>
        <v/>
      </c>
      <c r="Q794" s="9" t="str">
        <f t="array" ref="Q794">XLOOKUP(L794,'Dados Funil'!A:A,'Dados Funil'!AN:AN,"")</f>
        <v/>
      </c>
      <c r="T794" s="7" t="str">
        <f t="shared" si="4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5"/>
        <v/>
      </c>
      <c r="AA794" s="4" t="str">
        <f t="shared" si="13"/>
        <v/>
      </c>
      <c r="AB794" s="4" t="str">
        <f t="array" ref="AB794">XLOOKUP(X794,'Dados Funil'!A:A,'Dados Funil'!O:O,"")</f>
        <v/>
      </c>
      <c r="AE794" s="7" t="str">
        <f t="shared" si="6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9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G795" s="4"/>
      <c r="H795" s="4"/>
      <c r="I795" s="7" t="str">
        <f t="shared" si="2"/>
        <v/>
      </c>
      <c r="J795" s="4" t="str">
        <f t="shared" si="10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1"/>
        <v/>
      </c>
      <c r="P795" s="4" t="str">
        <f t="array" ref="P795">XLOOKUP(L795,'Dados Funil'!A:A,'Dados Funil'!AM:AM,"")</f>
        <v/>
      </c>
      <c r="Q795" s="9" t="str">
        <f t="array" ref="Q795">XLOOKUP(L795,'Dados Funil'!A:A,'Dados Funil'!AN:AN,"")</f>
        <v/>
      </c>
      <c r="T795" s="7" t="str">
        <f t="shared" si="4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5"/>
        <v/>
      </c>
      <c r="AA795" s="4" t="str">
        <f t="shared" si="13"/>
        <v/>
      </c>
      <c r="AB795" s="4" t="str">
        <f t="array" ref="AB795">XLOOKUP(X795,'Dados Funil'!A:A,'Dados Funil'!O:O,"")</f>
        <v/>
      </c>
      <c r="AE795" s="7" t="str">
        <f t="shared" si="6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9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G796" s="4"/>
      <c r="H796" s="4"/>
      <c r="I796" s="7" t="str">
        <f t="shared" si="2"/>
        <v/>
      </c>
      <c r="J796" s="4" t="str">
        <f t="shared" si="10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1"/>
        <v/>
      </c>
      <c r="P796" s="4" t="str">
        <f t="array" ref="P796">XLOOKUP(L796,'Dados Funil'!A:A,'Dados Funil'!AM:AM,"")</f>
        <v/>
      </c>
      <c r="Q796" s="9" t="str">
        <f t="array" ref="Q796">XLOOKUP(L796,'Dados Funil'!A:A,'Dados Funil'!AN:AN,"")</f>
        <v/>
      </c>
      <c r="T796" s="7" t="str">
        <f t="shared" si="4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5"/>
        <v/>
      </c>
      <c r="AA796" s="4" t="str">
        <f t="shared" si="13"/>
        <v/>
      </c>
      <c r="AB796" s="4" t="str">
        <f t="array" ref="AB796">XLOOKUP(X796,'Dados Funil'!A:A,'Dados Funil'!O:O,"")</f>
        <v/>
      </c>
      <c r="AE796" s="7" t="str">
        <f t="shared" si="6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9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G797" s="4"/>
      <c r="H797" s="4"/>
      <c r="I797" s="7" t="str">
        <f t="shared" si="2"/>
        <v/>
      </c>
      <c r="J797" s="4" t="str">
        <f t="shared" si="10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1"/>
        <v/>
      </c>
      <c r="P797" s="4" t="str">
        <f t="array" ref="P797">XLOOKUP(L797,'Dados Funil'!A:A,'Dados Funil'!AM:AM,"")</f>
        <v/>
      </c>
      <c r="Q797" s="9" t="str">
        <f t="array" ref="Q797">XLOOKUP(L797,'Dados Funil'!A:A,'Dados Funil'!AN:AN,"")</f>
        <v/>
      </c>
      <c r="T797" s="7" t="str">
        <f t="shared" si="4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5"/>
        <v/>
      </c>
      <c r="AA797" s="4" t="str">
        <f t="shared" si="13"/>
        <v/>
      </c>
      <c r="AB797" s="4" t="str">
        <f t="array" ref="AB797">XLOOKUP(X797,'Dados Funil'!A:A,'Dados Funil'!O:O,"")</f>
        <v/>
      </c>
      <c r="AE797" s="7" t="str">
        <f t="shared" si="6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9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G798" s="4"/>
      <c r="H798" s="4"/>
      <c r="I798" s="7" t="str">
        <f t="shared" si="2"/>
        <v/>
      </c>
      <c r="J798" s="4" t="str">
        <f t="shared" si="10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1"/>
        <v/>
      </c>
      <c r="P798" s="4" t="str">
        <f t="array" ref="P798">XLOOKUP(L798,'Dados Funil'!A:A,'Dados Funil'!AM:AM,"")</f>
        <v/>
      </c>
      <c r="Q798" s="9" t="str">
        <f t="array" ref="Q798">XLOOKUP(L798,'Dados Funil'!A:A,'Dados Funil'!AN:AN,"")</f>
        <v/>
      </c>
      <c r="T798" s="7" t="str">
        <f t="shared" si="4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5"/>
        <v/>
      </c>
      <c r="AA798" s="4" t="str">
        <f t="shared" si="13"/>
        <v/>
      </c>
      <c r="AB798" s="4" t="str">
        <f t="array" ref="AB798">XLOOKUP(X798,'Dados Funil'!A:A,'Dados Funil'!O:O,"")</f>
        <v/>
      </c>
      <c r="AE798" s="7" t="str">
        <f t="shared" si="6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9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G799" s="4"/>
      <c r="H799" s="4"/>
      <c r="I799" s="7" t="str">
        <f t="shared" si="2"/>
        <v/>
      </c>
      <c r="J799" s="4" t="str">
        <f t="shared" si="10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1"/>
        <v/>
      </c>
      <c r="P799" s="4" t="str">
        <f t="array" ref="P799">XLOOKUP(L799,'Dados Funil'!A:A,'Dados Funil'!AM:AM,"")</f>
        <v/>
      </c>
      <c r="Q799" s="9" t="str">
        <f t="array" ref="Q799">XLOOKUP(L799,'Dados Funil'!A:A,'Dados Funil'!AN:AN,"")</f>
        <v/>
      </c>
      <c r="T799" s="7" t="str">
        <f t="shared" si="4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5"/>
        <v/>
      </c>
      <c r="AA799" s="4" t="str">
        <f t="shared" si="13"/>
        <v/>
      </c>
      <c r="AB799" s="4" t="str">
        <f t="array" ref="AB799">XLOOKUP(X799,'Dados Funil'!A:A,'Dados Funil'!O:O,"")</f>
        <v/>
      </c>
      <c r="AE799" s="7" t="str">
        <f t="shared" si="6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9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G800" s="4"/>
      <c r="H800" s="4"/>
      <c r="I800" s="7" t="str">
        <f t="shared" si="2"/>
        <v/>
      </c>
      <c r="J800" s="4" t="str">
        <f t="shared" si="10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1"/>
        <v/>
      </c>
      <c r="P800" s="4" t="str">
        <f t="array" ref="P800">XLOOKUP(L800,'Dados Funil'!A:A,'Dados Funil'!AM:AM,"")</f>
        <v/>
      </c>
      <c r="Q800" s="9" t="str">
        <f t="array" ref="Q800">XLOOKUP(L800,'Dados Funil'!A:A,'Dados Funil'!AN:AN,"")</f>
        <v/>
      </c>
      <c r="T800" s="7" t="str">
        <f t="shared" si="4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5"/>
        <v/>
      </c>
      <c r="AA800" s="4" t="str">
        <f t="shared" si="13"/>
        <v/>
      </c>
      <c r="AB800" s="4" t="str">
        <f t="array" ref="AB800">XLOOKUP(X800,'Dados Funil'!A:A,'Dados Funil'!O:O,"")</f>
        <v/>
      </c>
      <c r="AE800" s="7" t="str">
        <f t="shared" si="6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9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G801" s="4"/>
      <c r="H801" s="4"/>
      <c r="I801" s="7" t="str">
        <f t="shared" si="2"/>
        <v/>
      </c>
      <c r="J801" s="4" t="str">
        <f t="shared" si="10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1"/>
        <v/>
      </c>
      <c r="P801" s="4" t="str">
        <f t="array" ref="P801">XLOOKUP(L801,'Dados Funil'!A:A,'Dados Funil'!AM:AM,"")</f>
        <v/>
      </c>
      <c r="Q801" s="9" t="str">
        <f t="array" ref="Q801">XLOOKUP(L801,'Dados Funil'!A:A,'Dados Funil'!AN:AN,"")</f>
        <v/>
      </c>
      <c r="T801" s="7" t="str">
        <f t="shared" si="4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5"/>
        <v/>
      </c>
      <c r="AA801" s="4" t="str">
        <f t="shared" si="13"/>
        <v/>
      </c>
      <c r="AB801" s="4" t="str">
        <f t="array" ref="AB801">XLOOKUP(X801,'Dados Funil'!A:A,'Dados Funil'!O:O,"")</f>
        <v/>
      </c>
      <c r="AE801" s="7" t="str">
        <f t="shared" si="6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9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G802" s="4"/>
      <c r="H802" s="4"/>
      <c r="I802" s="7" t="str">
        <f t="shared" si="2"/>
        <v/>
      </c>
      <c r="J802" s="4" t="str">
        <f t="shared" si="10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1"/>
        <v/>
      </c>
      <c r="P802" s="4" t="str">
        <f t="array" ref="P802">XLOOKUP(L802,'Dados Funil'!A:A,'Dados Funil'!AM:AM,"")</f>
        <v/>
      </c>
      <c r="Q802" s="9" t="str">
        <f t="array" ref="Q802">XLOOKUP(L802,'Dados Funil'!A:A,'Dados Funil'!AN:AN,"")</f>
        <v/>
      </c>
      <c r="T802" s="7" t="str">
        <f t="shared" si="4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5"/>
        <v/>
      </c>
      <c r="AA802" s="4" t="str">
        <f t="shared" si="13"/>
        <v/>
      </c>
      <c r="AB802" s="4" t="str">
        <f t="array" ref="AB802">XLOOKUP(X802,'Dados Funil'!A:A,'Dados Funil'!O:O,"")</f>
        <v/>
      </c>
      <c r="AE802" s="7" t="str">
        <f t="shared" si="6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9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G803" s="4"/>
      <c r="H803" s="4"/>
      <c r="I803" s="7" t="str">
        <f t="shared" si="2"/>
        <v/>
      </c>
      <c r="J803" s="4" t="str">
        <f t="shared" si="10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1"/>
        <v/>
      </c>
      <c r="P803" s="4" t="str">
        <f t="array" ref="P803">XLOOKUP(L803,'Dados Funil'!A:A,'Dados Funil'!AM:AM,"")</f>
        <v/>
      </c>
      <c r="Q803" s="9" t="str">
        <f t="array" ref="Q803">XLOOKUP(L803,'Dados Funil'!A:A,'Dados Funil'!AN:AN,"")</f>
        <v/>
      </c>
      <c r="T803" s="7" t="str">
        <f t="shared" si="4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5"/>
        <v/>
      </c>
      <c r="AA803" s="4" t="str">
        <f t="shared" si="13"/>
        <v/>
      </c>
      <c r="AB803" s="4" t="str">
        <f t="array" ref="AB803">XLOOKUP(X803,'Dados Funil'!A:A,'Dados Funil'!O:O,"")</f>
        <v/>
      </c>
      <c r="AE803" s="7" t="str">
        <f t="shared" si="6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9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G804" s="4"/>
      <c r="H804" s="4"/>
      <c r="I804" s="7" t="str">
        <f t="shared" si="2"/>
        <v/>
      </c>
      <c r="J804" s="4" t="str">
        <f t="shared" si="10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1"/>
        <v/>
      </c>
      <c r="P804" s="4" t="str">
        <f t="array" ref="P804">XLOOKUP(L804,'Dados Funil'!A:A,'Dados Funil'!AM:AM,"")</f>
        <v/>
      </c>
      <c r="Q804" s="9" t="str">
        <f t="array" ref="Q804">XLOOKUP(L804,'Dados Funil'!A:A,'Dados Funil'!AN:AN,"")</f>
        <v/>
      </c>
      <c r="T804" s="7" t="str">
        <f t="shared" si="4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5"/>
        <v/>
      </c>
      <c r="AA804" s="4" t="str">
        <f t="shared" si="13"/>
        <v/>
      </c>
      <c r="AB804" s="4" t="str">
        <f t="array" ref="AB804">XLOOKUP(X804,'Dados Funil'!A:A,'Dados Funil'!O:O,"")</f>
        <v/>
      </c>
      <c r="AE804" s="7" t="str">
        <f t="shared" si="6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9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G805" s="4"/>
      <c r="H805" s="4"/>
      <c r="I805" s="7" t="str">
        <f t="shared" si="2"/>
        <v/>
      </c>
      <c r="J805" s="4" t="str">
        <f t="shared" si="10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1"/>
        <v/>
      </c>
      <c r="P805" s="4" t="str">
        <f t="array" ref="P805">XLOOKUP(L805,'Dados Funil'!A:A,'Dados Funil'!AM:AM,"")</f>
        <v/>
      </c>
      <c r="Q805" s="9" t="str">
        <f t="array" ref="Q805">XLOOKUP(L805,'Dados Funil'!A:A,'Dados Funil'!AN:AN,"")</f>
        <v/>
      </c>
      <c r="T805" s="7" t="str">
        <f t="shared" si="4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5"/>
        <v/>
      </c>
      <c r="AA805" s="4" t="str">
        <f t="shared" si="13"/>
        <v/>
      </c>
      <c r="AB805" s="4" t="str">
        <f t="array" ref="AB805">XLOOKUP(X805,'Dados Funil'!A:A,'Dados Funil'!O:O,"")</f>
        <v/>
      </c>
      <c r="AE805" s="7" t="str">
        <f t="shared" si="6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9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G806" s="4"/>
      <c r="H806" s="4"/>
      <c r="I806" s="7" t="str">
        <f t="shared" si="2"/>
        <v/>
      </c>
      <c r="J806" s="4" t="str">
        <f t="shared" si="10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1"/>
        <v/>
      </c>
      <c r="P806" s="4" t="str">
        <f t="array" ref="P806">XLOOKUP(L806,'Dados Funil'!A:A,'Dados Funil'!AM:AM,"")</f>
        <v/>
      </c>
      <c r="Q806" s="9" t="str">
        <f t="array" ref="Q806">XLOOKUP(L806,'Dados Funil'!A:A,'Dados Funil'!AN:AN,"")</f>
        <v/>
      </c>
      <c r="T806" s="7" t="str">
        <f t="shared" si="4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5"/>
        <v/>
      </c>
      <c r="AA806" s="4" t="str">
        <f t="shared" si="13"/>
        <v/>
      </c>
      <c r="AB806" s="4" t="str">
        <f t="array" ref="AB806">XLOOKUP(X806,'Dados Funil'!A:A,'Dados Funil'!O:O,"")</f>
        <v/>
      </c>
      <c r="AE806" s="7" t="str">
        <f t="shared" si="6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9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G807" s="4"/>
      <c r="H807" s="4"/>
      <c r="I807" s="7" t="str">
        <f t="shared" si="2"/>
        <v/>
      </c>
      <c r="J807" s="4" t="str">
        <f t="shared" si="10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1"/>
        <v/>
      </c>
      <c r="P807" s="4" t="str">
        <f t="array" ref="P807">XLOOKUP(L807,'Dados Funil'!A:A,'Dados Funil'!AM:AM,"")</f>
        <v/>
      </c>
      <c r="Q807" s="9" t="str">
        <f t="array" ref="Q807">XLOOKUP(L807,'Dados Funil'!A:A,'Dados Funil'!AN:AN,"")</f>
        <v/>
      </c>
      <c r="T807" s="7" t="str">
        <f t="shared" si="4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5"/>
        <v/>
      </c>
      <c r="AA807" s="4" t="str">
        <f t="shared" si="13"/>
        <v/>
      </c>
      <c r="AB807" s="4" t="str">
        <f t="array" ref="AB807">XLOOKUP(X807,'Dados Funil'!A:A,'Dados Funil'!O:O,"")</f>
        <v/>
      </c>
      <c r="AE807" s="7" t="str">
        <f t="shared" si="6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9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G808" s="4"/>
      <c r="H808" s="4"/>
      <c r="I808" s="7" t="str">
        <f t="shared" si="2"/>
        <v/>
      </c>
      <c r="J808" s="4" t="str">
        <f t="shared" si="10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1"/>
        <v/>
      </c>
      <c r="P808" s="4" t="str">
        <f t="array" ref="P808">XLOOKUP(L808,'Dados Funil'!A:A,'Dados Funil'!AM:AM,"")</f>
        <v/>
      </c>
      <c r="Q808" s="9" t="str">
        <f t="array" ref="Q808">XLOOKUP(L808,'Dados Funil'!A:A,'Dados Funil'!AN:AN,"")</f>
        <v/>
      </c>
      <c r="T808" s="7" t="str">
        <f t="shared" si="4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5"/>
        <v/>
      </c>
      <c r="AA808" s="4" t="str">
        <f t="shared" si="13"/>
        <v/>
      </c>
      <c r="AB808" s="4" t="str">
        <f t="array" ref="AB808">XLOOKUP(X808,'Dados Funil'!A:A,'Dados Funil'!O:O,"")</f>
        <v/>
      </c>
      <c r="AE808" s="7" t="str">
        <f t="shared" si="6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9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G809" s="4"/>
      <c r="H809" s="4"/>
      <c r="I809" s="7" t="str">
        <f t="shared" si="2"/>
        <v/>
      </c>
      <c r="J809" s="4" t="str">
        <f t="shared" si="10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1"/>
        <v/>
      </c>
      <c r="P809" s="4" t="str">
        <f t="array" ref="P809">XLOOKUP(L809,'Dados Funil'!A:A,'Dados Funil'!AM:AM,"")</f>
        <v/>
      </c>
      <c r="Q809" s="9" t="str">
        <f t="array" ref="Q809">XLOOKUP(L809,'Dados Funil'!A:A,'Dados Funil'!AN:AN,"")</f>
        <v/>
      </c>
      <c r="T809" s="7" t="str">
        <f t="shared" si="4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5"/>
        <v/>
      </c>
      <c r="AA809" s="4" t="str">
        <f t="shared" si="13"/>
        <v/>
      </c>
      <c r="AB809" s="4" t="str">
        <f t="array" ref="AB809">XLOOKUP(X809,'Dados Funil'!A:A,'Dados Funil'!O:O,"")</f>
        <v/>
      </c>
      <c r="AE809" s="7" t="str">
        <f t="shared" si="6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9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G810" s="4"/>
      <c r="H810" s="4"/>
      <c r="I810" s="7" t="str">
        <f t="shared" si="2"/>
        <v/>
      </c>
      <c r="J810" s="4" t="str">
        <f t="shared" si="10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1"/>
        <v/>
      </c>
      <c r="P810" s="4" t="str">
        <f t="array" ref="P810">XLOOKUP(L810,'Dados Funil'!A:A,'Dados Funil'!AM:AM,"")</f>
        <v/>
      </c>
      <c r="Q810" s="9" t="str">
        <f t="array" ref="Q810">XLOOKUP(L810,'Dados Funil'!A:A,'Dados Funil'!AN:AN,"")</f>
        <v/>
      </c>
      <c r="T810" s="7" t="str">
        <f t="shared" si="4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5"/>
        <v/>
      </c>
      <c r="AA810" s="4" t="str">
        <f t="shared" si="13"/>
        <v/>
      </c>
      <c r="AB810" s="4" t="str">
        <f t="array" ref="AB810">XLOOKUP(X810,'Dados Funil'!A:A,'Dados Funil'!O:O,"")</f>
        <v/>
      </c>
      <c r="AE810" s="7" t="str">
        <f t="shared" si="6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9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G811" s="4"/>
      <c r="H811" s="4"/>
      <c r="I811" s="7" t="str">
        <f t="shared" si="2"/>
        <v/>
      </c>
      <c r="J811" s="4" t="str">
        <f t="shared" si="10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1"/>
        <v/>
      </c>
      <c r="P811" s="4" t="str">
        <f t="array" ref="P811">XLOOKUP(L811,'Dados Funil'!A:A,'Dados Funil'!AM:AM,"")</f>
        <v/>
      </c>
      <c r="Q811" s="9" t="str">
        <f t="array" ref="Q811">XLOOKUP(L811,'Dados Funil'!A:A,'Dados Funil'!AN:AN,"")</f>
        <v/>
      </c>
      <c r="T811" s="7" t="str">
        <f t="shared" si="4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5"/>
        <v/>
      </c>
      <c r="AA811" s="4" t="str">
        <f t="shared" si="13"/>
        <v/>
      </c>
      <c r="AB811" s="4" t="str">
        <f t="array" ref="AB811">XLOOKUP(X811,'Dados Funil'!A:A,'Dados Funil'!O:O,"")</f>
        <v/>
      </c>
      <c r="AE811" s="7" t="str">
        <f t="shared" si="6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9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G812" s="4"/>
      <c r="H812" s="4"/>
      <c r="I812" s="7" t="str">
        <f t="shared" si="2"/>
        <v/>
      </c>
      <c r="J812" s="4" t="str">
        <f t="shared" si="10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1"/>
        <v/>
      </c>
      <c r="P812" s="4" t="str">
        <f t="array" ref="P812">XLOOKUP(L812,'Dados Funil'!A:A,'Dados Funil'!AM:AM,"")</f>
        <v/>
      </c>
      <c r="Q812" s="9" t="str">
        <f t="array" ref="Q812">XLOOKUP(L812,'Dados Funil'!A:A,'Dados Funil'!AN:AN,"")</f>
        <v/>
      </c>
      <c r="T812" s="7" t="str">
        <f t="shared" si="4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5"/>
        <v/>
      </c>
      <c r="AA812" s="4" t="str">
        <f t="shared" si="13"/>
        <v/>
      </c>
      <c r="AB812" s="4" t="str">
        <f t="array" ref="AB812">XLOOKUP(X812,'Dados Funil'!A:A,'Dados Funil'!O:O,"")</f>
        <v/>
      </c>
      <c r="AE812" s="7" t="str">
        <f t="shared" si="6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9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G813" s="4"/>
      <c r="H813" s="4"/>
      <c r="I813" s="7" t="str">
        <f t="shared" si="2"/>
        <v/>
      </c>
      <c r="J813" s="4" t="str">
        <f t="shared" si="10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1"/>
        <v/>
      </c>
      <c r="P813" s="4" t="str">
        <f t="array" ref="P813">XLOOKUP(L813,'Dados Funil'!A:A,'Dados Funil'!AM:AM,"")</f>
        <v/>
      </c>
      <c r="Q813" s="9" t="str">
        <f t="array" ref="Q813">XLOOKUP(L813,'Dados Funil'!A:A,'Dados Funil'!AN:AN,"")</f>
        <v/>
      </c>
      <c r="T813" s="7" t="str">
        <f t="shared" si="4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5"/>
        <v/>
      </c>
      <c r="AA813" s="4" t="str">
        <f t="shared" si="13"/>
        <v/>
      </c>
      <c r="AB813" s="4" t="str">
        <f t="array" ref="AB813">XLOOKUP(X813,'Dados Funil'!A:A,'Dados Funil'!O:O,"")</f>
        <v/>
      </c>
      <c r="AE813" s="7" t="str">
        <f t="shared" si="6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9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G814" s="4"/>
      <c r="H814" s="4"/>
      <c r="I814" s="7" t="str">
        <f t="shared" si="2"/>
        <v/>
      </c>
      <c r="J814" s="4" t="str">
        <f t="shared" si="10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1"/>
        <v/>
      </c>
      <c r="P814" s="4" t="str">
        <f t="array" ref="P814">XLOOKUP(L814,'Dados Funil'!A:A,'Dados Funil'!AM:AM,"")</f>
        <v/>
      </c>
      <c r="Q814" s="9" t="str">
        <f t="array" ref="Q814">XLOOKUP(L814,'Dados Funil'!A:A,'Dados Funil'!AN:AN,"")</f>
        <v/>
      </c>
      <c r="T814" s="7" t="str">
        <f t="shared" si="4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5"/>
        <v/>
      </c>
      <c r="AA814" s="4" t="str">
        <f t="shared" si="13"/>
        <v/>
      </c>
      <c r="AB814" s="4" t="str">
        <f t="array" ref="AB814">XLOOKUP(X814,'Dados Funil'!A:A,'Dados Funil'!O:O,"")</f>
        <v/>
      </c>
      <c r="AE814" s="7" t="str">
        <f t="shared" si="6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9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G815" s="4"/>
      <c r="H815" s="4"/>
      <c r="I815" s="7" t="str">
        <f t="shared" si="2"/>
        <v/>
      </c>
      <c r="J815" s="4" t="str">
        <f t="shared" si="10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1"/>
        <v/>
      </c>
      <c r="P815" s="4" t="str">
        <f t="array" ref="P815">XLOOKUP(L815,'Dados Funil'!A:A,'Dados Funil'!AM:AM,"")</f>
        <v/>
      </c>
      <c r="Q815" s="9" t="str">
        <f t="array" ref="Q815">XLOOKUP(L815,'Dados Funil'!A:A,'Dados Funil'!AN:AN,"")</f>
        <v/>
      </c>
      <c r="T815" s="7" t="str">
        <f t="shared" si="4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5"/>
        <v/>
      </c>
      <c r="AA815" s="4" t="str">
        <f t="shared" si="13"/>
        <v/>
      </c>
      <c r="AB815" s="4" t="str">
        <f t="array" ref="AB815">XLOOKUP(X815,'Dados Funil'!A:A,'Dados Funil'!O:O,"")</f>
        <v/>
      </c>
      <c r="AE815" s="7" t="str">
        <f t="shared" si="6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9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G816" s="4"/>
      <c r="H816" s="4"/>
      <c r="I816" s="7" t="str">
        <f t="shared" si="2"/>
        <v/>
      </c>
      <c r="J816" s="4" t="str">
        <f t="shared" si="10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1"/>
        <v/>
      </c>
      <c r="P816" s="4" t="str">
        <f t="array" ref="P816">XLOOKUP(L816,'Dados Funil'!A:A,'Dados Funil'!AM:AM,"")</f>
        <v/>
      </c>
      <c r="Q816" s="9" t="str">
        <f t="array" ref="Q816">XLOOKUP(L816,'Dados Funil'!A:A,'Dados Funil'!AN:AN,"")</f>
        <v/>
      </c>
      <c r="T816" s="7" t="str">
        <f t="shared" si="4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5"/>
        <v/>
      </c>
      <c r="AA816" s="4" t="str">
        <f t="shared" si="13"/>
        <v/>
      </c>
      <c r="AB816" s="4" t="str">
        <f t="array" ref="AB816">XLOOKUP(X816,'Dados Funil'!A:A,'Dados Funil'!O:O,"")</f>
        <v/>
      </c>
      <c r="AE816" s="7" t="str">
        <f t="shared" si="6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9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G817" s="4"/>
      <c r="H817" s="4"/>
      <c r="I817" s="7" t="str">
        <f t="shared" si="2"/>
        <v/>
      </c>
      <c r="J817" s="4" t="str">
        <f t="shared" si="10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1"/>
        <v/>
      </c>
      <c r="P817" s="4" t="str">
        <f t="array" ref="P817">XLOOKUP(L817,'Dados Funil'!A:A,'Dados Funil'!AM:AM,"")</f>
        <v/>
      </c>
      <c r="Q817" s="9" t="str">
        <f t="array" ref="Q817">XLOOKUP(L817,'Dados Funil'!A:A,'Dados Funil'!AN:AN,"")</f>
        <v/>
      </c>
      <c r="T817" s="7" t="str">
        <f t="shared" si="4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5"/>
        <v/>
      </c>
      <c r="AA817" s="4" t="str">
        <f t="shared" si="13"/>
        <v/>
      </c>
      <c r="AB817" s="4" t="str">
        <f t="array" ref="AB817">XLOOKUP(X817,'Dados Funil'!A:A,'Dados Funil'!O:O,"")</f>
        <v/>
      </c>
      <c r="AE817" s="7" t="str">
        <f t="shared" si="6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9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G818" s="4"/>
      <c r="H818" s="4"/>
      <c r="I818" s="7" t="str">
        <f t="shared" si="2"/>
        <v/>
      </c>
      <c r="J818" s="4" t="str">
        <f t="shared" si="10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1"/>
        <v/>
      </c>
      <c r="P818" s="4" t="str">
        <f t="array" ref="P818">XLOOKUP(L818,'Dados Funil'!A:A,'Dados Funil'!AM:AM,"")</f>
        <v/>
      </c>
      <c r="Q818" s="9" t="str">
        <f t="array" ref="Q818">XLOOKUP(L818,'Dados Funil'!A:A,'Dados Funil'!AN:AN,"")</f>
        <v/>
      </c>
      <c r="T818" s="7" t="str">
        <f t="shared" si="4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5"/>
        <v/>
      </c>
      <c r="AA818" s="4" t="str">
        <f t="shared" si="13"/>
        <v/>
      </c>
      <c r="AB818" s="4" t="str">
        <f t="array" ref="AB818">XLOOKUP(X818,'Dados Funil'!A:A,'Dados Funil'!O:O,"")</f>
        <v/>
      </c>
      <c r="AE818" s="7" t="str">
        <f t="shared" si="6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9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G819" s="4"/>
      <c r="H819" s="4"/>
      <c r="I819" s="7" t="str">
        <f t="shared" si="2"/>
        <v/>
      </c>
      <c r="J819" s="4" t="str">
        <f t="shared" si="10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1"/>
        <v/>
      </c>
      <c r="P819" s="4" t="str">
        <f t="array" ref="P819">XLOOKUP(L819,'Dados Funil'!A:A,'Dados Funil'!AM:AM,"")</f>
        <v/>
      </c>
      <c r="Q819" s="9" t="str">
        <f t="array" ref="Q819">XLOOKUP(L819,'Dados Funil'!A:A,'Dados Funil'!AN:AN,"")</f>
        <v/>
      </c>
      <c r="T819" s="7" t="str">
        <f t="shared" si="4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5"/>
        <v/>
      </c>
      <c r="AA819" s="4" t="str">
        <f t="shared" si="13"/>
        <v/>
      </c>
      <c r="AB819" s="4" t="str">
        <f t="array" ref="AB819">XLOOKUP(X819,'Dados Funil'!A:A,'Dados Funil'!O:O,"")</f>
        <v/>
      </c>
      <c r="AE819" s="7" t="str">
        <f t="shared" si="6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9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G820" s="4"/>
      <c r="H820" s="4"/>
      <c r="I820" s="7" t="str">
        <f t="shared" si="2"/>
        <v/>
      </c>
      <c r="J820" s="4" t="str">
        <f t="shared" si="10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1"/>
        <v/>
      </c>
      <c r="P820" s="4" t="str">
        <f t="array" ref="P820">XLOOKUP(L820,'Dados Funil'!A:A,'Dados Funil'!AM:AM,"")</f>
        <v/>
      </c>
      <c r="Q820" s="9" t="str">
        <f t="array" ref="Q820">XLOOKUP(L820,'Dados Funil'!A:A,'Dados Funil'!AN:AN,"")</f>
        <v/>
      </c>
      <c r="T820" s="7" t="str">
        <f t="shared" si="4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5"/>
        <v/>
      </c>
      <c r="AA820" s="4" t="str">
        <f t="shared" si="13"/>
        <v/>
      </c>
      <c r="AB820" s="4" t="str">
        <f t="array" ref="AB820">XLOOKUP(X820,'Dados Funil'!A:A,'Dados Funil'!O:O,"")</f>
        <v/>
      </c>
      <c r="AE820" s="7" t="str">
        <f t="shared" si="6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9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G821" s="4"/>
      <c r="H821" s="4"/>
      <c r="I821" s="7" t="str">
        <f t="shared" si="2"/>
        <v/>
      </c>
      <c r="J821" s="4" t="str">
        <f t="shared" si="10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1"/>
        <v/>
      </c>
      <c r="P821" s="4" t="str">
        <f t="array" ref="P821">XLOOKUP(L821,'Dados Funil'!A:A,'Dados Funil'!AM:AM,"")</f>
        <v/>
      </c>
      <c r="Q821" s="9" t="str">
        <f t="array" ref="Q821">XLOOKUP(L821,'Dados Funil'!A:A,'Dados Funil'!AN:AN,"")</f>
        <v/>
      </c>
      <c r="T821" s="7" t="str">
        <f t="shared" si="4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5"/>
        <v/>
      </c>
      <c r="AA821" s="4" t="str">
        <f t="shared" si="13"/>
        <v/>
      </c>
      <c r="AB821" s="4" t="str">
        <f t="array" ref="AB821">XLOOKUP(X821,'Dados Funil'!A:A,'Dados Funil'!O:O,"")</f>
        <v/>
      </c>
      <c r="AE821" s="7" t="str">
        <f t="shared" si="6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9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G822" s="4"/>
      <c r="H822" s="4"/>
      <c r="I822" s="7" t="str">
        <f t="shared" si="2"/>
        <v/>
      </c>
      <c r="J822" s="4" t="str">
        <f t="shared" si="10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1"/>
        <v/>
      </c>
      <c r="P822" s="4" t="str">
        <f t="array" ref="P822">XLOOKUP(L822,'Dados Funil'!A:A,'Dados Funil'!AM:AM,"")</f>
        <v/>
      </c>
      <c r="Q822" s="9" t="str">
        <f t="array" ref="Q822">XLOOKUP(L822,'Dados Funil'!A:A,'Dados Funil'!AN:AN,"")</f>
        <v/>
      </c>
      <c r="T822" s="7" t="str">
        <f t="shared" si="4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5"/>
        <v/>
      </c>
      <c r="AA822" s="4" t="str">
        <f t="shared" si="13"/>
        <v/>
      </c>
      <c r="AB822" s="4" t="str">
        <f t="array" ref="AB822">XLOOKUP(X822,'Dados Funil'!A:A,'Dados Funil'!O:O,"")</f>
        <v/>
      </c>
      <c r="AE822" s="7" t="str">
        <f t="shared" si="6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9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G823" s="4"/>
      <c r="H823" s="4"/>
      <c r="I823" s="7" t="str">
        <f t="shared" si="2"/>
        <v/>
      </c>
      <c r="J823" s="4" t="str">
        <f t="shared" si="10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1"/>
        <v/>
      </c>
      <c r="P823" s="4" t="str">
        <f t="array" ref="P823">XLOOKUP(L823,'Dados Funil'!A:A,'Dados Funil'!AM:AM,"")</f>
        <v/>
      </c>
      <c r="Q823" s="9" t="str">
        <f t="array" ref="Q823">XLOOKUP(L823,'Dados Funil'!A:A,'Dados Funil'!AN:AN,"")</f>
        <v/>
      </c>
      <c r="T823" s="7" t="str">
        <f t="shared" si="4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5"/>
        <v/>
      </c>
      <c r="AA823" s="4" t="str">
        <f t="shared" si="13"/>
        <v/>
      </c>
      <c r="AB823" s="4" t="str">
        <f t="array" ref="AB823">XLOOKUP(X823,'Dados Funil'!A:A,'Dados Funil'!O:O,"")</f>
        <v/>
      </c>
      <c r="AE823" s="7" t="str">
        <f t="shared" si="6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9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G824" s="4"/>
      <c r="H824" s="4"/>
      <c r="I824" s="7" t="str">
        <f t="shared" si="2"/>
        <v/>
      </c>
      <c r="J824" s="4" t="str">
        <f t="shared" si="10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1"/>
        <v/>
      </c>
      <c r="P824" s="4" t="str">
        <f t="array" ref="P824">XLOOKUP(L824,'Dados Funil'!A:A,'Dados Funil'!AM:AM,"")</f>
        <v/>
      </c>
      <c r="Q824" s="9" t="str">
        <f t="array" ref="Q824">XLOOKUP(L824,'Dados Funil'!A:A,'Dados Funil'!AN:AN,"")</f>
        <v/>
      </c>
      <c r="T824" s="7" t="str">
        <f t="shared" si="4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5"/>
        <v/>
      </c>
      <c r="AA824" s="4" t="str">
        <f t="shared" si="13"/>
        <v/>
      </c>
      <c r="AB824" s="4" t="str">
        <f t="array" ref="AB824">XLOOKUP(X824,'Dados Funil'!A:A,'Dados Funil'!O:O,"")</f>
        <v/>
      </c>
      <c r="AE824" s="7" t="str">
        <f t="shared" si="6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9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G825" s="4"/>
      <c r="H825" s="4"/>
      <c r="I825" s="7" t="str">
        <f t="shared" si="2"/>
        <v/>
      </c>
      <c r="J825" s="4" t="str">
        <f t="shared" si="10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1"/>
        <v/>
      </c>
      <c r="P825" s="4" t="str">
        <f t="array" ref="P825">XLOOKUP(L825,'Dados Funil'!A:A,'Dados Funil'!AM:AM,"")</f>
        <v/>
      </c>
      <c r="Q825" s="9" t="str">
        <f t="array" ref="Q825">XLOOKUP(L825,'Dados Funil'!A:A,'Dados Funil'!AN:AN,"")</f>
        <v/>
      </c>
      <c r="T825" s="7" t="str">
        <f t="shared" si="4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5"/>
        <v/>
      </c>
      <c r="AA825" s="4" t="str">
        <f t="shared" si="13"/>
        <v/>
      </c>
      <c r="AB825" s="4" t="str">
        <f t="array" ref="AB825">XLOOKUP(X825,'Dados Funil'!A:A,'Dados Funil'!O:O,"")</f>
        <v/>
      </c>
      <c r="AE825" s="7" t="str">
        <f t="shared" si="6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9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G826" s="4"/>
      <c r="H826" s="4"/>
      <c r="I826" s="7" t="str">
        <f t="shared" si="2"/>
        <v/>
      </c>
      <c r="J826" s="4" t="str">
        <f t="shared" si="10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1"/>
        <v/>
      </c>
      <c r="P826" s="4" t="str">
        <f t="array" ref="P826">XLOOKUP(L826,'Dados Funil'!A:A,'Dados Funil'!AM:AM,"")</f>
        <v/>
      </c>
      <c r="Q826" s="9" t="str">
        <f t="array" ref="Q826">XLOOKUP(L826,'Dados Funil'!A:A,'Dados Funil'!AN:AN,"")</f>
        <v/>
      </c>
      <c r="T826" s="7" t="str">
        <f t="shared" si="4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5"/>
        <v/>
      </c>
      <c r="AA826" s="4" t="str">
        <f t="shared" si="13"/>
        <v/>
      </c>
      <c r="AB826" s="4" t="str">
        <f t="array" ref="AB826">XLOOKUP(X826,'Dados Funil'!A:A,'Dados Funil'!O:O,"")</f>
        <v/>
      </c>
      <c r="AE826" s="7" t="str">
        <f t="shared" si="6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9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G827" s="4"/>
      <c r="H827" s="4"/>
      <c r="I827" s="7" t="str">
        <f t="shared" si="2"/>
        <v/>
      </c>
      <c r="J827" s="4" t="str">
        <f t="shared" si="10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1"/>
        <v/>
      </c>
      <c r="P827" s="4" t="str">
        <f t="array" ref="P827">XLOOKUP(L827,'Dados Funil'!A:A,'Dados Funil'!AM:AM,"")</f>
        <v/>
      </c>
      <c r="Q827" s="9" t="str">
        <f t="array" ref="Q827">XLOOKUP(L827,'Dados Funil'!A:A,'Dados Funil'!AN:AN,"")</f>
        <v/>
      </c>
      <c r="T827" s="7" t="str">
        <f t="shared" si="4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5"/>
        <v/>
      </c>
      <c r="AA827" s="4" t="str">
        <f t="shared" si="13"/>
        <v/>
      </c>
      <c r="AB827" s="4" t="str">
        <f t="array" ref="AB827">XLOOKUP(X827,'Dados Funil'!A:A,'Dados Funil'!O:O,"")</f>
        <v/>
      </c>
      <c r="AE827" s="7" t="str">
        <f t="shared" si="6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9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G828" s="4"/>
      <c r="H828" s="4"/>
      <c r="I828" s="7" t="str">
        <f t="shared" si="2"/>
        <v/>
      </c>
      <c r="J828" s="4" t="str">
        <f t="shared" si="10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1"/>
        <v/>
      </c>
      <c r="P828" s="4" t="str">
        <f t="array" ref="P828">XLOOKUP(L828,'Dados Funil'!A:A,'Dados Funil'!AM:AM,"")</f>
        <v/>
      </c>
      <c r="Q828" s="9" t="str">
        <f t="array" ref="Q828">XLOOKUP(L828,'Dados Funil'!A:A,'Dados Funil'!AN:AN,"")</f>
        <v/>
      </c>
      <c r="T828" s="7" t="str">
        <f t="shared" si="4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5"/>
        <v/>
      </c>
      <c r="AA828" s="4" t="str">
        <f t="shared" si="13"/>
        <v/>
      </c>
      <c r="AB828" s="4" t="str">
        <f t="array" ref="AB828">XLOOKUP(X828,'Dados Funil'!A:A,'Dados Funil'!O:O,"")</f>
        <v/>
      </c>
      <c r="AE828" s="7" t="str">
        <f t="shared" si="6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9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G829" s="4"/>
      <c r="H829" s="4"/>
      <c r="I829" s="7" t="str">
        <f t="shared" si="2"/>
        <v/>
      </c>
      <c r="J829" s="4" t="str">
        <f t="shared" si="10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1"/>
        <v/>
      </c>
      <c r="P829" s="4" t="str">
        <f t="array" ref="P829">XLOOKUP(L829,'Dados Funil'!A:A,'Dados Funil'!AM:AM,"")</f>
        <v/>
      </c>
      <c r="Q829" s="9" t="str">
        <f t="array" ref="Q829">XLOOKUP(L829,'Dados Funil'!A:A,'Dados Funil'!AN:AN,"")</f>
        <v/>
      </c>
      <c r="T829" s="7" t="str">
        <f t="shared" si="4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5"/>
        <v/>
      </c>
      <c r="AA829" s="4" t="str">
        <f t="shared" si="13"/>
        <v/>
      </c>
      <c r="AB829" s="4" t="str">
        <f t="array" ref="AB829">XLOOKUP(X829,'Dados Funil'!A:A,'Dados Funil'!O:O,"")</f>
        <v/>
      </c>
      <c r="AE829" s="7" t="str">
        <f t="shared" si="6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9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G830" s="4"/>
      <c r="H830" s="4"/>
      <c r="I830" s="7" t="str">
        <f t="shared" si="2"/>
        <v/>
      </c>
      <c r="J830" s="4" t="str">
        <f t="shared" si="10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1"/>
        <v/>
      </c>
      <c r="P830" s="4" t="str">
        <f t="array" ref="P830">XLOOKUP(L830,'Dados Funil'!A:A,'Dados Funil'!AM:AM,"")</f>
        <v/>
      </c>
      <c r="Q830" s="9" t="str">
        <f t="array" ref="Q830">XLOOKUP(L830,'Dados Funil'!A:A,'Dados Funil'!AN:AN,"")</f>
        <v/>
      </c>
      <c r="T830" s="7" t="str">
        <f t="shared" si="4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5"/>
        <v/>
      </c>
      <c r="AA830" s="4" t="str">
        <f t="shared" si="13"/>
        <v/>
      </c>
      <c r="AB830" s="4" t="str">
        <f t="array" ref="AB830">XLOOKUP(X830,'Dados Funil'!A:A,'Dados Funil'!O:O,"")</f>
        <v/>
      </c>
      <c r="AE830" s="7" t="str">
        <f t="shared" si="6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9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G831" s="4"/>
      <c r="H831" s="4"/>
      <c r="I831" s="7" t="str">
        <f t="shared" si="2"/>
        <v/>
      </c>
      <c r="J831" s="4" t="str">
        <f t="shared" si="10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1"/>
        <v/>
      </c>
      <c r="P831" s="4" t="str">
        <f t="array" ref="P831">XLOOKUP(L831,'Dados Funil'!A:A,'Dados Funil'!AM:AM,"")</f>
        <v/>
      </c>
      <c r="Q831" s="9" t="str">
        <f t="array" ref="Q831">XLOOKUP(L831,'Dados Funil'!A:A,'Dados Funil'!AN:AN,"")</f>
        <v/>
      </c>
      <c r="T831" s="7" t="str">
        <f t="shared" si="4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5"/>
        <v/>
      </c>
      <c r="AA831" s="4" t="str">
        <f t="shared" si="13"/>
        <v/>
      </c>
      <c r="AB831" s="4" t="str">
        <f t="array" ref="AB831">XLOOKUP(X831,'Dados Funil'!A:A,'Dados Funil'!O:O,"")</f>
        <v/>
      </c>
      <c r="AE831" s="7" t="str">
        <f t="shared" si="6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9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G832" s="4"/>
      <c r="H832" s="4"/>
      <c r="I832" s="7" t="str">
        <f t="shared" si="2"/>
        <v/>
      </c>
      <c r="J832" s="4" t="str">
        <f t="shared" si="10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1"/>
        <v/>
      </c>
      <c r="P832" s="4" t="str">
        <f t="array" ref="P832">XLOOKUP(L832,'Dados Funil'!A:A,'Dados Funil'!AM:AM,"")</f>
        <v/>
      </c>
      <c r="Q832" s="9" t="str">
        <f t="array" ref="Q832">XLOOKUP(L832,'Dados Funil'!A:A,'Dados Funil'!AN:AN,"")</f>
        <v/>
      </c>
      <c r="T832" s="7" t="str">
        <f t="shared" si="4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5"/>
        <v/>
      </c>
      <c r="AA832" s="4" t="str">
        <f t="shared" si="13"/>
        <v/>
      </c>
      <c r="AB832" s="4" t="str">
        <f t="array" ref="AB832">XLOOKUP(X832,'Dados Funil'!A:A,'Dados Funil'!O:O,"")</f>
        <v/>
      </c>
      <c r="AE832" s="7" t="str">
        <f t="shared" si="6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9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G833" s="4"/>
      <c r="H833" s="4"/>
      <c r="I833" s="7" t="str">
        <f t="shared" si="2"/>
        <v/>
      </c>
      <c r="J833" s="4" t="str">
        <f t="shared" si="10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1"/>
        <v/>
      </c>
      <c r="P833" s="4" t="str">
        <f t="array" ref="P833">XLOOKUP(L833,'Dados Funil'!A:A,'Dados Funil'!AM:AM,"")</f>
        <v/>
      </c>
      <c r="Q833" s="9" t="str">
        <f t="array" ref="Q833">XLOOKUP(L833,'Dados Funil'!A:A,'Dados Funil'!AN:AN,"")</f>
        <v/>
      </c>
      <c r="T833" s="7" t="str">
        <f t="shared" si="4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5"/>
        <v/>
      </c>
      <c r="AA833" s="4" t="str">
        <f t="shared" si="13"/>
        <v/>
      </c>
      <c r="AB833" s="4" t="str">
        <f t="array" ref="AB833">XLOOKUP(X833,'Dados Funil'!A:A,'Dados Funil'!O:O,"")</f>
        <v/>
      </c>
      <c r="AE833" s="7" t="str">
        <f t="shared" si="6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9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G834" s="4"/>
      <c r="H834" s="4"/>
      <c r="I834" s="7" t="str">
        <f t="shared" si="2"/>
        <v/>
      </c>
      <c r="J834" s="4" t="str">
        <f t="shared" si="10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1"/>
        <v/>
      </c>
      <c r="P834" s="4" t="str">
        <f t="array" ref="P834">XLOOKUP(L834,'Dados Funil'!A:A,'Dados Funil'!AM:AM,"")</f>
        <v/>
      </c>
      <c r="Q834" s="9" t="str">
        <f t="array" ref="Q834">XLOOKUP(L834,'Dados Funil'!A:A,'Dados Funil'!AN:AN,"")</f>
        <v/>
      </c>
      <c r="T834" s="7" t="str">
        <f t="shared" si="4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5"/>
        <v/>
      </c>
      <c r="AA834" s="4" t="str">
        <f t="shared" si="13"/>
        <v/>
      </c>
      <c r="AB834" s="4" t="str">
        <f t="array" ref="AB834">XLOOKUP(X834,'Dados Funil'!A:A,'Dados Funil'!O:O,"")</f>
        <v/>
      </c>
      <c r="AE834" s="7" t="str">
        <f t="shared" si="6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9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G835" s="4"/>
      <c r="H835" s="4"/>
      <c r="I835" s="7" t="str">
        <f t="shared" si="2"/>
        <v/>
      </c>
      <c r="J835" s="4" t="str">
        <f t="shared" si="10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1"/>
        <v/>
      </c>
      <c r="P835" s="4" t="str">
        <f t="array" ref="P835">XLOOKUP(L835,'Dados Funil'!A:A,'Dados Funil'!AM:AM,"")</f>
        <v/>
      </c>
      <c r="Q835" s="9" t="str">
        <f t="array" ref="Q835">XLOOKUP(L835,'Dados Funil'!A:A,'Dados Funil'!AN:AN,"")</f>
        <v/>
      </c>
      <c r="T835" s="7" t="str">
        <f t="shared" si="4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5"/>
        <v/>
      </c>
      <c r="AA835" s="4" t="str">
        <f t="shared" si="13"/>
        <v/>
      </c>
      <c r="AB835" s="4" t="str">
        <f t="array" ref="AB835">XLOOKUP(X835,'Dados Funil'!A:A,'Dados Funil'!O:O,"")</f>
        <v/>
      </c>
      <c r="AE835" s="7" t="str">
        <f t="shared" si="6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9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G836" s="4"/>
      <c r="H836" s="4"/>
      <c r="I836" s="7" t="str">
        <f t="shared" si="2"/>
        <v/>
      </c>
      <c r="J836" s="4" t="str">
        <f t="shared" si="10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1"/>
        <v/>
      </c>
      <c r="P836" s="4" t="str">
        <f t="array" ref="P836">XLOOKUP(L836,'Dados Funil'!A:A,'Dados Funil'!AM:AM,"")</f>
        <v/>
      </c>
      <c r="Q836" s="9" t="str">
        <f t="array" ref="Q836">XLOOKUP(L836,'Dados Funil'!A:A,'Dados Funil'!AN:AN,"")</f>
        <v/>
      </c>
      <c r="T836" s="7" t="str">
        <f t="shared" si="4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5"/>
        <v/>
      </c>
      <c r="AA836" s="4" t="str">
        <f t="shared" si="13"/>
        <v/>
      </c>
      <c r="AB836" s="4" t="str">
        <f t="array" ref="AB836">XLOOKUP(X836,'Dados Funil'!A:A,'Dados Funil'!O:O,"")</f>
        <v/>
      </c>
      <c r="AE836" s="7" t="str">
        <f t="shared" si="6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9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G837" s="4"/>
      <c r="H837" s="4"/>
      <c r="I837" s="7" t="str">
        <f t="shared" si="2"/>
        <v/>
      </c>
      <c r="J837" s="4" t="str">
        <f t="shared" si="10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1"/>
        <v/>
      </c>
      <c r="P837" s="4" t="str">
        <f t="array" ref="P837">XLOOKUP(L837,'Dados Funil'!A:A,'Dados Funil'!AM:AM,"")</f>
        <v/>
      </c>
      <c r="Q837" s="9" t="str">
        <f t="array" ref="Q837">XLOOKUP(L837,'Dados Funil'!A:A,'Dados Funil'!AN:AN,"")</f>
        <v/>
      </c>
      <c r="T837" s="7" t="str">
        <f t="shared" si="4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5"/>
        <v/>
      </c>
      <c r="AA837" s="4" t="str">
        <f t="shared" si="13"/>
        <v/>
      </c>
      <c r="AB837" s="4" t="str">
        <f t="array" ref="AB837">XLOOKUP(X837,'Dados Funil'!A:A,'Dados Funil'!O:O,"")</f>
        <v/>
      </c>
      <c r="AE837" s="7" t="str">
        <f t="shared" si="6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9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G838" s="4"/>
      <c r="H838" s="4"/>
      <c r="I838" s="7" t="str">
        <f t="shared" si="2"/>
        <v/>
      </c>
      <c r="J838" s="4" t="str">
        <f t="shared" si="10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1"/>
        <v/>
      </c>
      <c r="P838" s="4" t="str">
        <f t="array" ref="P838">XLOOKUP(L838,'Dados Funil'!A:A,'Dados Funil'!AM:AM,"")</f>
        <v/>
      </c>
      <c r="Q838" s="9" t="str">
        <f t="array" ref="Q838">XLOOKUP(L838,'Dados Funil'!A:A,'Dados Funil'!AN:AN,"")</f>
        <v/>
      </c>
      <c r="T838" s="7" t="str">
        <f t="shared" si="4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5"/>
        <v/>
      </c>
      <c r="AA838" s="4" t="str">
        <f t="shared" si="13"/>
        <v/>
      </c>
      <c r="AB838" s="4" t="str">
        <f t="array" ref="AB838">XLOOKUP(X838,'Dados Funil'!A:A,'Dados Funil'!O:O,"")</f>
        <v/>
      </c>
      <c r="AE838" s="7" t="str">
        <f t="shared" si="6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9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G839" s="4"/>
      <c r="H839" s="4"/>
      <c r="I839" s="7" t="str">
        <f t="shared" si="2"/>
        <v/>
      </c>
      <c r="J839" s="4" t="str">
        <f t="shared" si="10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1"/>
        <v/>
      </c>
      <c r="P839" s="4" t="str">
        <f t="array" ref="P839">XLOOKUP(L839,'Dados Funil'!A:A,'Dados Funil'!AM:AM,"")</f>
        <v/>
      </c>
      <c r="Q839" s="9" t="str">
        <f t="array" ref="Q839">XLOOKUP(L839,'Dados Funil'!A:A,'Dados Funil'!AN:AN,"")</f>
        <v/>
      </c>
      <c r="T839" s="7" t="str">
        <f t="shared" si="4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5"/>
        <v/>
      </c>
      <c r="AA839" s="4" t="str">
        <f t="shared" si="13"/>
        <v/>
      </c>
      <c r="AB839" s="4" t="str">
        <f t="array" ref="AB839">XLOOKUP(X839,'Dados Funil'!A:A,'Dados Funil'!O:O,"")</f>
        <v/>
      </c>
      <c r="AE839" s="7" t="str">
        <f t="shared" si="6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9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G840" s="4"/>
      <c r="H840" s="4"/>
      <c r="I840" s="7" t="str">
        <f t="shared" si="2"/>
        <v/>
      </c>
      <c r="J840" s="4" t="str">
        <f t="shared" si="10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1"/>
        <v/>
      </c>
      <c r="P840" s="4" t="str">
        <f t="array" ref="P840">XLOOKUP(L840,'Dados Funil'!A:A,'Dados Funil'!AM:AM,"")</f>
        <v/>
      </c>
      <c r="Q840" s="9" t="str">
        <f t="array" ref="Q840">XLOOKUP(L840,'Dados Funil'!A:A,'Dados Funil'!AN:AN,"")</f>
        <v/>
      </c>
      <c r="T840" s="7" t="str">
        <f t="shared" si="4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5"/>
        <v/>
      </c>
      <c r="AA840" s="4" t="str">
        <f t="shared" si="13"/>
        <v/>
      </c>
      <c r="AB840" s="4" t="str">
        <f t="array" ref="AB840">XLOOKUP(X840,'Dados Funil'!A:A,'Dados Funil'!O:O,"")</f>
        <v/>
      </c>
      <c r="AE840" s="7" t="str">
        <f t="shared" si="6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9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G841" s="4"/>
      <c r="H841" s="4"/>
      <c r="I841" s="7" t="str">
        <f t="shared" si="2"/>
        <v/>
      </c>
      <c r="J841" s="4" t="str">
        <f t="shared" si="10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1"/>
        <v/>
      </c>
      <c r="P841" s="4" t="str">
        <f t="array" ref="P841">XLOOKUP(L841,'Dados Funil'!A:A,'Dados Funil'!AM:AM,"")</f>
        <v/>
      </c>
      <c r="Q841" s="9" t="str">
        <f t="array" ref="Q841">XLOOKUP(L841,'Dados Funil'!A:A,'Dados Funil'!AN:AN,"")</f>
        <v/>
      </c>
      <c r="T841" s="7" t="str">
        <f t="shared" si="4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5"/>
        <v/>
      </c>
      <c r="AA841" s="4" t="str">
        <f t="shared" si="13"/>
        <v/>
      </c>
      <c r="AB841" s="4" t="str">
        <f t="array" ref="AB841">XLOOKUP(X841,'Dados Funil'!A:A,'Dados Funil'!O:O,"")</f>
        <v/>
      </c>
      <c r="AE841" s="7" t="str">
        <f t="shared" si="6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9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G842" s="4"/>
      <c r="H842" s="4"/>
      <c r="I842" s="7" t="str">
        <f t="shared" si="2"/>
        <v/>
      </c>
      <c r="J842" s="4" t="str">
        <f t="shared" si="10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1"/>
        <v/>
      </c>
      <c r="P842" s="4" t="str">
        <f t="array" ref="P842">XLOOKUP(L842,'Dados Funil'!A:A,'Dados Funil'!AM:AM,"")</f>
        <v/>
      </c>
      <c r="Q842" s="9" t="str">
        <f t="array" ref="Q842">XLOOKUP(L842,'Dados Funil'!A:A,'Dados Funil'!AN:AN,"")</f>
        <v/>
      </c>
      <c r="T842" s="7" t="str">
        <f t="shared" si="4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5"/>
        <v/>
      </c>
      <c r="AA842" s="4" t="str">
        <f t="shared" si="13"/>
        <v/>
      </c>
      <c r="AB842" s="4" t="str">
        <f t="array" ref="AB842">XLOOKUP(X842,'Dados Funil'!A:A,'Dados Funil'!O:O,"")</f>
        <v/>
      </c>
      <c r="AE842" s="7" t="str">
        <f t="shared" si="6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9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G843" s="4"/>
      <c r="H843" s="4"/>
      <c r="I843" s="7" t="str">
        <f t="shared" si="2"/>
        <v/>
      </c>
      <c r="J843" s="4" t="str">
        <f t="shared" si="10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1"/>
        <v/>
      </c>
      <c r="P843" s="4" t="str">
        <f t="array" ref="P843">XLOOKUP(L843,'Dados Funil'!A:A,'Dados Funil'!AM:AM,"")</f>
        <v/>
      </c>
      <c r="Q843" s="9" t="str">
        <f t="array" ref="Q843">XLOOKUP(L843,'Dados Funil'!A:A,'Dados Funil'!AN:AN,"")</f>
        <v/>
      </c>
      <c r="T843" s="7" t="str">
        <f t="shared" si="4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5"/>
        <v/>
      </c>
      <c r="AA843" s="4" t="str">
        <f t="shared" si="13"/>
        <v/>
      </c>
      <c r="AB843" s="4" t="str">
        <f t="array" ref="AB843">XLOOKUP(X843,'Dados Funil'!A:A,'Dados Funil'!O:O,"")</f>
        <v/>
      </c>
      <c r="AE843" s="7" t="str">
        <f t="shared" si="6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9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G844" s="4"/>
      <c r="H844" s="4"/>
      <c r="I844" s="7" t="str">
        <f t="shared" si="2"/>
        <v/>
      </c>
      <c r="J844" s="4" t="str">
        <f t="shared" si="10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1"/>
        <v/>
      </c>
      <c r="P844" s="4" t="str">
        <f t="array" ref="P844">XLOOKUP(L844,'Dados Funil'!A:A,'Dados Funil'!AM:AM,"")</f>
        <v/>
      </c>
      <c r="Q844" s="9" t="str">
        <f t="array" ref="Q844">XLOOKUP(L844,'Dados Funil'!A:A,'Dados Funil'!AN:AN,"")</f>
        <v/>
      </c>
      <c r="T844" s="7" t="str">
        <f t="shared" si="4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5"/>
        <v/>
      </c>
      <c r="AA844" s="4" t="str">
        <f t="shared" si="13"/>
        <v/>
      </c>
      <c r="AB844" s="4" t="str">
        <f t="array" ref="AB844">XLOOKUP(X844,'Dados Funil'!A:A,'Dados Funil'!O:O,"")</f>
        <v/>
      </c>
      <c r="AE844" s="7" t="str">
        <f t="shared" si="6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9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G845" s="4"/>
      <c r="H845" s="4"/>
      <c r="I845" s="7" t="str">
        <f t="shared" si="2"/>
        <v/>
      </c>
      <c r="J845" s="4" t="str">
        <f t="shared" si="10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1"/>
        <v/>
      </c>
      <c r="P845" s="4" t="str">
        <f t="array" ref="P845">XLOOKUP(L845,'Dados Funil'!A:A,'Dados Funil'!AM:AM,"")</f>
        <v/>
      </c>
      <c r="Q845" s="9" t="str">
        <f t="array" ref="Q845">XLOOKUP(L845,'Dados Funil'!A:A,'Dados Funil'!AN:AN,"")</f>
        <v/>
      </c>
      <c r="T845" s="7" t="str">
        <f t="shared" si="4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5"/>
        <v/>
      </c>
      <c r="AA845" s="4" t="str">
        <f t="shared" si="13"/>
        <v/>
      </c>
      <c r="AB845" s="4" t="str">
        <f t="array" ref="AB845">XLOOKUP(X845,'Dados Funil'!A:A,'Dados Funil'!O:O,"")</f>
        <v/>
      </c>
      <c r="AE845" s="7" t="str">
        <f t="shared" si="6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9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G846" s="4"/>
      <c r="H846" s="4"/>
      <c r="I846" s="7" t="str">
        <f t="shared" si="2"/>
        <v/>
      </c>
      <c r="J846" s="4" t="str">
        <f t="shared" si="10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1"/>
        <v/>
      </c>
      <c r="P846" s="4" t="str">
        <f t="array" ref="P846">XLOOKUP(L846,'Dados Funil'!A:A,'Dados Funil'!AM:AM,"")</f>
        <v/>
      </c>
      <c r="Q846" s="9" t="str">
        <f t="array" ref="Q846">XLOOKUP(L846,'Dados Funil'!A:A,'Dados Funil'!AN:AN,"")</f>
        <v/>
      </c>
      <c r="T846" s="7" t="str">
        <f t="shared" si="4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5"/>
        <v/>
      </c>
      <c r="AA846" s="4" t="str">
        <f t="shared" si="13"/>
        <v/>
      </c>
      <c r="AB846" s="4" t="str">
        <f t="array" ref="AB846">XLOOKUP(X846,'Dados Funil'!A:A,'Dados Funil'!O:O,"")</f>
        <v/>
      </c>
      <c r="AE846" s="7" t="str">
        <f t="shared" si="6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9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G847" s="4"/>
      <c r="H847" s="4"/>
      <c r="I847" s="7" t="str">
        <f t="shared" si="2"/>
        <v/>
      </c>
      <c r="J847" s="4" t="str">
        <f t="shared" si="10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1"/>
        <v/>
      </c>
      <c r="P847" s="4" t="str">
        <f t="array" ref="P847">XLOOKUP(L847,'Dados Funil'!A:A,'Dados Funil'!AM:AM,"")</f>
        <v/>
      </c>
      <c r="Q847" s="9" t="str">
        <f t="array" ref="Q847">XLOOKUP(L847,'Dados Funil'!A:A,'Dados Funil'!AN:AN,"")</f>
        <v/>
      </c>
      <c r="T847" s="7" t="str">
        <f t="shared" si="4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5"/>
        <v/>
      </c>
      <c r="AA847" s="4" t="str">
        <f t="shared" si="13"/>
        <v/>
      </c>
      <c r="AB847" s="4" t="str">
        <f t="array" ref="AB847">XLOOKUP(X847,'Dados Funil'!A:A,'Dados Funil'!O:O,"")</f>
        <v/>
      </c>
      <c r="AE847" s="7" t="str">
        <f t="shared" si="6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9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G848" s="4"/>
      <c r="H848" s="4"/>
      <c r="I848" s="7" t="str">
        <f t="shared" si="2"/>
        <v/>
      </c>
      <c r="J848" s="4" t="str">
        <f t="shared" si="10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1"/>
        <v/>
      </c>
      <c r="P848" s="4" t="str">
        <f t="array" ref="P848">XLOOKUP(L848,'Dados Funil'!A:A,'Dados Funil'!AM:AM,"")</f>
        <v/>
      </c>
      <c r="Q848" s="9" t="str">
        <f t="array" ref="Q848">XLOOKUP(L848,'Dados Funil'!A:A,'Dados Funil'!AN:AN,"")</f>
        <v/>
      </c>
      <c r="T848" s="7" t="str">
        <f t="shared" si="4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5"/>
        <v/>
      </c>
      <c r="AA848" s="4" t="str">
        <f t="shared" si="13"/>
        <v/>
      </c>
      <c r="AB848" s="4" t="str">
        <f t="array" ref="AB848">XLOOKUP(X848,'Dados Funil'!A:A,'Dados Funil'!O:O,"")</f>
        <v/>
      </c>
      <c r="AE848" s="7" t="str">
        <f t="shared" si="6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9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G849" s="4"/>
      <c r="H849" s="4"/>
      <c r="I849" s="7" t="str">
        <f t="shared" si="2"/>
        <v/>
      </c>
      <c r="J849" s="4" t="str">
        <f t="shared" si="10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1"/>
        <v/>
      </c>
      <c r="P849" s="4" t="str">
        <f t="array" ref="P849">XLOOKUP(L849,'Dados Funil'!A:A,'Dados Funil'!AM:AM,"")</f>
        <v/>
      </c>
      <c r="Q849" s="9" t="str">
        <f t="array" ref="Q849">XLOOKUP(L849,'Dados Funil'!A:A,'Dados Funil'!AN:AN,"")</f>
        <v/>
      </c>
      <c r="T849" s="7" t="str">
        <f t="shared" si="4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5"/>
        <v/>
      </c>
      <c r="AA849" s="4" t="str">
        <f t="shared" si="13"/>
        <v/>
      </c>
      <c r="AB849" s="4" t="str">
        <f t="array" ref="AB849">XLOOKUP(X849,'Dados Funil'!A:A,'Dados Funil'!O:O,"")</f>
        <v/>
      </c>
      <c r="AE849" s="7" t="str">
        <f t="shared" si="6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9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G850" s="4"/>
      <c r="H850" s="4"/>
      <c r="I850" s="7" t="str">
        <f t="shared" si="2"/>
        <v/>
      </c>
      <c r="J850" s="4" t="str">
        <f t="shared" si="10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1"/>
        <v/>
      </c>
      <c r="P850" s="4" t="str">
        <f t="array" ref="P850">XLOOKUP(L850,'Dados Funil'!A:A,'Dados Funil'!AM:AM,"")</f>
        <v/>
      </c>
      <c r="Q850" s="9" t="str">
        <f t="array" ref="Q850">XLOOKUP(L850,'Dados Funil'!A:A,'Dados Funil'!AN:AN,"")</f>
        <v/>
      </c>
      <c r="T850" s="7" t="str">
        <f t="shared" si="4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5"/>
        <v/>
      </c>
      <c r="AA850" s="4" t="str">
        <f t="shared" si="13"/>
        <v/>
      </c>
      <c r="AB850" s="4" t="str">
        <f t="array" ref="AB850">XLOOKUP(X850,'Dados Funil'!A:A,'Dados Funil'!O:O,"")</f>
        <v/>
      </c>
      <c r="AE850" s="7" t="str">
        <f t="shared" si="6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9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G851" s="4"/>
      <c r="H851" s="4"/>
      <c r="I851" s="7" t="str">
        <f t="shared" si="2"/>
        <v/>
      </c>
      <c r="J851" s="4" t="str">
        <f t="shared" si="10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1"/>
        <v/>
      </c>
      <c r="P851" s="4" t="str">
        <f t="array" ref="P851">XLOOKUP(L851,'Dados Funil'!A:A,'Dados Funil'!AM:AM,"")</f>
        <v/>
      </c>
      <c r="Q851" s="9" t="str">
        <f t="array" ref="Q851">XLOOKUP(L851,'Dados Funil'!A:A,'Dados Funil'!AN:AN,"")</f>
        <v/>
      </c>
      <c r="T851" s="7" t="str">
        <f t="shared" si="4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5"/>
        <v/>
      </c>
      <c r="AA851" s="4" t="str">
        <f t="shared" si="13"/>
        <v/>
      </c>
      <c r="AB851" s="4" t="str">
        <f t="array" ref="AB851">XLOOKUP(X851,'Dados Funil'!A:A,'Dados Funil'!O:O,"")</f>
        <v/>
      </c>
      <c r="AE851" s="7" t="str">
        <f t="shared" si="6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9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G852" s="4"/>
      <c r="H852" s="4"/>
      <c r="I852" s="7" t="str">
        <f t="shared" si="2"/>
        <v/>
      </c>
      <c r="J852" s="4" t="str">
        <f t="shared" si="10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1"/>
        <v/>
      </c>
      <c r="P852" s="4" t="str">
        <f t="array" ref="P852">XLOOKUP(L852,'Dados Funil'!A:A,'Dados Funil'!AM:AM,"")</f>
        <v/>
      </c>
      <c r="Q852" s="9" t="str">
        <f t="array" ref="Q852">XLOOKUP(L852,'Dados Funil'!A:A,'Dados Funil'!AN:AN,"")</f>
        <v/>
      </c>
      <c r="T852" s="7" t="str">
        <f t="shared" si="4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5"/>
        <v/>
      </c>
      <c r="AA852" s="4" t="str">
        <f t="shared" si="13"/>
        <v/>
      </c>
      <c r="AB852" s="4" t="str">
        <f t="array" ref="AB852">XLOOKUP(X852,'Dados Funil'!A:A,'Dados Funil'!O:O,"")</f>
        <v/>
      </c>
      <c r="AE852" s="7" t="str">
        <f t="shared" si="6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9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G853" s="4"/>
      <c r="H853" s="4"/>
      <c r="I853" s="7" t="str">
        <f t="shared" si="2"/>
        <v/>
      </c>
      <c r="J853" s="4" t="str">
        <f t="shared" si="10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1"/>
        <v/>
      </c>
      <c r="P853" s="4" t="str">
        <f t="array" ref="P853">XLOOKUP(L853,'Dados Funil'!A:A,'Dados Funil'!AM:AM,"")</f>
        <v/>
      </c>
      <c r="Q853" s="9" t="str">
        <f t="array" ref="Q853">XLOOKUP(L853,'Dados Funil'!A:A,'Dados Funil'!AN:AN,"")</f>
        <v/>
      </c>
      <c r="T853" s="7" t="str">
        <f t="shared" si="4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5"/>
        <v/>
      </c>
      <c r="AA853" s="4" t="str">
        <f t="shared" si="13"/>
        <v/>
      </c>
      <c r="AB853" s="4" t="str">
        <f t="array" ref="AB853">XLOOKUP(X853,'Dados Funil'!A:A,'Dados Funil'!O:O,"")</f>
        <v/>
      </c>
      <c r="AE853" s="7" t="str">
        <f t="shared" si="6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9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G854" s="4"/>
      <c r="H854" s="4"/>
      <c r="I854" s="7" t="str">
        <f t="shared" si="2"/>
        <v/>
      </c>
      <c r="J854" s="4" t="str">
        <f t="shared" si="10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1"/>
        <v/>
      </c>
      <c r="P854" s="4" t="str">
        <f t="array" ref="P854">XLOOKUP(L854,'Dados Funil'!A:A,'Dados Funil'!AM:AM,"")</f>
        <v/>
      </c>
      <c r="Q854" s="9" t="str">
        <f t="array" ref="Q854">XLOOKUP(L854,'Dados Funil'!A:A,'Dados Funil'!AN:AN,"")</f>
        <v/>
      </c>
      <c r="T854" s="7" t="str">
        <f t="shared" si="4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5"/>
        <v/>
      </c>
      <c r="AA854" s="4" t="str">
        <f t="shared" si="13"/>
        <v/>
      </c>
      <c r="AB854" s="4" t="str">
        <f t="array" ref="AB854">XLOOKUP(X854,'Dados Funil'!A:A,'Dados Funil'!O:O,"")</f>
        <v/>
      </c>
      <c r="AE854" s="7" t="str">
        <f t="shared" si="6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9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G855" s="4"/>
      <c r="H855" s="4"/>
      <c r="I855" s="7" t="str">
        <f t="shared" si="2"/>
        <v/>
      </c>
      <c r="J855" s="4" t="str">
        <f t="shared" si="10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1"/>
        <v/>
      </c>
      <c r="P855" s="4" t="str">
        <f t="array" ref="P855">XLOOKUP(L855,'Dados Funil'!A:A,'Dados Funil'!AM:AM,"")</f>
        <v/>
      </c>
      <c r="Q855" s="9" t="str">
        <f t="array" ref="Q855">XLOOKUP(L855,'Dados Funil'!A:A,'Dados Funil'!AN:AN,"")</f>
        <v/>
      </c>
      <c r="T855" s="7" t="str">
        <f t="shared" si="4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5"/>
        <v/>
      </c>
      <c r="AA855" s="4" t="str">
        <f t="shared" si="13"/>
        <v/>
      </c>
      <c r="AB855" s="4" t="str">
        <f t="array" ref="AB855">XLOOKUP(X855,'Dados Funil'!A:A,'Dados Funil'!O:O,"")</f>
        <v/>
      </c>
      <c r="AE855" s="7" t="str">
        <f t="shared" si="6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9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G856" s="4"/>
      <c r="H856" s="4"/>
      <c r="I856" s="7" t="str">
        <f t="shared" si="2"/>
        <v/>
      </c>
      <c r="J856" s="4" t="str">
        <f t="shared" si="10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1"/>
        <v/>
      </c>
      <c r="P856" s="4" t="str">
        <f t="array" ref="P856">XLOOKUP(L856,'Dados Funil'!A:A,'Dados Funil'!AM:AM,"")</f>
        <v/>
      </c>
      <c r="Q856" s="9" t="str">
        <f t="array" ref="Q856">XLOOKUP(L856,'Dados Funil'!A:A,'Dados Funil'!AN:AN,"")</f>
        <v/>
      </c>
      <c r="T856" s="7" t="str">
        <f t="shared" si="4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5"/>
        <v/>
      </c>
      <c r="AA856" s="4" t="str">
        <f t="shared" si="13"/>
        <v/>
      </c>
      <c r="AB856" s="4" t="str">
        <f t="array" ref="AB856">XLOOKUP(X856,'Dados Funil'!A:A,'Dados Funil'!O:O,"")</f>
        <v/>
      </c>
      <c r="AE856" s="7" t="str">
        <f t="shared" si="6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9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G857" s="4"/>
      <c r="H857" s="4"/>
      <c r="I857" s="7" t="str">
        <f t="shared" si="2"/>
        <v/>
      </c>
      <c r="J857" s="4" t="str">
        <f t="shared" si="10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1"/>
        <v/>
      </c>
      <c r="P857" s="4" t="str">
        <f t="array" ref="P857">XLOOKUP(L857,'Dados Funil'!A:A,'Dados Funil'!AM:AM,"")</f>
        <v/>
      </c>
      <c r="Q857" s="9" t="str">
        <f t="array" ref="Q857">XLOOKUP(L857,'Dados Funil'!A:A,'Dados Funil'!AN:AN,"")</f>
        <v/>
      </c>
      <c r="T857" s="7" t="str">
        <f t="shared" si="4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5"/>
        <v/>
      </c>
      <c r="AA857" s="4" t="str">
        <f t="shared" si="13"/>
        <v/>
      </c>
      <c r="AB857" s="4" t="str">
        <f t="array" ref="AB857">XLOOKUP(X857,'Dados Funil'!A:A,'Dados Funil'!O:O,"")</f>
        <v/>
      </c>
      <c r="AE857" s="7" t="str">
        <f t="shared" si="6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9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G858" s="4"/>
      <c r="H858" s="4"/>
      <c r="I858" s="7" t="str">
        <f t="shared" si="2"/>
        <v/>
      </c>
      <c r="J858" s="4" t="str">
        <f t="shared" si="10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1"/>
        <v/>
      </c>
      <c r="P858" s="4" t="str">
        <f t="array" ref="P858">XLOOKUP(L858,'Dados Funil'!A:A,'Dados Funil'!AM:AM,"")</f>
        <v/>
      </c>
      <c r="Q858" s="9" t="str">
        <f t="array" ref="Q858">XLOOKUP(L858,'Dados Funil'!A:A,'Dados Funil'!AN:AN,"")</f>
        <v/>
      </c>
      <c r="T858" s="7" t="str">
        <f t="shared" si="4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5"/>
        <v/>
      </c>
      <c r="AA858" s="4" t="str">
        <f t="shared" si="13"/>
        <v/>
      </c>
      <c r="AB858" s="4" t="str">
        <f t="array" ref="AB858">XLOOKUP(X858,'Dados Funil'!A:A,'Dados Funil'!O:O,"")</f>
        <v/>
      </c>
      <c r="AE858" s="7" t="str">
        <f t="shared" si="6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9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G859" s="4"/>
      <c r="H859" s="4"/>
      <c r="I859" s="7" t="str">
        <f t="shared" si="2"/>
        <v/>
      </c>
      <c r="J859" s="4" t="str">
        <f t="shared" si="10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1"/>
        <v/>
      </c>
      <c r="P859" s="4" t="str">
        <f t="array" ref="P859">XLOOKUP(L859,'Dados Funil'!A:A,'Dados Funil'!AM:AM,"")</f>
        <v/>
      </c>
      <c r="Q859" s="9" t="str">
        <f t="array" ref="Q859">XLOOKUP(L859,'Dados Funil'!A:A,'Dados Funil'!AN:AN,"")</f>
        <v/>
      </c>
      <c r="T859" s="7" t="str">
        <f t="shared" si="4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5"/>
        <v/>
      </c>
      <c r="AA859" s="4" t="str">
        <f t="shared" si="13"/>
        <v/>
      </c>
      <c r="AB859" s="4" t="str">
        <f t="array" ref="AB859">XLOOKUP(X859,'Dados Funil'!A:A,'Dados Funil'!O:O,"")</f>
        <v/>
      </c>
      <c r="AE859" s="7" t="str">
        <f t="shared" si="6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9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G860" s="4"/>
      <c r="H860" s="4"/>
      <c r="I860" s="7" t="str">
        <f t="shared" si="2"/>
        <v/>
      </c>
      <c r="J860" s="4" t="str">
        <f t="shared" si="10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1"/>
        <v/>
      </c>
      <c r="P860" s="4" t="str">
        <f t="array" ref="P860">XLOOKUP(L860,'Dados Funil'!A:A,'Dados Funil'!AM:AM,"")</f>
        <v/>
      </c>
      <c r="Q860" s="9" t="str">
        <f t="array" ref="Q860">XLOOKUP(L860,'Dados Funil'!A:A,'Dados Funil'!AN:AN,"")</f>
        <v/>
      </c>
      <c r="T860" s="7" t="str">
        <f t="shared" si="4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5"/>
        <v/>
      </c>
      <c r="AA860" s="4" t="str">
        <f t="shared" si="13"/>
        <v/>
      </c>
      <c r="AB860" s="4" t="str">
        <f t="array" ref="AB860">XLOOKUP(X860,'Dados Funil'!A:A,'Dados Funil'!O:O,"")</f>
        <v/>
      </c>
      <c r="AE860" s="7" t="str">
        <f t="shared" si="6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9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G861" s="4"/>
      <c r="H861" s="4"/>
      <c r="I861" s="7" t="str">
        <f t="shared" si="2"/>
        <v/>
      </c>
      <c r="J861" s="4" t="str">
        <f t="shared" si="10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1"/>
        <v/>
      </c>
      <c r="P861" s="4" t="str">
        <f t="array" ref="P861">XLOOKUP(L861,'Dados Funil'!A:A,'Dados Funil'!AM:AM,"")</f>
        <v/>
      </c>
      <c r="Q861" s="9" t="str">
        <f t="array" ref="Q861">XLOOKUP(L861,'Dados Funil'!A:A,'Dados Funil'!AN:AN,"")</f>
        <v/>
      </c>
      <c r="T861" s="7" t="str">
        <f t="shared" si="4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5"/>
        <v/>
      </c>
      <c r="AA861" s="4" t="str">
        <f t="shared" si="13"/>
        <v/>
      </c>
      <c r="AB861" s="4" t="str">
        <f t="array" ref="AB861">XLOOKUP(X861,'Dados Funil'!A:A,'Dados Funil'!O:O,"")</f>
        <v/>
      </c>
      <c r="AE861" s="7" t="str">
        <f t="shared" si="6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9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G862" s="4"/>
      <c r="H862" s="4"/>
      <c r="I862" s="7" t="str">
        <f t="shared" si="2"/>
        <v/>
      </c>
      <c r="J862" s="4" t="str">
        <f t="shared" si="10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1"/>
        <v/>
      </c>
      <c r="P862" s="4" t="str">
        <f t="array" ref="P862">XLOOKUP(L862,'Dados Funil'!A:A,'Dados Funil'!AM:AM,"")</f>
        <v/>
      </c>
      <c r="Q862" s="9" t="str">
        <f t="array" ref="Q862">XLOOKUP(L862,'Dados Funil'!A:A,'Dados Funil'!AN:AN,"")</f>
        <v/>
      </c>
      <c r="T862" s="7" t="str">
        <f t="shared" si="4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5"/>
        <v/>
      </c>
      <c r="AA862" s="4" t="str">
        <f t="shared" si="13"/>
        <v/>
      </c>
      <c r="AB862" s="4" t="str">
        <f t="array" ref="AB862">XLOOKUP(X862,'Dados Funil'!A:A,'Dados Funil'!O:O,"")</f>
        <v/>
      </c>
      <c r="AE862" s="7" t="str">
        <f t="shared" si="6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9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G863" s="4"/>
      <c r="H863" s="4"/>
      <c r="I863" s="7" t="str">
        <f t="shared" si="2"/>
        <v/>
      </c>
      <c r="J863" s="4" t="str">
        <f t="shared" si="10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1"/>
        <v/>
      </c>
      <c r="P863" s="4" t="str">
        <f t="array" ref="P863">XLOOKUP(L863,'Dados Funil'!A:A,'Dados Funil'!AM:AM,"")</f>
        <v/>
      </c>
      <c r="Q863" s="9" t="str">
        <f t="array" ref="Q863">XLOOKUP(L863,'Dados Funil'!A:A,'Dados Funil'!AN:AN,"")</f>
        <v/>
      </c>
      <c r="T863" s="7" t="str">
        <f t="shared" si="4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5"/>
        <v/>
      </c>
      <c r="AA863" s="4" t="str">
        <f t="shared" si="13"/>
        <v/>
      </c>
      <c r="AB863" s="4" t="str">
        <f t="array" ref="AB863">XLOOKUP(X863,'Dados Funil'!A:A,'Dados Funil'!O:O,"")</f>
        <v/>
      </c>
      <c r="AE863" s="7" t="str">
        <f t="shared" si="6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9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G864" s="4"/>
      <c r="H864" s="4"/>
      <c r="I864" s="7" t="str">
        <f t="shared" si="2"/>
        <v/>
      </c>
      <c r="J864" s="4" t="str">
        <f t="shared" si="10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1"/>
        <v/>
      </c>
      <c r="P864" s="4" t="str">
        <f t="array" ref="P864">XLOOKUP(L864,'Dados Funil'!A:A,'Dados Funil'!AM:AM,"")</f>
        <v/>
      </c>
      <c r="Q864" s="9" t="str">
        <f t="array" ref="Q864">XLOOKUP(L864,'Dados Funil'!A:A,'Dados Funil'!AN:AN,"")</f>
        <v/>
      </c>
      <c r="T864" s="7" t="str">
        <f t="shared" si="4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5"/>
        <v/>
      </c>
      <c r="AA864" s="4" t="str">
        <f t="shared" si="13"/>
        <v/>
      </c>
      <c r="AB864" s="4" t="str">
        <f t="array" ref="AB864">XLOOKUP(X864,'Dados Funil'!A:A,'Dados Funil'!O:O,"")</f>
        <v/>
      </c>
      <c r="AE864" s="7" t="str">
        <f t="shared" si="6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9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G865" s="4"/>
      <c r="H865" s="4"/>
      <c r="I865" s="7" t="str">
        <f t="shared" si="2"/>
        <v/>
      </c>
      <c r="J865" s="4" t="str">
        <f t="shared" si="10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1"/>
        <v/>
      </c>
      <c r="P865" s="4" t="str">
        <f t="array" ref="P865">XLOOKUP(L865,'Dados Funil'!A:A,'Dados Funil'!AM:AM,"")</f>
        <v/>
      </c>
      <c r="Q865" s="9" t="str">
        <f t="array" ref="Q865">XLOOKUP(L865,'Dados Funil'!A:A,'Dados Funil'!AN:AN,"")</f>
        <v/>
      </c>
      <c r="T865" s="7" t="str">
        <f t="shared" si="4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5"/>
        <v/>
      </c>
      <c r="AA865" s="4" t="str">
        <f t="shared" si="13"/>
        <v/>
      </c>
      <c r="AB865" s="4" t="str">
        <f t="array" ref="AB865">XLOOKUP(X865,'Dados Funil'!A:A,'Dados Funil'!O:O,"")</f>
        <v/>
      </c>
      <c r="AE865" s="7" t="str">
        <f t="shared" si="6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9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G866" s="4"/>
      <c r="H866" s="4"/>
      <c r="I866" s="7" t="str">
        <f t="shared" si="2"/>
        <v/>
      </c>
      <c r="J866" s="4" t="str">
        <f t="shared" si="10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1"/>
        <v/>
      </c>
      <c r="P866" s="4" t="str">
        <f t="array" ref="P866">XLOOKUP(L866,'Dados Funil'!A:A,'Dados Funil'!AM:AM,"")</f>
        <v/>
      </c>
      <c r="Q866" s="9" t="str">
        <f t="array" ref="Q866">XLOOKUP(L866,'Dados Funil'!A:A,'Dados Funil'!AN:AN,"")</f>
        <v/>
      </c>
      <c r="T866" s="7" t="str">
        <f t="shared" si="4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5"/>
        <v/>
      </c>
      <c r="AA866" s="4" t="str">
        <f t="shared" si="13"/>
        <v/>
      </c>
      <c r="AB866" s="4" t="str">
        <f t="array" ref="AB866">XLOOKUP(X866,'Dados Funil'!A:A,'Dados Funil'!O:O,"")</f>
        <v/>
      </c>
      <c r="AE866" s="7" t="str">
        <f t="shared" si="6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9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G867" s="4"/>
      <c r="H867" s="4"/>
      <c r="I867" s="7" t="str">
        <f t="shared" si="2"/>
        <v/>
      </c>
      <c r="J867" s="4" t="str">
        <f t="shared" si="10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1"/>
        <v/>
      </c>
      <c r="P867" s="4" t="str">
        <f t="array" ref="P867">XLOOKUP(L867,'Dados Funil'!A:A,'Dados Funil'!AM:AM,"")</f>
        <v/>
      </c>
      <c r="Q867" s="9" t="str">
        <f t="array" ref="Q867">XLOOKUP(L867,'Dados Funil'!A:A,'Dados Funil'!AN:AN,"")</f>
        <v/>
      </c>
      <c r="T867" s="7" t="str">
        <f t="shared" si="4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5"/>
        <v/>
      </c>
      <c r="AA867" s="4" t="str">
        <f t="shared" si="13"/>
        <v/>
      </c>
      <c r="AB867" s="4" t="str">
        <f t="array" ref="AB867">XLOOKUP(X867,'Dados Funil'!A:A,'Dados Funil'!O:O,"")</f>
        <v/>
      </c>
      <c r="AE867" s="7" t="str">
        <f t="shared" si="6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9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G868" s="4"/>
      <c r="H868" s="4"/>
      <c r="I868" s="7" t="str">
        <f t="shared" si="2"/>
        <v/>
      </c>
      <c r="J868" s="4" t="str">
        <f t="shared" si="10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1"/>
        <v/>
      </c>
      <c r="P868" s="4" t="str">
        <f t="array" ref="P868">XLOOKUP(L868,'Dados Funil'!A:A,'Dados Funil'!AM:AM,"")</f>
        <v/>
      </c>
      <c r="Q868" s="9" t="str">
        <f t="array" ref="Q868">XLOOKUP(L868,'Dados Funil'!A:A,'Dados Funil'!AN:AN,"")</f>
        <v/>
      </c>
      <c r="T868" s="7" t="str">
        <f t="shared" si="4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5"/>
        <v/>
      </c>
      <c r="AA868" s="4" t="str">
        <f t="shared" si="13"/>
        <v/>
      </c>
      <c r="AB868" s="4" t="str">
        <f t="array" ref="AB868">XLOOKUP(X868,'Dados Funil'!A:A,'Dados Funil'!O:O,"")</f>
        <v/>
      </c>
      <c r="AE868" s="7" t="str">
        <f t="shared" si="6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9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G869" s="4"/>
      <c r="H869" s="4"/>
      <c r="I869" s="7" t="str">
        <f t="shared" si="2"/>
        <v/>
      </c>
      <c r="J869" s="4" t="str">
        <f t="shared" si="10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1"/>
        <v/>
      </c>
      <c r="P869" s="4" t="str">
        <f t="array" ref="P869">XLOOKUP(L869,'Dados Funil'!A:A,'Dados Funil'!AM:AM,"")</f>
        <v/>
      </c>
      <c r="Q869" s="9" t="str">
        <f t="array" ref="Q869">XLOOKUP(L869,'Dados Funil'!A:A,'Dados Funil'!AN:AN,"")</f>
        <v/>
      </c>
      <c r="T869" s="7" t="str">
        <f t="shared" si="4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5"/>
        <v/>
      </c>
      <c r="AA869" s="4" t="str">
        <f t="shared" si="13"/>
        <v/>
      </c>
      <c r="AB869" s="4" t="str">
        <f t="array" ref="AB869">XLOOKUP(X869,'Dados Funil'!A:A,'Dados Funil'!O:O,"")</f>
        <v/>
      </c>
      <c r="AE869" s="7" t="str">
        <f t="shared" si="6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9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G870" s="4"/>
      <c r="H870" s="4"/>
      <c r="I870" s="7" t="str">
        <f t="shared" si="2"/>
        <v/>
      </c>
      <c r="J870" s="4" t="str">
        <f t="shared" si="10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1"/>
        <v/>
      </c>
      <c r="P870" s="4" t="str">
        <f t="array" ref="P870">XLOOKUP(L870,'Dados Funil'!A:A,'Dados Funil'!AM:AM,"")</f>
        <v/>
      </c>
      <c r="Q870" s="9" t="str">
        <f t="array" ref="Q870">XLOOKUP(L870,'Dados Funil'!A:A,'Dados Funil'!AN:AN,"")</f>
        <v/>
      </c>
      <c r="T870" s="7" t="str">
        <f t="shared" si="4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5"/>
        <v/>
      </c>
      <c r="AA870" s="4" t="str">
        <f t="shared" si="13"/>
        <v/>
      </c>
      <c r="AB870" s="4" t="str">
        <f t="array" ref="AB870">XLOOKUP(X870,'Dados Funil'!A:A,'Dados Funil'!O:O,"")</f>
        <v/>
      </c>
      <c r="AE870" s="7" t="str">
        <f t="shared" si="6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9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G871" s="4"/>
      <c r="H871" s="4"/>
      <c r="I871" s="7" t="str">
        <f t="shared" si="2"/>
        <v/>
      </c>
      <c r="J871" s="4" t="str">
        <f t="shared" si="10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1"/>
        <v/>
      </c>
      <c r="P871" s="4" t="str">
        <f t="array" ref="P871">XLOOKUP(L871,'Dados Funil'!A:A,'Dados Funil'!AM:AM,"")</f>
        <v/>
      </c>
      <c r="Q871" s="9" t="str">
        <f t="array" ref="Q871">XLOOKUP(L871,'Dados Funil'!A:A,'Dados Funil'!AN:AN,"")</f>
        <v/>
      </c>
      <c r="T871" s="7" t="str">
        <f t="shared" si="4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5"/>
        <v/>
      </c>
      <c r="AA871" s="4" t="str">
        <f t="shared" si="13"/>
        <v/>
      </c>
      <c r="AB871" s="4" t="str">
        <f t="array" ref="AB871">XLOOKUP(X871,'Dados Funil'!A:A,'Dados Funil'!O:O,"")</f>
        <v/>
      </c>
      <c r="AE871" s="7" t="str">
        <f t="shared" si="6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9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G872" s="4"/>
      <c r="H872" s="4"/>
      <c r="I872" s="7" t="str">
        <f t="shared" si="2"/>
        <v/>
      </c>
      <c r="J872" s="4" t="str">
        <f t="shared" si="10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1"/>
        <v/>
      </c>
      <c r="P872" s="4" t="str">
        <f t="array" ref="P872">XLOOKUP(L872,'Dados Funil'!A:A,'Dados Funil'!AM:AM,"")</f>
        <v/>
      </c>
      <c r="Q872" s="9" t="str">
        <f t="array" ref="Q872">XLOOKUP(L872,'Dados Funil'!A:A,'Dados Funil'!AN:AN,"")</f>
        <v/>
      </c>
      <c r="T872" s="7" t="str">
        <f t="shared" si="4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5"/>
        <v/>
      </c>
      <c r="AA872" s="4" t="str">
        <f t="shared" si="13"/>
        <v/>
      </c>
      <c r="AB872" s="4" t="str">
        <f t="array" ref="AB872">XLOOKUP(X872,'Dados Funil'!A:A,'Dados Funil'!O:O,"")</f>
        <v/>
      </c>
      <c r="AE872" s="7" t="str">
        <f t="shared" si="6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9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G873" s="4"/>
      <c r="H873" s="4"/>
      <c r="I873" s="7" t="str">
        <f t="shared" si="2"/>
        <v/>
      </c>
      <c r="J873" s="4" t="str">
        <f t="shared" si="10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1"/>
        <v/>
      </c>
      <c r="P873" s="4" t="str">
        <f t="array" ref="P873">XLOOKUP(L873,'Dados Funil'!A:A,'Dados Funil'!AM:AM,"")</f>
        <v/>
      </c>
      <c r="Q873" s="9" t="str">
        <f t="array" ref="Q873">XLOOKUP(L873,'Dados Funil'!A:A,'Dados Funil'!AN:AN,"")</f>
        <v/>
      </c>
      <c r="T873" s="7" t="str">
        <f t="shared" si="4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5"/>
        <v/>
      </c>
      <c r="AA873" s="4" t="str">
        <f t="shared" si="13"/>
        <v/>
      </c>
      <c r="AB873" s="4" t="str">
        <f t="array" ref="AB873">XLOOKUP(X873,'Dados Funil'!A:A,'Dados Funil'!O:O,"")</f>
        <v/>
      </c>
      <c r="AE873" s="7" t="str">
        <f t="shared" si="6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9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G874" s="4"/>
      <c r="H874" s="4"/>
      <c r="I874" s="7" t="str">
        <f t="shared" si="2"/>
        <v/>
      </c>
      <c r="J874" s="4" t="str">
        <f t="shared" si="10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1"/>
        <v/>
      </c>
      <c r="P874" s="4" t="str">
        <f t="array" ref="P874">XLOOKUP(L874,'Dados Funil'!A:A,'Dados Funil'!AM:AM,"")</f>
        <v/>
      </c>
      <c r="Q874" s="9" t="str">
        <f t="array" ref="Q874">XLOOKUP(L874,'Dados Funil'!A:A,'Dados Funil'!AN:AN,"")</f>
        <v/>
      </c>
      <c r="T874" s="7" t="str">
        <f t="shared" si="4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5"/>
        <v/>
      </c>
      <c r="AA874" s="4" t="str">
        <f t="shared" si="13"/>
        <v/>
      </c>
      <c r="AB874" s="4" t="str">
        <f t="array" ref="AB874">XLOOKUP(X874,'Dados Funil'!A:A,'Dados Funil'!O:O,"")</f>
        <v/>
      </c>
      <c r="AE874" s="7" t="str">
        <f t="shared" si="6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9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G875" s="4"/>
      <c r="H875" s="4"/>
      <c r="I875" s="7" t="str">
        <f t="shared" si="2"/>
        <v/>
      </c>
      <c r="J875" s="4" t="str">
        <f t="shared" si="10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1"/>
        <v/>
      </c>
      <c r="P875" s="4" t="str">
        <f t="array" ref="P875">XLOOKUP(L875,'Dados Funil'!A:A,'Dados Funil'!AM:AM,"")</f>
        <v/>
      </c>
      <c r="Q875" s="9" t="str">
        <f t="array" ref="Q875">XLOOKUP(L875,'Dados Funil'!A:A,'Dados Funil'!AN:AN,"")</f>
        <v/>
      </c>
      <c r="T875" s="7" t="str">
        <f t="shared" si="4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5"/>
        <v/>
      </c>
      <c r="AA875" s="4" t="str">
        <f t="shared" si="13"/>
        <v/>
      </c>
      <c r="AB875" s="4" t="str">
        <f t="array" ref="AB875">XLOOKUP(X875,'Dados Funil'!A:A,'Dados Funil'!O:O,"")</f>
        <v/>
      </c>
      <c r="AE875" s="7" t="str">
        <f t="shared" si="6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9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G876" s="4"/>
      <c r="H876" s="4"/>
      <c r="I876" s="7" t="str">
        <f t="shared" si="2"/>
        <v/>
      </c>
      <c r="J876" s="4" t="str">
        <f t="shared" si="10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1"/>
        <v/>
      </c>
      <c r="P876" s="4" t="str">
        <f t="array" ref="P876">XLOOKUP(L876,'Dados Funil'!A:A,'Dados Funil'!AM:AM,"")</f>
        <v/>
      </c>
      <c r="Q876" s="9" t="str">
        <f t="array" ref="Q876">XLOOKUP(L876,'Dados Funil'!A:A,'Dados Funil'!AN:AN,"")</f>
        <v/>
      </c>
      <c r="T876" s="7" t="str">
        <f t="shared" si="4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5"/>
        <v/>
      </c>
      <c r="AA876" s="4" t="str">
        <f t="shared" si="13"/>
        <v/>
      </c>
      <c r="AB876" s="4" t="str">
        <f t="array" ref="AB876">XLOOKUP(X876,'Dados Funil'!A:A,'Dados Funil'!O:O,"")</f>
        <v/>
      </c>
      <c r="AE876" s="7" t="str">
        <f t="shared" si="6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9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G877" s="4"/>
      <c r="H877" s="4"/>
      <c r="I877" s="7" t="str">
        <f t="shared" si="2"/>
        <v/>
      </c>
      <c r="J877" s="4" t="str">
        <f t="shared" si="10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1"/>
        <v/>
      </c>
      <c r="P877" s="4" t="str">
        <f t="array" ref="P877">XLOOKUP(L877,'Dados Funil'!A:A,'Dados Funil'!AM:AM,"")</f>
        <v/>
      </c>
      <c r="Q877" s="9" t="str">
        <f t="array" ref="Q877">XLOOKUP(L877,'Dados Funil'!A:A,'Dados Funil'!AN:AN,"")</f>
        <v/>
      </c>
      <c r="T877" s="7" t="str">
        <f t="shared" si="4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5"/>
        <v/>
      </c>
      <c r="AA877" s="4" t="str">
        <f t="shared" si="13"/>
        <v/>
      </c>
      <c r="AB877" s="4" t="str">
        <f t="array" ref="AB877">XLOOKUP(X877,'Dados Funil'!A:A,'Dados Funil'!O:O,"")</f>
        <v/>
      </c>
      <c r="AE877" s="7" t="str">
        <f t="shared" si="6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9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G878" s="4"/>
      <c r="H878" s="4"/>
      <c r="I878" s="7" t="str">
        <f t="shared" si="2"/>
        <v/>
      </c>
      <c r="J878" s="4" t="str">
        <f t="shared" si="10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1"/>
        <v/>
      </c>
      <c r="P878" s="4" t="str">
        <f t="array" ref="P878">XLOOKUP(L878,'Dados Funil'!A:A,'Dados Funil'!AM:AM,"")</f>
        <v/>
      </c>
      <c r="Q878" s="9" t="str">
        <f t="array" ref="Q878">XLOOKUP(L878,'Dados Funil'!A:A,'Dados Funil'!AN:AN,"")</f>
        <v/>
      </c>
      <c r="T878" s="7" t="str">
        <f t="shared" si="4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5"/>
        <v/>
      </c>
      <c r="AA878" s="4" t="str">
        <f t="shared" si="13"/>
        <v/>
      </c>
      <c r="AB878" s="4" t="str">
        <f t="array" ref="AB878">XLOOKUP(X878,'Dados Funil'!A:A,'Dados Funil'!O:O,"")</f>
        <v/>
      </c>
      <c r="AE878" s="7" t="str">
        <f t="shared" si="6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9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G879" s="4"/>
      <c r="H879" s="4"/>
      <c r="I879" s="7" t="str">
        <f t="shared" si="2"/>
        <v/>
      </c>
      <c r="J879" s="4" t="str">
        <f t="shared" si="10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1"/>
        <v/>
      </c>
      <c r="P879" s="4" t="str">
        <f t="array" ref="P879">XLOOKUP(L879,'Dados Funil'!A:A,'Dados Funil'!AM:AM,"")</f>
        <v/>
      </c>
      <c r="Q879" s="9" t="str">
        <f t="array" ref="Q879">XLOOKUP(L879,'Dados Funil'!A:A,'Dados Funil'!AN:AN,"")</f>
        <v/>
      </c>
      <c r="T879" s="7" t="str">
        <f t="shared" si="4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5"/>
        <v/>
      </c>
      <c r="AA879" s="4" t="str">
        <f t="shared" si="13"/>
        <v/>
      </c>
      <c r="AB879" s="4" t="str">
        <f t="array" ref="AB879">XLOOKUP(X879,'Dados Funil'!A:A,'Dados Funil'!O:O,"")</f>
        <v/>
      </c>
      <c r="AE879" s="7" t="str">
        <f t="shared" si="6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9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G880" s="4"/>
      <c r="H880" s="4"/>
      <c r="I880" s="7" t="str">
        <f t="shared" si="2"/>
        <v/>
      </c>
      <c r="J880" s="4" t="str">
        <f t="shared" si="10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1"/>
        <v/>
      </c>
      <c r="P880" s="4" t="str">
        <f t="array" ref="P880">XLOOKUP(L880,'Dados Funil'!A:A,'Dados Funil'!AM:AM,"")</f>
        <v/>
      </c>
      <c r="Q880" s="9" t="str">
        <f t="array" ref="Q880">XLOOKUP(L880,'Dados Funil'!A:A,'Dados Funil'!AN:AN,"")</f>
        <v/>
      </c>
      <c r="T880" s="7" t="str">
        <f t="shared" si="4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5"/>
        <v/>
      </c>
      <c r="AA880" s="4" t="str">
        <f t="shared" si="13"/>
        <v/>
      </c>
      <c r="AB880" s="4" t="str">
        <f t="array" ref="AB880">XLOOKUP(X880,'Dados Funil'!A:A,'Dados Funil'!O:O,"")</f>
        <v/>
      </c>
      <c r="AE880" s="7" t="str">
        <f t="shared" si="6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9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G881" s="4"/>
      <c r="H881" s="4"/>
      <c r="I881" s="7" t="str">
        <f t="shared" si="2"/>
        <v/>
      </c>
      <c r="J881" s="4" t="str">
        <f t="shared" si="10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1"/>
        <v/>
      </c>
      <c r="P881" s="4" t="str">
        <f t="array" ref="P881">XLOOKUP(L881,'Dados Funil'!A:A,'Dados Funil'!AM:AM,"")</f>
        <v/>
      </c>
      <c r="Q881" s="9" t="str">
        <f t="array" ref="Q881">XLOOKUP(L881,'Dados Funil'!A:A,'Dados Funil'!AN:AN,"")</f>
        <v/>
      </c>
      <c r="T881" s="7" t="str">
        <f t="shared" si="4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5"/>
        <v/>
      </c>
      <c r="AA881" s="4" t="str">
        <f t="shared" si="13"/>
        <v/>
      </c>
      <c r="AB881" s="4" t="str">
        <f t="array" ref="AB881">XLOOKUP(X881,'Dados Funil'!A:A,'Dados Funil'!O:O,"")</f>
        <v/>
      </c>
      <c r="AE881" s="7" t="str">
        <f t="shared" si="6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9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G882" s="4"/>
      <c r="H882" s="4"/>
      <c r="I882" s="7" t="str">
        <f t="shared" si="2"/>
        <v/>
      </c>
      <c r="J882" s="4" t="str">
        <f t="shared" si="10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1"/>
        <v/>
      </c>
      <c r="P882" s="4" t="str">
        <f t="array" ref="P882">XLOOKUP(L882,'Dados Funil'!A:A,'Dados Funil'!AM:AM,"")</f>
        <v/>
      </c>
      <c r="Q882" s="9" t="str">
        <f t="array" ref="Q882">XLOOKUP(L882,'Dados Funil'!A:A,'Dados Funil'!AN:AN,"")</f>
        <v/>
      </c>
      <c r="T882" s="7" t="str">
        <f t="shared" si="4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5"/>
        <v/>
      </c>
      <c r="AA882" s="4" t="str">
        <f t="shared" si="13"/>
        <v/>
      </c>
      <c r="AB882" s="4" t="str">
        <f t="array" ref="AB882">XLOOKUP(X882,'Dados Funil'!A:A,'Dados Funil'!O:O,"")</f>
        <v/>
      </c>
      <c r="AE882" s="7" t="str">
        <f t="shared" si="6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9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G883" s="4"/>
      <c r="H883" s="4"/>
      <c r="I883" s="7" t="str">
        <f t="shared" si="2"/>
        <v/>
      </c>
      <c r="J883" s="4" t="str">
        <f t="shared" si="10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1"/>
        <v/>
      </c>
      <c r="P883" s="4" t="str">
        <f t="array" ref="P883">XLOOKUP(L883,'Dados Funil'!A:A,'Dados Funil'!AM:AM,"")</f>
        <v/>
      </c>
      <c r="Q883" s="9" t="str">
        <f t="array" ref="Q883">XLOOKUP(L883,'Dados Funil'!A:A,'Dados Funil'!AN:AN,"")</f>
        <v/>
      </c>
      <c r="T883" s="7" t="str">
        <f t="shared" si="4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5"/>
        <v/>
      </c>
      <c r="AA883" s="4" t="str">
        <f t="shared" si="13"/>
        <v/>
      </c>
      <c r="AB883" s="4" t="str">
        <f t="array" ref="AB883">XLOOKUP(X883,'Dados Funil'!A:A,'Dados Funil'!O:O,"")</f>
        <v/>
      </c>
      <c r="AE883" s="7" t="str">
        <f t="shared" si="6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9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G884" s="4"/>
      <c r="H884" s="4"/>
      <c r="I884" s="7" t="str">
        <f t="shared" si="2"/>
        <v/>
      </c>
      <c r="J884" s="4" t="str">
        <f t="shared" si="10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1"/>
        <v/>
      </c>
      <c r="P884" s="4" t="str">
        <f t="array" ref="P884">XLOOKUP(L884,'Dados Funil'!A:A,'Dados Funil'!AM:AM,"")</f>
        <v/>
      </c>
      <c r="Q884" s="9" t="str">
        <f t="array" ref="Q884">XLOOKUP(L884,'Dados Funil'!A:A,'Dados Funil'!AN:AN,"")</f>
        <v/>
      </c>
      <c r="T884" s="7" t="str">
        <f t="shared" si="4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5"/>
        <v/>
      </c>
      <c r="AA884" s="4" t="str">
        <f t="shared" si="13"/>
        <v/>
      </c>
      <c r="AB884" s="4" t="str">
        <f t="array" ref="AB884">XLOOKUP(X884,'Dados Funil'!A:A,'Dados Funil'!O:O,"")</f>
        <v/>
      </c>
      <c r="AE884" s="7" t="str">
        <f t="shared" si="6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9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G885" s="4"/>
      <c r="H885" s="4"/>
      <c r="I885" s="7" t="str">
        <f t="shared" si="2"/>
        <v/>
      </c>
      <c r="J885" s="4" t="str">
        <f t="shared" si="10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1"/>
        <v/>
      </c>
      <c r="P885" s="4" t="str">
        <f t="array" ref="P885">XLOOKUP(L885,'Dados Funil'!A:A,'Dados Funil'!AM:AM,"")</f>
        <v/>
      </c>
      <c r="Q885" s="9" t="str">
        <f t="array" ref="Q885">XLOOKUP(L885,'Dados Funil'!A:A,'Dados Funil'!AN:AN,"")</f>
        <v/>
      </c>
      <c r="T885" s="7" t="str">
        <f t="shared" si="4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5"/>
        <v/>
      </c>
      <c r="AA885" s="4" t="str">
        <f t="shared" si="13"/>
        <v/>
      </c>
      <c r="AB885" s="4" t="str">
        <f t="array" ref="AB885">XLOOKUP(X885,'Dados Funil'!A:A,'Dados Funil'!O:O,"")</f>
        <v/>
      </c>
      <c r="AE885" s="7" t="str">
        <f t="shared" si="6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9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G886" s="4"/>
      <c r="H886" s="4"/>
      <c r="I886" s="7" t="str">
        <f t="shared" si="2"/>
        <v/>
      </c>
      <c r="J886" s="4" t="str">
        <f t="shared" si="10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1"/>
        <v/>
      </c>
      <c r="P886" s="4" t="str">
        <f t="array" ref="P886">XLOOKUP(L886,'Dados Funil'!A:A,'Dados Funil'!AM:AM,"")</f>
        <v/>
      </c>
      <c r="Q886" s="9" t="str">
        <f t="array" ref="Q886">XLOOKUP(L886,'Dados Funil'!A:A,'Dados Funil'!AN:AN,"")</f>
        <v/>
      </c>
      <c r="T886" s="7" t="str">
        <f t="shared" si="4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5"/>
        <v/>
      </c>
      <c r="AA886" s="4" t="str">
        <f t="shared" si="13"/>
        <v/>
      </c>
      <c r="AB886" s="4" t="str">
        <f t="array" ref="AB886">XLOOKUP(X886,'Dados Funil'!A:A,'Dados Funil'!O:O,"")</f>
        <v/>
      </c>
      <c r="AE886" s="7" t="str">
        <f t="shared" si="6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9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G887" s="4"/>
      <c r="H887" s="4"/>
      <c r="I887" s="7" t="str">
        <f t="shared" si="2"/>
        <v/>
      </c>
      <c r="J887" s="4" t="str">
        <f t="shared" si="10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1"/>
        <v/>
      </c>
      <c r="P887" s="4" t="str">
        <f t="array" ref="P887">XLOOKUP(L887,'Dados Funil'!A:A,'Dados Funil'!AM:AM,"")</f>
        <v/>
      </c>
      <c r="Q887" s="9" t="str">
        <f t="array" ref="Q887">XLOOKUP(L887,'Dados Funil'!A:A,'Dados Funil'!AN:AN,"")</f>
        <v/>
      </c>
      <c r="T887" s="7" t="str">
        <f t="shared" si="4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5"/>
        <v/>
      </c>
      <c r="AA887" s="4" t="str">
        <f t="shared" si="13"/>
        <v/>
      </c>
      <c r="AB887" s="4" t="str">
        <f t="array" ref="AB887">XLOOKUP(X887,'Dados Funil'!A:A,'Dados Funil'!O:O,"")</f>
        <v/>
      </c>
      <c r="AE887" s="7" t="str">
        <f t="shared" si="6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9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G888" s="4"/>
      <c r="H888" s="4"/>
      <c r="I888" s="7" t="str">
        <f t="shared" si="2"/>
        <v/>
      </c>
      <c r="J888" s="4" t="str">
        <f t="shared" si="10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1"/>
        <v/>
      </c>
      <c r="P888" s="4" t="str">
        <f t="array" ref="P888">XLOOKUP(L888,'Dados Funil'!A:A,'Dados Funil'!AM:AM,"")</f>
        <v/>
      </c>
      <c r="Q888" s="9" t="str">
        <f t="array" ref="Q888">XLOOKUP(L888,'Dados Funil'!A:A,'Dados Funil'!AN:AN,"")</f>
        <v/>
      </c>
      <c r="T888" s="7" t="str">
        <f t="shared" si="4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5"/>
        <v/>
      </c>
      <c r="AA888" s="4" t="str">
        <f t="shared" si="13"/>
        <v/>
      </c>
      <c r="AB888" s="4" t="str">
        <f t="array" ref="AB888">XLOOKUP(X888,'Dados Funil'!A:A,'Dados Funil'!O:O,"")</f>
        <v/>
      </c>
      <c r="AE888" s="7" t="str">
        <f t="shared" si="6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9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G889" s="4"/>
      <c r="H889" s="4"/>
      <c r="I889" s="7" t="str">
        <f t="shared" si="2"/>
        <v/>
      </c>
      <c r="J889" s="4" t="str">
        <f t="shared" si="10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1"/>
        <v/>
      </c>
      <c r="P889" s="4" t="str">
        <f t="array" ref="P889">XLOOKUP(L889,'Dados Funil'!A:A,'Dados Funil'!AM:AM,"")</f>
        <v/>
      </c>
      <c r="Q889" s="9" t="str">
        <f t="array" ref="Q889">XLOOKUP(L889,'Dados Funil'!A:A,'Dados Funil'!AN:AN,"")</f>
        <v/>
      </c>
      <c r="T889" s="7" t="str">
        <f t="shared" si="4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5"/>
        <v/>
      </c>
      <c r="AA889" s="4" t="str">
        <f t="shared" si="13"/>
        <v/>
      </c>
      <c r="AB889" s="4" t="str">
        <f t="array" ref="AB889">XLOOKUP(X889,'Dados Funil'!A:A,'Dados Funil'!O:O,"")</f>
        <v/>
      </c>
      <c r="AE889" s="7" t="str">
        <f t="shared" si="6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9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G890" s="4"/>
      <c r="H890" s="4"/>
      <c r="I890" s="7" t="str">
        <f t="shared" si="2"/>
        <v/>
      </c>
      <c r="J890" s="4" t="str">
        <f t="shared" si="10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1"/>
        <v/>
      </c>
      <c r="P890" s="4" t="str">
        <f t="array" ref="P890">XLOOKUP(L890,'Dados Funil'!A:A,'Dados Funil'!AM:AM,"")</f>
        <v/>
      </c>
      <c r="Q890" s="9" t="str">
        <f t="array" ref="Q890">XLOOKUP(L890,'Dados Funil'!A:A,'Dados Funil'!AN:AN,"")</f>
        <v/>
      </c>
      <c r="T890" s="7" t="str">
        <f t="shared" si="4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5"/>
        <v/>
      </c>
      <c r="AA890" s="4" t="str">
        <f t="shared" si="13"/>
        <v/>
      </c>
      <c r="AB890" s="4" t="str">
        <f t="array" ref="AB890">XLOOKUP(X890,'Dados Funil'!A:A,'Dados Funil'!O:O,"")</f>
        <v/>
      </c>
      <c r="AE890" s="7" t="str">
        <f t="shared" si="6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9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G891" s="4"/>
      <c r="H891" s="4"/>
      <c r="I891" s="7" t="str">
        <f t="shared" si="2"/>
        <v/>
      </c>
      <c r="J891" s="4" t="str">
        <f t="shared" si="10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1"/>
        <v/>
      </c>
      <c r="P891" s="4" t="str">
        <f t="array" ref="P891">XLOOKUP(L891,'Dados Funil'!A:A,'Dados Funil'!AM:AM,"")</f>
        <v/>
      </c>
      <c r="Q891" s="9" t="str">
        <f t="array" ref="Q891">XLOOKUP(L891,'Dados Funil'!A:A,'Dados Funil'!AN:AN,"")</f>
        <v/>
      </c>
      <c r="T891" s="7" t="str">
        <f t="shared" si="4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5"/>
        <v/>
      </c>
      <c r="AA891" s="4" t="str">
        <f t="shared" si="13"/>
        <v/>
      </c>
      <c r="AB891" s="4" t="str">
        <f t="array" ref="AB891">XLOOKUP(X891,'Dados Funil'!A:A,'Dados Funil'!O:O,"")</f>
        <v/>
      </c>
      <c r="AE891" s="7" t="str">
        <f t="shared" si="6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9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G892" s="4"/>
      <c r="H892" s="4"/>
      <c r="I892" s="7" t="str">
        <f t="shared" si="2"/>
        <v/>
      </c>
      <c r="J892" s="4" t="str">
        <f t="shared" si="10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1"/>
        <v/>
      </c>
      <c r="P892" s="4" t="str">
        <f t="array" ref="P892">XLOOKUP(L892,'Dados Funil'!A:A,'Dados Funil'!AM:AM,"")</f>
        <v/>
      </c>
      <c r="Q892" s="9" t="str">
        <f t="array" ref="Q892">XLOOKUP(L892,'Dados Funil'!A:A,'Dados Funil'!AN:AN,"")</f>
        <v/>
      </c>
      <c r="T892" s="7" t="str">
        <f t="shared" si="4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5"/>
        <v/>
      </c>
      <c r="AA892" s="4" t="str">
        <f t="shared" si="13"/>
        <v/>
      </c>
      <c r="AB892" s="4" t="str">
        <f t="array" ref="AB892">XLOOKUP(X892,'Dados Funil'!A:A,'Dados Funil'!O:O,"")</f>
        <v/>
      </c>
      <c r="AE892" s="7" t="str">
        <f t="shared" si="6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9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G893" s="4"/>
      <c r="H893" s="4"/>
      <c r="I893" s="7" t="str">
        <f t="shared" si="2"/>
        <v/>
      </c>
      <c r="J893" s="4" t="str">
        <f t="shared" si="10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1"/>
        <v/>
      </c>
      <c r="P893" s="4" t="str">
        <f t="array" ref="P893">XLOOKUP(L893,'Dados Funil'!A:A,'Dados Funil'!AM:AM,"")</f>
        <v/>
      </c>
      <c r="Q893" s="9" t="str">
        <f t="array" ref="Q893">XLOOKUP(L893,'Dados Funil'!A:A,'Dados Funil'!AN:AN,"")</f>
        <v/>
      </c>
      <c r="T893" s="7" t="str">
        <f t="shared" si="4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5"/>
        <v/>
      </c>
      <c r="AA893" s="4" t="str">
        <f t="shared" si="13"/>
        <v/>
      </c>
      <c r="AB893" s="4" t="str">
        <f t="array" ref="AB893">XLOOKUP(X893,'Dados Funil'!A:A,'Dados Funil'!O:O,"")</f>
        <v/>
      </c>
      <c r="AE893" s="7" t="str">
        <f t="shared" si="6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9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G894" s="4"/>
      <c r="H894" s="4"/>
      <c r="I894" s="7" t="str">
        <f t="shared" si="2"/>
        <v/>
      </c>
      <c r="J894" s="4" t="str">
        <f t="shared" si="10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1"/>
        <v/>
      </c>
      <c r="P894" s="4" t="str">
        <f t="array" ref="P894">XLOOKUP(L894,'Dados Funil'!A:A,'Dados Funil'!AM:AM,"")</f>
        <v/>
      </c>
      <c r="Q894" s="9" t="str">
        <f t="array" ref="Q894">XLOOKUP(L894,'Dados Funil'!A:A,'Dados Funil'!AN:AN,"")</f>
        <v/>
      </c>
      <c r="T894" s="7" t="str">
        <f t="shared" si="4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5"/>
        <v/>
      </c>
      <c r="AA894" s="4" t="str">
        <f t="shared" si="13"/>
        <v/>
      </c>
      <c r="AB894" s="4" t="str">
        <f t="array" ref="AB894">XLOOKUP(X894,'Dados Funil'!A:A,'Dados Funil'!O:O,"")</f>
        <v/>
      </c>
      <c r="AE894" s="7" t="str">
        <f t="shared" si="6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9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G895" s="4"/>
      <c r="H895" s="4"/>
      <c r="I895" s="7" t="str">
        <f t="shared" si="2"/>
        <v/>
      </c>
      <c r="J895" s="4" t="str">
        <f t="shared" si="10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1"/>
        <v/>
      </c>
      <c r="P895" s="4" t="str">
        <f t="array" ref="P895">XLOOKUP(L895,'Dados Funil'!A:A,'Dados Funil'!AM:AM,"")</f>
        <v/>
      </c>
      <c r="Q895" s="9" t="str">
        <f t="array" ref="Q895">XLOOKUP(L895,'Dados Funil'!A:A,'Dados Funil'!AN:AN,"")</f>
        <v/>
      </c>
      <c r="T895" s="7" t="str">
        <f t="shared" si="4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5"/>
        <v/>
      </c>
      <c r="AA895" s="4" t="str">
        <f t="shared" si="13"/>
        <v/>
      </c>
      <c r="AB895" s="4" t="str">
        <f t="array" ref="AB895">XLOOKUP(X895,'Dados Funil'!A:A,'Dados Funil'!O:O,"")</f>
        <v/>
      </c>
      <c r="AE895" s="7" t="str">
        <f t="shared" si="6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9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G896" s="4"/>
      <c r="H896" s="4"/>
      <c r="I896" s="7" t="str">
        <f t="shared" si="2"/>
        <v/>
      </c>
      <c r="J896" s="4" t="str">
        <f t="shared" si="10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1"/>
        <v/>
      </c>
      <c r="P896" s="4" t="str">
        <f t="array" ref="P896">XLOOKUP(L896,'Dados Funil'!A:A,'Dados Funil'!AM:AM,"")</f>
        <v/>
      </c>
      <c r="Q896" s="9" t="str">
        <f t="array" ref="Q896">XLOOKUP(L896,'Dados Funil'!A:A,'Dados Funil'!AN:AN,"")</f>
        <v/>
      </c>
      <c r="T896" s="7" t="str">
        <f t="shared" si="4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5"/>
        <v/>
      </c>
      <c r="AA896" s="4" t="str">
        <f t="shared" si="13"/>
        <v/>
      </c>
      <c r="AB896" s="4" t="str">
        <f t="array" ref="AB896">XLOOKUP(X896,'Dados Funil'!A:A,'Dados Funil'!O:O,"")</f>
        <v/>
      </c>
      <c r="AE896" s="7" t="str">
        <f t="shared" si="6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9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G897" s="4"/>
      <c r="H897" s="4"/>
      <c r="I897" s="7" t="str">
        <f t="shared" si="2"/>
        <v/>
      </c>
      <c r="J897" s="4" t="str">
        <f t="shared" si="10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1"/>
        <v/>
      </c>
      <c r="P897" s="4" t="str">
        <f t="array" ref="P897">XLOOKUP(L897,'Dados Funil'!A:A,'Dados Funil'!AM:AM,"")</f>
        <v/>
      </c>
      <c r="Q897" s="9" t="str">
        <f t="array" ref="Q897">XLOOKUP(L897,'Dados Funil'!A:A,'Dados Funil'!AN:AN,"")</f>
        <v/>
      </c>
      <c r="T897" s="7" t="str">
        <f t="shared" si="4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5"/>
        <v/>
      </c>
      <c r="AA897" s="4" t="str">
        <f t="shared" si="13"/>
        <v/>
      </c>
      <c r="AB897" s="4" t="str">
        <f t="array" ref="AB897">XLOOKUP(X897,'Dados Funil'!A:A,'Dados Funil'!O:O,"")</f>
        <v/>
      </c>
      <c r="AE897" s="7" t="str">
        <f t="shared" si="6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9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G898" s="4"/>
      <c r="H898" s="4"/>
      <c r="I898" s="7" t="str">
        <f t="shared" si="2"/>
        <v/>
      </c>
      <c r="J898" s="4" t="str">
        <f t="shared" si="10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1"/>
        <v/>
      </c>
      <c r="P898" s="4" t="str">
        <f t="array" ref="P898">XLOOKUP(L898,'Dados Funil'!A:A,'Dados Funil'!AM:AM,"")</f>
        <v/>
      </c>
      <c r="Q898" s="9" t="str">
        <f t="array" ref="Q898">XLOOKUP(L898,'Dados Funil'!A:A,'Dados Funil'!AN:AN,"")</f>
        <v/>
      </c>
      <c r="T898" s="7" t="str">
        <f t="shared" si="4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5"/>
        <v/>
      </c>
      <c r="AA898" s="4" t="str">
        <f t="shared" si="13"/>
        <v/>
      </c>
      <c r="AB898" s="4" t="str">
        <f t="array" ref="AB898">XLOOKUP(X898,'Dados Funil'!A:A,'Dados Funil'!O:O,"")</f>
        <v/>
      </c>
      <c r="AE898" s="7" t="str">
        <f t="shared" si="6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9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G899" s="4"/>
      <c r="H899" s="4"/>
      <c r="I899" s="7" t="str">
        <f t="shared" si="2"/>
        <v/>
      </c>
      <c r="J899" s="4" t="str">
        <f t="shared" si="10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1"/>
        <v/>
      </c>
      <c r="P899" s="4" t="str">
        <f t="array" ref="P899">XLOOKUP(L899,'Dados Funil'!A:A,'Dados Funil'!AM:AM,"")</f>
        <v/>
      </c>
      <c r="Q899" s="9" t="str">
        <f t="array" ref="Q899">XLOOKUP(L899,'Dados Funil'!A:A,'Dados Funil'!AN:AN,"")</f>
        <v/>
      </c>
      <c r="T899" s="7" t="str">
        <f t="shared" si="4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5"/>
        <v/>
      </c>
      <c r="AA899" s="4" t="str">
        <f t="shared" si="13"/>
        <v/>
      </c>
      <c r="AB899" s="4" t="str">
        <f t="array" ref="AB899">XLOOKUP(X899,'Dados Funil'!A:A,'Dados Funil'!O:O,"")</f>
        <v/>
      </c>
      <c r="AE899" s="7" t="str">
        <f t="shared" si="6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9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G900" s="4"/>
      <c r="H900" s="4"/>
      <c r="I900" s="7" t="str">
        <f t="shared" si="2"/>
        <v/>
      </c>
      <c r="J900" s="4" t="str">
        <f t="shared" si="10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1"/>
        <v/>
      </c>
      <c r="P900" s="4" t="str">
        <f t="array" ref="P900">XLOOKUP(L900,'Dados Funil'!A:A,'Dados Funil'!AM:AM,"")</f>
        <v/>
      </c>
      <c r="Q900" s="9" t="str">
        <f t="array" ref="Q900">XLOOKUP(L900,'Dados Funil'!A:A,'Dados Funil'!AN:AN,"")</f>
        <v/>
      </c>
      <c r="T900" s="7" t="str">
        <f t="shared" si="4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5"/>
        <v/>
      </c>
      <c r="AA900" s="4" t="str">
        <f t="shared" si="13"/>
        <v/>
      </c>
      <c r="AB900" s="4" t="str">
        <f t="array" ref="AB900">XLOOKUP(X900,'Dados Funil'!A:A,'Dados Funil'!O:O,"")</f>
        <v/>
      </c>
      <c r="AE900" s="7" t="str">
        <f t="shared" si="6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9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G901" s="4"/>
      <c r="H901" s="4"/>
      <c r="I901" s="7" t="str">
        <f t="shared" si="2"/>
        <v/>
      </c>
      <c r="J901" s="4" t="str">
        <f t="shared" si="10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1"/>
        <v/>
      </c>
      <c r="P901" s="4" t="str">
        <f t="array" ref="P901">XLOOKUP(L901,'Dados Funil'!A:A,'Dados Funil'!AM:AM,"")</f>
        <v/>
      </c>
      <c r="Q901" s="9" t="str">
        <f t="array" ref="Q901">XLOOKUP(L901,'Dados Funil'!A:A,'Dados Funil'!AN:AN,"")</f>
        <v/>
      </c>
      <c r="T901" s="7" t="str">
        <f t="shared" si="4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5"/>
        <v/>
      </c>
      <c r="AA901" s="4" t="str">
        <f t="shared" si="13"/>
        <v/>
      </c>
      <c r="AB901" s="4" t="str">
        <f t="array" ref="AB901">XLOOKUP(X901,'Dados Funil'!A:A,'Dados Funil'!O:O,"")</f>
        <v/>
      </c>
      <c r="AE901" s="7" t="str">
        <f t="shared" si="6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9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G902" s="4"/>
      <c r="H902" s="4"/>
      <c r="I902" s="7" t="str">
        <f t="shared" si="2"/>
        <v/>
      </c>
      <c r="J902" s="4" t="str">
        <f t="shared" si="10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1"/>
        <v/>
      </c>
      <c r="P902" s="4" t="str">
        <f t="array" ref="P902">XLOOKUP(L902,'Dados Funil'!A:A,'Dados Funil'!AM:AM,"")</f>
        <v/>
      </c>
      <c r="Q902" s="9" t="str">
        <f t="array" ref="Q902">XLOOKUP(L902,'Dados Funil'!A:A,'Dados Funil'!AN:AN,"")</f>
        <v/>
      </c>
      <c r="T902" s="7" t="str">
        <f t="shared" si="4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5"/>
        <v/>
      </c>
      <c r="AA902" s="4" t="str">
        <f t="shared" si="13"/>
        <v/>
      </c>
      <c r="AB902" s="4" t="str">
        <f t="array" ref="AB902">XLOOKUP(X902,'Dados Funil'!A:A,'Dados Funil'!O:O,"")</f>
        <v/>
      </c>
      <c r="AE902" s="7" t="str">
        <f t="shared" si="6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9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G903" s="4"/>
      <c r="H903" s="4"/>
      <c r="I903" s="7" t="str">
        <f t="shared" si="2"/>
        <v/>
      </c>
      <c r="J903" s="4" t="str">
        <f t="shared" si="10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1"/>
        <v/>
      </c>
      <c r="P903" s="4" t="str">
        <f t="array" ref="P903">XLOOKUP(L903,'Dados Funil'!A:A,'Dados Funil'!AM:AM,"")</f>
        <v/>
      </c>
      <c r="Q903" s="9" t="str">
        <f t="array" ref="Q903">XLOOKUP(L903,'Dados Funil'!A:A,'Dados Funil'!AN:AN,"")</f>
        <v/>
      </c>
      <c r="T903" s="7" t="str">
        <f t="shared" si="4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5"/>
        <v/>
      </c>
      <c r="AA903" s="4" t="str">
        <f t="shared" si="13"/>
        <v/>
      </c>
      <c r="AB903" s="4" t="str">
        <f t="array" ref="AB903">XLOOKUP(X903,'Dados Funil'!A:A,'Dados Funil'!O:O,"")</f>
        <v/>
      </c>
      <c r="AE903" s="7" t="str">
        <f t="shared" si="6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9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G904" s="4"/>
      <c r="H904" s="4"/>
      <c r="I904" s="7" t="str">
        <f t="shared" si="2"/>
        <v/>
      </c>
      <c r="J904" s="4" t="str">
        <f t="shared" si="10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1"/>
        <v/>
      </c>
      <c r="P904" s="4" t="str">
        <f t="array" ref="P904">XLOOKUP(L904,'Dados Funil'!A:A,'Dados Funil'!AM:AM,"")</f>
        <v/>
      </c>
      <c r="Q904" s="9" t="str">
        <f t="array" ref="Q904">XLOOKUP(L904,'Dados Funil'!A:A,'Dados Funil'!AN:AN,"")</f>
        <v/>
      </c>
      <c r="T904" s="7" t="str">
        <f t="shared" si="4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5"/>
        <v/>
      </c>
      <c r="AA904" s="4" t="str">
        <f t="shared" si="13"/>
        <v/>
      </c>
      <c r="AB904" s="4" t="str">
        <f t="array" ref="AB904">XLOOKUP(X904,'Dados Funil'!A:A,'Dados Funil'!O:O,"")</f>
        <v/>
      </c>
      <c r="AE904" s="7" t="str">
        <f t="shared" si="6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9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G905" s="4"/>
      <c r="H905" s="4"/>
      <c r="I905" s="7" t="str">
        <f t="shared" si="2"/>
        <v/>
      </c>
      <c r="J905" s="4" t="str">
        <f t="shared" si="10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1"/>
        <v/>
      </c>
      <c r="P905" s="4" t="str">
        <f t="array" ref="P905">XLOOKUP(L905,'Dados Funil'!A:A,'Dados Funil'!AM:AM,"")</f>
        <v/>
      </c>
      <c r="Q905" s="9" t="str">
        <f t="array" ref="Q905">XLOOKUP(L905,'Dados Funil'!A:A,'Dados Funil'!AN:AN,"")</f>
        <v/>
      </c>
      <c r="T905" s="7" t="str">
        <f t="shared" si="4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5"/>
        <v/>
      </c>
      <c r="AA905" s="4" t="str">
        <f t="shared" si="13"/>
        <v/>
      </c>
      <c r="AB905" s="4" t="str">
        <f t="array" ref="AB905">XLOOKUP(X905,'Dados Funil'!A:A,'Dados Funil'!O:O,"")</f>
        <v/>
      </c>
      <c r="AE905" s="7" t="str">
        <f t="shared" si="6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9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G906" s="4"/>
      <c r="H906" s="4"/>
      <c r="I906" s="7" t="str">
        <f t="shared" si="2"/>
        <v/>
      </c>
      <c r="J906" s="4" t="str">
        <f t="shared" si="10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1"/>
        <v/>
      </c>
      <c r="P906" s="4" t="str">
        <f t="array" ref="P906">XLOOKUP(L906,'Dados Funil'!A:A,'Dados Funil'!AM:AM,"")</f>
        <v/>
      </c>
      <c r="Q906" s="9" t="str">
        <f t="array" ref="Q906">XLOOKUP(L906,'Dados Funil'!A:A,'Dados Funil'!AN:AN,"")</f>
        <v/>
      </c>
      <c r="T906" s="7" t="str">
        <f t="shared" si="4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5"/>
        <v/>
      </c>
      <c r="AA906" s="4" t="str">
        <f t="shared" si="13"/>
        <v/>
      </c>
      <c r="AB906" s="4" t="str">
        <f t="array" ref="AB906">XLOOKUP(X906,'Dados Funil'!A:A,'Dados Funil'!O:O,"")</f>
        <v/>
      </c>
      <c r="AE906" s="7" t="str">
        <f t="shared" si="6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9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G907" s="4"/>
      <c r="H907" s="4"/>
      <c r="I907" s="7" t="str">
        <f t="shared" si="2"/>
        <v/>
      </c>
      <c r="J907" s="4" t="str">
        <f t="shared" si="10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1"/>
        <v/>
      </c>
      <c r="P907" s="4" t="str">
        <f t="array" ref="P907">XLOOKUP(L907,'Dados Funil'!A:A,'Dados Funil'!AM:AM,"")</f>
        <v/>
      </c>
      <c r="Q907" s="9" t="str">
        <f t="array" ref="Q907">XLOOKUP(L907,'Dados Funil'!A:A,'Dados Funil'!AN:AN,"")</f>
        <v/>
      </c>
      <c r="T907" s="7" t="str">
        <f t="shared" si="4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5"/>
        <v/>
      </c>
      <c r="AA907" s="4" t="str">
        <f t="shared" si="13"/>
        <v/>
      </c>
      <c r="AB907" s="4" t="str">
        <f t="array" ref="AB907">XLOOKUP(X907,'Dados Funil'!A:A,'Dados Funil'!O:O,"")</f>
        <v/>
      </c>
      <c r="AE907" s="7" t="str">
        <f t="shared" si="6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9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G908" s="4"/>
      <c r="H908" s="4"/>
      <c r="I908" s="7" t="str">
        <f t="shared" si="2"/>
        <v/>
      </c>
      <c r="J908" s="4" t="str">
        <f t="shared" si="10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1"/>
        <v/>
      </c>
      <c r="P908" s="4" t="str">
        <f t="array" ref="P908">XLOOKUP(L908,'Dados Funil'!A:A,'Dados Funil'!AM:AM,"")</f>
        <v/>
      </c>
      <c r="Q908" s="9" t="str">
        <f t="array" ref="Q908">XLOOKUP(L908,'Dados Funil'!A:A,'Dados Funil'!AN:AN,"")</f>
        <v/>
      </c>
      <c r="T908" s="7" t="str">
        <f t="shared" si="4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5"/>
        <v/>
      </c>
      <c r="AA908" s="4" t="str">
        <f t="shared" si="13"/>
        <v/>
      </c>
      <c r="AB908" s="4" t="str">
        <f t="array" ref="AB908">XLOOKUP(X908,'Dados Funil'!A:A,'Dados Funil'!O:O,"")</f>
        <v/>
      </c>
      <c r="AE908" s="7" t="str">
        <f t="shared" si="6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9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G909" s="4"/>
      <c r="H909" s="4"/>
      <c r="I909" s="7" t="str">
        <f t="shared" si="2"/>
        <v/>
      </c>
      <c r="J909" s="4" t="str">
        <f t="shared" si="10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1"/>
        <v/>
      </c>
      <c r="P909" s="4" t="str">
        <f t="array" ref="P909">XLOOKUP(L909,'Dados Funil'!A:A,'Dados Funil'!AM:AM,"")</f>
        <v/>
      </c>
      <c r="Q909" s="9" t="str">
        <f t="array" ref="Q909">XLOOKUP(L909,'Dados Funil'!A:A,'Dados Funil'!AN:AN,"")</f>
        <v/>
      </c>
      <c r="T909" s="7" t="str">
        <f t="shared" si="4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5"/>
        <v/>
      </c>
      <c r="AA909" s="4" t="str">
        <f t="shared" si="13"/>
        <v/>
      </c>
      <c r="AB909" s="4" t="str">
        <f t="array" ref="AB909">XLOOKUP(X909,'Dados Funil'!A:A,'Dados Funil'!O:O,"")</f>
        <v/>
      </c>
      <c r="AE909" s="7" t="str">
        <f t="shared" si="6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9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G910" s="4"/>
      <c r="H910" s="4"/>
      <c r="I910" s="7" t="str">
        <f t="shared" si="2"/>
        <v/>
      </c>
      <c r="J910" s="4" t="str">
        <f t="shared" si="10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1"/>
        <v/>
      </c>
      <c r="P910" s="4" t="str">
        <f t="array" ref="P910">XLOOKUP(L910,'Dados Funil'!A:A,'Dados Funil'!AM:AM,"")</f>
        <v/>
      </c>
      <c r="Q910" s="9" t="str">
        <f t="array" ref="Q910">XLOOKUP(L910,'Dados Funil'!A:A,'Dados Funil'!AN:AN,"")</f>
        <v/>
      </c>
      <c r="T910" s="7" t="str">
        <f t="shared" si="4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5"/>
        <v/>
      </c>
      <c r="AA910" s="4" t="str">
        <f t="shared" si="13"/>
        <v/>
      </c>
      <c r="AB910" s="4" t="str">
        <f t="array" ref="AB910">XLOOKUP(X910,'Dados Funil'!A:A,'Dados Funil'!O:O,"")</f>
        <v/>
      </c>
      <c r="AE910" s="7" t="str">
        <f t="shared" si="6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9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G911" s="4"/>
      <c r="H911" s="4"/>
      <c r="I911" s="7" t="str">
        <f t="shared" si="2"/>
        <v/>
      </c>
      <c r="J911" s="4" t="str">
        <f t="shared" si="10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1"/>
        <v/>
      </c>
      <c r="P911" s="4" t="str">
        <f t="array" ref="P911">XLOOKUP(L911,'Dados Funil'!A:A,'Dados Funil'!AM:AM,"")</f>
        <v/>
      </c>
      <c r="Q911" s="9" t="str">
        <f t="array" ref="Q911">XLOOKUP(L911,'Dados Funil'!A:A,'Dados Funil'!AN:AN,"")</f>
        <v/>
      </c>
      <c r="T911" s="7" t="str">
        <f t="shared" si="4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5"/>
        <v/>
      </c>
      <c r="AA911" s="4" t="str">
        <f t="shared" si="13"/>
        <v/>
      </c>
      <c r="AB911" s="4" t="str">
        <f t="array" ref="AB911">XLOOKUP(X911,'Dados Funil'!A:A,'Dados Funil'!O:O,"")</f>
        <v/>
      </c>
      <c r="AE911" s="7" t="str">
        <f t="shared" si="6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9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G912" s="4"/>
      <c r="H912" s="4"/>
      <c r="I912" s="7" t="str">
        <f t="shared" si="2"/>
        <v/>
      </c>
      <c r="J912" s="4" t="str">
        <f t="shared" si="10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1"/>
        <v/>
      </c>
      <c r="P912" s="4" t="str">
        <f t="array" ref="P912">XLOOKUP(L912,'Dados Funil'!A:A,'Dados Funil'!AM:AM,"")</f>
        <v/>
      </c>
      <c r="Q912" s="9" t="str">
        <f t="array" ref="Q912">XLOOKUP(L912,'Dados Funil'!A:A,'Dados Funil'!AN:AN,"")</f>
        <v/>
      </c>
      <c r="T912" s="7" t="str">
        <f t="shared" si="4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5"/>
        <v/>
      </c>
      <c r="AA912" s="4" t="str">
        <f t="shared" si="13"/>
        <v/>
      </c>
      <c r="AB912" s="4" t="str">
        <f t="array" ref="AB912">XLOOKUP(X912,'Dados Funil'!A:A,'Dados Funil'!O:O,"")</f>
        <v/>
      </c>
      <c r="AE912" s="7" t="str">
        <f t="shared" si="6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9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G913" s="4"/>
      <c r="H913" s="4"/>
      <c r="I913" s="7" t="str">
        <f t="shared" si="2"/>
        <v/>
      </c>
      <c r="J913" s="4" t="str">
        <f t="shared" si="10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1"/>
        <v/>
      </c>
      <c r="P913" s="4" t="str">
        <f t="array" ref="P913">XLOOKUP(L913,'Dados Funil'!A:A,'Dados Funil'!AM:AM,"")</f>
        <v/>
      </c>
      <c r="Q913" s="9" t="str">
        <f t="array" ref="Q913">XLOOKUP(L913,'Dados Funil'!A:A,'Dados Funil'!AN:AN,"")</f>
        <v/>
      </c>
      <c r="T913" s="7" t="str">
        <f t="shared" si="4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5"/>
        <v/>
      </c>
      <c r="AA913" s="4" t="str">
        <f t="shared" si="13"/>
        <v/>
      </c>
      <c r="AB913" s="4" t="str">
        <f t="array" ref="AB913">XLOOKUP(X913,'Dados Funil'!A:A,'Dados Funil'!O:O,"")</f>
        <v/>
      </c>
      <c r="AE913" s="7" t="str">
        <f t="shared" si="6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9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G914" s="4"/>
      <c r="H914" s="4"/>
      <c r="I914" s="7" t="str">
        <f t="shared" si="2"/>
        <v/>
      </c>
      <c r="J914" s="4" t="str">
        <f t="shared" si="10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1"/>
        <v/>
      </c>
      <c r="P914" s="4" t="str">
        <f t="array" ref="P914">XLOOKUP(L914,'Dados Funil'!A:A,'Dados Funil'!AM:AM,"")</f>
        <v/>
      </c>
      <c r="Q914" s="9" t="str">
        <f t="array" ref="Q914">XLOOKUP(L914,'Dados Funil'!A:A,'Dados Funil'!AN:AN,"")</f>
        <v/>
      </c>
      <c r="T914" s="7" t="str">
        <f t="shared" si="4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5"/>
        <v/>
      </c>
      <c r="AA914" s="4" t="str">
        <f t="shared" si="13"/>
        <v/>
      </c>
      <c r="AB914" s="4" t="str">
        <f t="array" ref="AB914">XLOOKUP(X914,'Dados Funil'!A:A,'Dados Funil'!O:O,"")</f>
        <v/>
      </c>
      <c r="AE914" s="7" t="str">
        <f t="shared" si="6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9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G915" s="4"/>
      <c r="H915" s="4"/>
      <c r="I915" s="7" t="str">
        <f t="shared" si="2"/>
        <v/>
      </c>
      <c r="J915" s="4" t="str">
        <f t="shared" si="10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1"/>
        <v/>
      </c>
      <c r="P915" s="4" t="str">
        <f t="array" ref="P915">XLOOKUP(L915,'Dados Funil'!A:A,'Dados Funil'!AM:AM,"")</f>
        <v/>
      </c>
      <c r="Q915" s="9" t="str">
        <f t="array" ref="Q915">XLOOKUP(L915,'Dados Funil'!A:A,'Dados Funil'!AN:AN,"")</f>
        <v/>
      </c>
      <c r="T915" s="7" t="str">
        <f t="shared" si="4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5"/>
        <v/>
      </c>
      <c r="AA915" s="4" t="str">
        <f t="shared" si="13"/>
        <v/>
      </c>
      <c r="AB915" s="4" t="str">
        <f t="array" ref="AB915">XLOOKUP(X915,'Dados Funil'!A:A,'Dados Funil'!O:O,"")</f>
        <v/>
      </c>
      <c r="AE915" s="7" t="str">
        <f t="shared" si="6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9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G916" s="4"/>
      <c r="H916" s="4"/>
      <c r="I916" s="7" t="str">
        <f t="shared" si="2"/>
        <v/>
      </c>
      <c r="J916" s="4" t="str">
        <f t="shared" si="10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1"/>
        <v/>
      </c>
      <c r="P916" s="4" t="str">
        <f t="array" ref="P916">XLOOKUP(L916,'Dados Funil'!A:A,'Dados Funil'!AM:AM,"")</f>
        <v/>
      </c>
      <c r="Q916" s="9" t="str">
        <f t="array" ref="Q916">XLOOKUP(L916,'Dados Funil'!A:A,'Dados Funil'!AN:AN,"")</f>
        <v/>
      </c>
      <c r="T916" s="7" t="str">
        <f t="shared" si="4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5"/>
        <v/>
      </c>
      <c r="AA916" s="4" t="str">
        <f t="shared" si="13"/>
        <v/>
      </c>
      <c r="AB916" s="4" t="str">
        <f t="array" ref="AB916">XLOOKUP(X916,'Dados Funil'!A:A,'Dados Funil'!O:O,"")</f>
        <v/>
      </c>
      <c r="AE916" s="7" t="str">
        <f t="shared" si="6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9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G917" s="4"/>
      <c r="H917" s="4"/>
      <c r="I917" s="7" t="str">
        <f t="shared" si="2"/>
        <v/>
      </c>
      <c r="J917" s="4" t="str">
        <f t="shared" si="10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1"/>
        <v/>
      </c>
      <c r="P917" s="4" t="str">
        <f t="array" ref="P917">XLOOKUP(L917,'Dados Funil'!A:A,'Dados Funil'!AM:AM,"")</f>
        <v/>
      </c>
      <c r="Q917" s="9" t="str">
        <f t="array" ref="Q917">XLOOKUP(L917,'Dados Funil'!A:A,'Dados Funil'!AN:AN,"")</f>
        <v/>
      </c>
      <c r="T917" s="7" t="str">
        <f t="shared" si="4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5"/>
        <v/>
      </c>
      <c r="AA917" s="4" t="str">
        <f t="shared" si="13"/>
        <v/>
      </c>
      <c r="AB917" s="4" t="str">
        <f t="array" ref="AB917">XLOOKUP(X917,'Dados Funil'!A:A,'Dados Funil'!O:O,"")</f>
        <v/>
      </c>
      <c r="AE917" s="7" t="str">
        <f t="shared" si="6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9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G918" s="4"/>
      <c r="H918" s="4"/>
      <c r="I918" s="7" t="str">
        <f t="shared" si="2"/>
        <v/>
      </c>
      <c r="J918" s="4" t="str">
        <f t="shared" si="10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1"/>
        <v/>
      </c>
      <c r="P918" s="4" t="str">
        <f t="array" ref="P918">XLOOKUP(L918,'Dados Funil'!A:A,'Dados Funil'!AM:AM,"")</f>
        <v/>
      </c>
      <c r="Q918" s="9" t="str">
        <f t="array" ref="Q918">XLOOKUP(L918,'Dados Funil'!A:A,'Dados Funil'!AN:AN,"")</f>
        <v/>
      </c>
      <c r="T918" s="7" t="str">
        <f t="shared" si="4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5"/>
        <v/>
      </c>
      <c r="AA918" s="4" t="str">
        <f t="shared" si="13"/>
        <v/>
      </c>
      <c r="AB918" s="4" t="str">
        <f t="array" ref="AB918">XLOOKUP(X918,'Dados Funil'!A:A,'Dados Funil'!O:O,"")</f>
        <v/>
      </c>
      <c r="AE918" s="7" t="str">
        <f t="shared" si="6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9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G919" s="4"/>
      <c r="H919" s="4"/>
      <c r="I919" s="7" t="str">
        <f t="shared" si="2"/>
        <v/>
      </c>
      <c r="J919" s="4" t="str">
        <f t="shared" si="10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1"/>
        <v/>
      </c>
      <c r="P919" s="4" t="str">
        <f t="array" ref="P919">XLOOKUP(L919,'Dados Funil'!A:A,'Dados Funil'!AM:AM,"")</f>
        <v/>
      </c>
      <c r="Q919" s="9" t="str">
        <f t="array" ref="Q919">XLOOKUP(L919,'Dados Funil'!A:A,'Dados Funil'!AN:AN,"")</f>
        <v/>
      </c>
      <c r="T919" s="7" t="str">
        <f t="shared" si="4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5"/>
        <v/>
      </c>
      <c r="AA919" s="4" t="str">
        <f t="shared" si="13"/>
        <v/>
      </c>
      <c r="AB919" s="4" t="str">
        <f t="array" ref="AB919">XLOOKUP(X919,'Dados Funil'!A:A,'Dados Funil'!O:O,"")</f>
        <v/>
      </c>
      <c r="AE919" s="7" t="str">
        <f t="shared" si="6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9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G920" s="4"/>
      <c r="H920" s="4"/>
      <c r="I920" s="7" t="str">
        <f t="shared" si="2"/>
        <v/>
      </c>
      <c r="J920" s="4" t="str">
        <f t="shared" si="10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1"/>
        <v/>
      </c>
      <c r="P920" s="4" t="str">
        <f t="array" ref="P920">XLOOKUP(L920,'Dados Funil'!A:A,'Dados Funil'!AM:AM,"")</f>
        <v/>
      </c>
      <c r="Q920" s="9" t="str">
        <f t="array" ref="Q920">XLOOKUP(L920,'Dados Funil'!A:A,'Dados Funil'!AN:AN,"")</f>
        <v/>
      </c>
      <c r="T920" s="7" t="str">
        <f t="shared" si="4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5"/>
        <v/>
      </c>
      <c r="AA920" s="4" t="str">
        <f t="shared" si="13"/>
        <v/>
      </c>
      <c r="AB920" s="4" t="str">
        <f t="array" ref="AB920">XLOOKUP(X920,'Dados Funil'!A:A,'Dados Funil'!O:O,"")</f>
        <v/>
      </c>
      <c r="AE920" s="7" t="str">
        <f t="shared" si="6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9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G921" s="4"/>
      <c r="H921" s="4"/>
      <c r="I921" s="7" t="str">
        <f t="shared" si="2"/>
        <v/>
      </c>
      <c r="J921" s="4" t="str">
        <f t="shared" si="10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1"/>
        <v/>
      </c>
      <c r="P921" s="4" t="str">
        <f t="array" ref="P921">XLOOKUP(L921,'Dados Funil'!A:A,'Dados Funil'!AM:AM,"")</f>
        <v/>
      </c>
      <c r="Q921" s="9" t="str">
        <f t="array" ref="Q921">XLOOKUP(L921,'Dados Funil'!A:A,'Dados Funil'!AN:AN,"")</f>
        <v/>
      </c>
      <c r="T921" s="7" t="str">
        <f t="shared" si="4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5"/>
        <v/>
      </c>
      <c r="AA921" s="4" t="str">
        <f t="shared" si="13"/>
        <v/>
      </c>
      <c r="AB921" s="4" t="str">
        <f t="array" ref="AB921">XLOOKUP(X921,'Dados Funil'!A:A,'Dados Funil'!O:O,"")</f>
        <v/>
      </c>
      <c r="AE921" s="7" t="str">
        <f t="shared" si="6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9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G922" s="4"/>
      <c r="H922" s="4"/>
      <c r="I922" s="7" t="str">
        <f t="shared" si="2"/>
        <v/>
      </c>
      <c r="J922" s="4" t="str">
        <f t="shared" si="10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1"/>
        <v/>
      </c>
      <c r="P922" s="4" t="str">
        <f t="array" ref="P922">XLOOKUP(L922,'Dados Funil'!A:A,'Dados Funil'!AM:AM,"")</f>
        <v/>
      </c>
      <c r="Q922" s="9" t="str">
        <f t="array" ref="Q922">XLOOKUP(L922,'Dados Funil'!A:A,'Dados Funil'!AN:AN,"")</f>
        <v/>
      </c>
      <c r="T922" s="7" t="str">
        <f t="shared" si="4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5"/>
        <v/>
      </c>
      <c r="AA922" s="4" t="str">
        <f t="shared" si="13"/>
        <v/>
      </c>
      <c r="AB922" s="4" t="str">
        <f t="array" ref="AB922">XLOOKUP(X922,'Dados Funil'!A:A,'Dados Funil'!O:O,"")</f>
        <v/>
      </c>
      <c r="AE922" s="7" t="str">
        <f t="shared" si="6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9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G923" s="4"/>
      <c r="H923" s="4"/>
      <c r="I923" s="7" t="str">
        <f t="shared" si="2"/>
        <v/>
      </c>
      <c r="J923" s="4" t="str">
        <f t="shared" si="10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1"/>
        <v/>
      </c>
      <c r="P923" s="4" t="str">
        <f t="array" ref="P923">XLOOKUP(L923,'Dados Funil'!A:A,'Dados Funil'!AM:AM,"")</f>
        <v/>
      </c>
      <c r="Q923" s="9" t="str">
        <f t="array" ref="Q923">XLOOKUP(L923,'Dados Funil'!A:A,'Dados Funil'!AN:AN,"")</f>
        <v/>
      </c>
      <c r="T923" s="7" t="str">
        <f t="shared" si="4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5"/>
        <v/>
      </c>
      <c r="AA923" s="4" t="str">
        <f t="shared" si="13"/>
        <v/>
      </c>
      <c r="AB923" s="4" t="str">
        <f t="array" ref="AB923">XLOOKUP(X923,'Dados Funil'!A:A,'Dados Funil'!O:O,"")</f>
        <v/>
      </c>
      <c r="AE923" s="7" t="str">
        <f t="shared" si="6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9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G924" s="4"/>
      <c r="H924" s="4"/>
      <c r="I924" s="7" t="str">
        <f t="shared" si="2"/>
        <v/>
      </c>
      <c r="J924" s="4" t="str">
        <f t="shared" si="10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1"/>
        <v/>
      </c>
      <c r="P924" s="4" t="str">
        <f t="array" ref="P924">XLOOKUP(L924,'Dados Funil'!A:A,'Dados Funil'!AM:AM,"")</f>
        <v/>
      </c>
      <c r="Q924" s="9" t="str">
        <f t="array" ref="Q924">XLOOKUP(L924,'Dados Funil'!A:A,'Dados Funil'!AN:AN,"")</f>
        <v/>
      </c>
      <c r="T924" s="7" t="str">
        <f t="shared" si="4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5"/>
        <v/>
      </c>
      <c r="AA924" s="4" t="str">
        <f t="shared" si="13"/>
        <v/>
      </c>
      <c r="AB924" s="4" t="str">
        <f t="array" ref="AB924">XLOOKUP(X924,'Dados Funil'!A:A,'Dados Funil'!O:O,"")</f>
        <v/>
      </c>
      <c r="AE924" s="7" t="str">
        <f t="shared" si="6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9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G925" s="4"/>
      <c r="H925" s="4"/>
      <c r="I925" s="7" t="str">
        <f t="shared" si="2"/>
        <v/>
      </c>
      <c r="J925" s="4" t="str">
        <f t="shared" si="10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1"/>
        <v/>
      </c>
      <c r="P925" s="4" t="str">
        <f t="array" ref="P925">XLOOKUP(L925,'Dados Funil'!A:A,'Dados Funil'!AM:AM,"")</f>
        <v/>
      </c>
      <c r="Q925" s="9" t="str">
        <f t="array" ref="Q925">XLOOKUP(L925,'Dados Funil'!A:A,'Dados Funil'!AN:AN,"")</f>
        <v/>
      </c>
      <c r="T925" s="7" t="str">
        <f t="shared" si="4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5"/>
        <v/>
      </c>
      <c r="AA925" s="4" t="str">
        <f t="shared" si="13"/>
        <v/>
      </c>
      <c r="AB925" s="4" t="str">
        <f t="array" ref="AB925">XLOOKUP(X925,'Dados Funil'!A:A,'Dados Funil'!O:O,"")</f>
        <v/>
      </c>
      <c r="AE925" s="7" t="str">
        <f t="shared" si="6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9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G926" s="4"/>
      <c r="H926" s="4"/>
      <c r="I926" s="7" t="str">
        <f t="shared" si="2"/>
        <v/>
      </c>
      <c r="J926" s="4" t="str">
        <f t="shared" si="10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1"/>
        <v/>
      </c>
      <c r="P926" s="4" t="str">
        <f t="array" ref="P926">XLOOKUP(L926,'Dados Funil'!A:A,'Dados Funil'!AM:AM,"")</f>
        <v/>
      </c>
      <c r="Q926" s="9" t="str">
        <f t="array" ref="Q926">XLOOKUP(L926,'Dados Funil'!A:A,'Dados Funil'!AN:AN,"")</f>
        <v/>
      </c>
      <c r="T926" s="7" t="str">
        <f t="shared" si="4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5"/>
        <v/>
      </c>
      <c r="AA926" s="4" t="str">
        <f t="shared" si="13"/>
        <v/>
      </c>
      <c r="AB926" s="4" t="str">
        <f t="array" ref="AB926">XLOOKUP(X926,'Dados Funil'!A:A,'Dados Funil'!O:O,"")</f>
        <v/>
      </c>
      <c r="AE926" s="7" t="str">
        <f t="shared" si="6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9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G927" s="4"/>
      <c r="H927" s="4"/>
      <c r="I927" s="7" t="str">
        <f t="shared" si="2"/>
        <v/>
      </c>
      <c r="J927" s="4" t="str">
        <f t="shared" si="10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1"/>
        <v/>
      </c>
      <c r="P927" s="4" t="str">
        <f t="array" ref="P927">XLOOKUP(L927,'Dados Funil'!A:A,'Dados Funil'!AM:AM,"")</f>
        <v/>
      </c>
      <c r="Q927" s="9" t="str">
        <f t="array" ref="Q927">XLOOKUP(L927,'Dados Funil'!A:A,'Dados Funil'!AN:AN,"")</f>
        <v/>
      </c>
      <c r="T927" s="7" t="str">
        <f t="shared" si="4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5"/>
        <v/>
      </c>
      <c r="AA927" s="4" t="str">
        <f t="shared" si="13"/>
        <v/>
      </c>
      <c r="AB927" s="4" t="str">
        <f t="array" ref="AB927">XLOOKUP(X927,'Dados Funil'!A:A,'Dados Funil'!O:O,"")</f>
        <v/>
      </c>
      <c r="AE927" s="7" t="str">
        <f t="shared" si="6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9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G928" s="4"/>
      <c r="H928" s="4"/>
      <c r="I928" s="7" t="str">
        <f t="shared" si="2"/>
        <v/>
      </c>
      <c r="J928" s="4" t="str">
        <f t="shared" si="10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1"/>
        <v/>
      </c>
      <c r="P928" s="4" t="str">
        <f t="array" ref="P928">XLOOKUP(L928,'Dados Funil'!A:A,'Dados Funil'!AM:AM,"")</f>
        <v/>
      </c>
      <c r="Q928" s="9" t="str">
        <f t="array" ref="Q928">XLOOKUP(L928,'Dados Funil'!A:A,'Dados Funil'!AN:AN,"")</f>
        <v/>
      </c>
      <c r="T928" s="7" t="str">
        <f t="shared" si="4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5"/>
        <v/>
      </c>
      <c r="AA928" s="4" t="str">
        <f t="shared" si="13"/>
        <v/>
      </c>
      <c r="AB928" s="4" t="str">
        <f t="array" ref="AB928">XLOOKUP(X928,'Dados Funil'!A:A,'Dados Funil'!O:O,"")</f>
        <v/>
      </c>
      <c r="AE928" s="7" t="str">
        <f t="shared" si="6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9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G929" s="4"/>
      <c r="H929" s="4"/>
      <c r="I929" s="7" t="str">
        <f t="shared" si="2"/>
        <v/>
      </c>
      <c r="J929" s="4" t="str">
        <f t="shared" si="10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1"/>
        <v/>
      </c>
      <c r="P929" s="4" t="str">
        <f t="array" ref="P929">XLOOKUP(L929,'Dados Funil'!A:A,'Dados Funil'!AM:AM,"")</f>
        <v/>
      </c>
      <c r="Q929" s="9" t="str">
        <f t="array" ref="Q929">XLOOKUP(L929,'Dados Funil'!A:A,'Dados Funil'!AN:AN,"")</f>
        <v/>
      </c>
      <c r="T929" s="7" t="str">
        <f t="shared" si="4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5"/>
        <v/>
      </c>
      <c r="AA929" s="4" t="str">
        <f t="shared" si="13"/>
        <v/>
      </c>
      <c r="AB929" s="4" t="str">
        <f t="array" ref="AB929">XLOOKUP(X929,'Dados Funil'!A:A,'Dados Funil'!O:O,"")</f>
        <v/>
      </c>
      <c r="AE929" s="7" t="str">
        <f t="shared" si="6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9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G930" s="4"/>
      <c r="H930" s="4"/>
      <c r="I930" s="7" t="str">
        <f t="shared" si="2"/>
        <v/>
      </c>
      <c r="J930" s="4" t="str">
        <f t="shared" si="10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1"/>
        <v/>
      </c>
      <c r="P930" s="4" t="str">
        <f t="array" ref="P930">XLOOKUP(L930,'Dados Funil'!A:A,'Dados Funil'!AM:AM,"")</f>
        <v/>
      </c>
      <c r="Q930" s="9" t="str">
        <f t="array" ref="Q930">XLOOKUP(L930,'Dados Funil'!A:A,'Dados Funil'!AN:AN,"")</f>
        <v/>
      </c>
      <c r="T930" s="7" t="str">
        <f t="shared" si="4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5"/>
        <v/>
      </c>
      <c r="AA930" s="4" t="str">
        <f t="shared" si="13"/>
        <v/>
      </c>
      <c r="AB930" s="4" t="str">
        <f t="array" ref="AB930">XLOOKUP(X930,'Dados Funil'!A:A,'Dados Funil'!O:O,"")</f>
        <v/>
      </c>
      <c r="AE930" s="7" t="str">
        <f t="shared" si="6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9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G931" s="4"/>
      <c r="H931" s="4"/>
      <c r="I931" s="7" t="str">
        <f t="shared" si="2"/>
        <v/>
      </c>
      <c r="J931" s="4" t="str">
        <f t="shared" si="10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1"/>
        <v/>
      </c>
      <c r="P931" s="4" t="str">
        <f t="array" ref="P931">XLOOKUP(L931,'Dados Funil'!A:A,'Dados Funil'!AM:AM,"")</f>
        <v/>
      </c>
      <c r="Q931" s="9" t="str">
        <f t="array" ref="Q931">XLOOKUP(L931,'Dados Funil'!A:A,'Dados Funil'!AN:AN,"")</f>
        <v/>
      </c>
      <c r="T931" s="7" t="str">
        <f t="shared" si="4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5"/>
        <v/>
      </c>
      <c r="AA931" s="4" t="str">
        <f t="shared" si="13"/>
        <v/>
      </c>
      <c r="AB931" s="4" t="str">
        <f t="array" ref="AB931">XLOOKUP(X931,'Dados Funil'!A:A,'Dados Funil'!O:O,"")</f>
        <v/>
      </c>
      <c r="AE931" s="7" t="str">
        <f t="shared" si="6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9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G932" s="4"/>
      <c r="H932" s="4"/>
      <c r="I932" s="7" t="str">
        <f t="shared" si="2"/>
        <v/>
      </c>
      <c r="J932" s="4" t="str">
        <f t="shared" si="10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1"/>
        <v/>
      </c>
      <c r="P932" s="4" t="str">
        <f t="array" ref="P932">XLOOKUP(L932,'Dados Funil'!A:A,'Dados Funil'!AM:AM,"")</f>
        <v/>
      </c>
      <c r="Q932" s="9" t="str">
        <f t="array" ref="Q932">XLOOKUP(L932,'Dados Funil'!A:A,'Dados Funil'!AN:AN,"")</f>
        <v/>
      </c>
      <c r="T932" s="7" t="str">
        <f t="shared" si="4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5"/>
        <v/>
      </c>
      <c r="AA932" s="4" t="str">
        <f t="shared" si="13"/>
        <v/>
      </c>
      <c r="AB932" s="4" t="str">
        <f t="array" ref="AB932">XLOOKUP(X932,'Dados Funil'!A:A,'Dados Funil'!O:O,"")</f>
        <v/>
      </c>
      <c r="AE932" s="7" t="str">
        <f t="shared" si="6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9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G933" s="4"/>
      <c r="H933" s="4"/>
      <c r="I933" s="7" t="str">
        <f t="shared" si="2"/>
        <v/>
      </c>
      <c r="J933" s="4" t="str">
        <f t="shared" si="10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1"/>
        <v/>
      </c>
      <c r="P933" s="4" t="str">
        <f t="array" ref="P933">XLOOKUP(L933,'Dados Funil'!A:A,'Dados Funil'!AM:AM,"")</f>
        <v/>
      </c>
      <c r="Q933" s="9" t="str">
        <f t="array" ref="Q933">XLOOKUP(L933,'Dados Funil'!A:A,'Dados Funil'!AN:AN,"")</f>
        <v/>
      </c>
      <c r="T933" s="7" t="str">
        <f t="shared" si="4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5"/>
        <v/>
      </c>
      <c r="AA933" s="4" t="str">
        <f t="shared" si="13"/>
        <v/>
      </c>
      <c r="AB933" s="4" t="str">
        <f t="array" ref="AB933">XLOOKUP(X933,'Dados Funil'!A:A,'Dados Funil'!O:O,"")</f>
        <v/>
      </c>
      <c r="AE933" s="7" t="str">
        <f t="shared" si="6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9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G934" s="4"/>
      <c r="H934" s="4"/>
      <c r="I934" s="7" t="str">
        <f t="shared" si="2"/>
        <v/>
      </c>
      <c r="J934" s="4" t="str">
        <f t="shared" si="10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1"/>
        <v/>
      </c>
      <c r="P934" s="4" t="str">
        <f t="array" ref="P934">XLOOKUP(L934,'Dados Funil'!A:A,'Dados Funil'!AM:AM,"")</f>
        <v/>
      </c>
      <c r="Q934" s="9" t="str">
        <f t="array" ref="Q934">XLOOKUP(L934,'Dados Funil'!A:A,'Dados Funil'!AN:AN,"")</f>
        <v/>
      </c>
      <c r="T934" s="7" t="str">
        <f t="shared" si="4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5"/>
        <v/>
      </c>
      <c r="AA934" s="4" t="str">
        <f t="shared" si="13"/>
        <v/>
      </c>
      <c r="AB934" s="4" t="str">
        <f t="array" ref="AB934">XLOOKUP(X934,'Dados Funil'!A:A,'Dados Funil'!O:O,"")</f>
        <v/>
      </c>
      <c r="AE934" s="7" t="str">
        <f t="shared" si="6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9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G935" s="4"/>
      <c r="H935" s="4"/>
      <c r="I935" s="7" t="str">
        <f t="shared" si="2"/>
        <v/>
      </c>
      <c r="J935" s="4" t="str">
        <f t="shared" si="10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1"/>
        <v/>
      </c>
      <c r="P935" s="4" t="str">
        <f t="array" ref="P935">XLOOKUP(L935,'Dados Funil'!A:A,'Dados Funil'!AM:AM,"")</f>
        <v/>
      </c>
      <c r="Q935" s="9" t="str">
        <f t="array" ref="Q935">XLOOKUP(L935,'Dados Funil'!A:A,'Dados Funil'!AN:AN,"")</f>
        <v/>
      </c>
      <c r="T935" s="7" t="str">
        <f t="shared" si="4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5"/>
        <v/>
      </c>
      <c r="AA935" s="4" t="str">
        <f t="shared" si="13"/>
        <v/>
      </c>
      <c r="AB935" s="4" t="str">
        <f t="array" ref="AB935">XLOOKUP(X935,'Dados Funil'!A:A,'Dados Funil'!O:O,"")</f>
        <v/>
      </c>
      <c r="AE935" s="7" t="str">
        <f t="shared" si="6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9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G936" s="4"/>
      <c r="H936" s="4"/>
      <c r="I936" s="7" t="str">
        <f t="shared" si="2"/>
        <v/>
      </c>
      <c r="J936" s="4" t="str">
        <f t="shared" si="10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1"/>
        <v/>
      </c>
      <c r="P936" s="4" t="str">
        <f t="array" ref="P936">XLOOKUP(L936,'Dados Funil'!A:A,'Dados Funil'!AM:AM,"")</f>
        <v/>
      </c>
      <c r="Q936" s="9" t="str">
        <f t="array" ref="Q936">XLOOKUP(L936,'Dados Funil'!A:A,'Dados Funil'!AN:AN,"")</f>
        <v/>
      </c>
      <c r="T936" s="7" t="str">
        <f t="shared" si="4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5"/>
        <v/>
      </c>
      <c r="AA936" s="4" t="str">
        <f t="shared" si="13"/>
        <v/>
      </c>
      <c r="AB936" s="4" t="str">
        <f t="array" ref="AB936">XLOOKUP(X936,'Dados Funil'!A:A,'Dados Funil'!O:O,"")</f>
        <v/>
      </c>
      <c r="AE936" s="7" t="str">
        <f t="shared" si="6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9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G937" s="4"/>
      <c r="H937" s="4"/>
      <c r="I937" s="7" t="str">
        <f t="shared" si="2"/>
        <v/>
      </c>
      <c r="J937" s="4" t="str">
        <f t="shared" si="10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1"/>
        <v/>
      </c>
      <c r="P937" s="4" t="str">
        <f t="array" ref="P937">XLOOKUP(L937,'Dados Funil'!A:A,'Dados Funil'!AM:AM,"")</f>
        <v/>
      </c>
      <c r="Q937" s="9" t="str">
        <f t="array" ref="Q937">XLOOKUP(L937,'Dados Funil'!A:A,'Dados Funil'!AN:AN,"")</f>
        <v/>
      </c>
      <c r="T937" s="7" t="str">
        <f t="shared" si="4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5"/>
        <v/>
      </c>
      <c r="AA937" s="4" t="str">
        <f t="shared" si="13"/>
        <v/>
      </c>
      <c r="AB937" s="4" t="str">
        <f t="array" ref="AB937">XLOOKUP(X937,'Dados Funil'!A:A,'Dados Funil'!O:O,"")</f>
        <v/>
      </c>
      <c r="AE937" s="7" t="str">
        <f t="shared" si="6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9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G938" s="4"/>
      <c r="H938" s="4"/>
      <c r="I938" s="7" t="str">
        <f t="shared" si="2"/>
        <v/>
      </c>
      <c r="J938" s="4" t="str">
        <f t="shared" si="10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1"/>
        <v/>
      </c>
      <c r="P938" s="4" t="str">
        <f t="array" ref="P938">XLOOKUP(L938,'Dados Funil'!A:A,'Dados Funil'!AM:AM,"")</f>
        <v/>
      </c>
      <c r="Q938" s="9" t="str">
        <f t="array" ref="Q938">XLOOKUP(L938,'Dados Funil'!A:A,'Dados Funil'!AN:AN,"")</f>
        <v/>
      </c>
      <c r="T938" s="7" t="str">
        <f t="shared" si="4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5"/>
        <v/>
      </c>
      <c r="AA938" s="4" t="str">
        <f t="shared" si="13"/>
        <v/>
      </c>
      <c r="AB938" s="4" t="str">
        <f t="array" ref="AB938">XLOOKUP(X938,'Dados Funil'!A:A,'Dados Funil'!O:O,"")</f>
        <v/>
      </c>
      <c r="AE938" s="7" t="str">
        <f t="shared" si="6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9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G939" s="4"/>
      <c r="H939" s="4"/>
      <c r="I939" s="7" t="str">
        <f t="shared" si="2"/>
        <v/>
      </c>
      <c r="J939" s="4" t="str">
        <f t="shared" si="10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1"/>
        <v/>
      </c>
      <c r="P939" s="4" t="str">
        <f t="array" ref="P939">XLOOKUP(L939,'Dados Funil'!A:A,'Dados Funil'!AM:AM,"")</f>
        <v/>
      </c>
      <c r="Q939" s="9" t="str">
        <f t="array" ref="Q939">XLOOKUP(L939,'Dados Funil'!A:A,'Dados Funil'!AN:AN,"")</f>
        <v/>
      </c>
      <c r="T939" s="7" t="str">
        <f t="shared" si="4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5"/>
        <v/>
      </c>
      <c r="AA939" s="4" t="str">
        <f t="shared" si="13"/>
        <v/>
      </c>
      <c r="AB939" s="4" t="str">
        <f t="array" ref="AB939">XLOOKUP(X939,'Dados Funil'!A:A,'Dados Funil'!O:O,"")</f>
        <v/>
      </c>
      <c r="AE939" s="7" t="str">
        <f t="shared" si="6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9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G940" s="4"/>
      <c r="H940" s="4"/>
      <c r="I940" s="7" t="str">
        <f t="shared" si="2"/>
        <v/>
      </c>
      <c r="J940" s="4" t="str">
        <f t="shared" si="10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1"/>
        <v/>
      </c>
      <c r="P940" s="4" t="str">
        <f t="array" ref="P940">XLOOKUP(L940,'Dados Funil'!A:A,'Dados Funil'!AM:AM,"")</f>
        <v/>
      </c>
      <c r="Q940" s="9" t="str">
        <f t="array" ref="Q940">XLOOKUP(L940,'Dados Funil'!A:A,'Dados Funil'!AN:AN,"")</f>
        <v/>
      </c>
      <c r="T940" s="7" t="str">
        <f t="shared" si="4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5"/>
        <v/>
      </c>
      <c r="AA940" s="4" t="str">
        <f t="shared" si="13"/>
        <v/>
      </c>
      <c r="AB940" s="4" t="str">
        <f t="array" ref="AB940">XLOOKUP(X940,'Dados Funil'!A:A,'Dados Funil'!O:O,"")</f>
        <v/>
      </c>
      <c r="AE940" s="7" t="str">
        <f t="shared" si="6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9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G941" s="4"/>
      <c r="H941" s="4"/>
      <c r="I941" s="7" t="str">
        <f t="shared" si="2"/>
        <v/>
      </c>
      <c r="J941" s="4" t="str">
        <f t="shared" si="10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1"/>
        <v/>
      </c>
      <c r="P941" s="4" t="str">
        <f t="array" ref="P941">XLOOKUP(L941,'Dados Funil'!A:A,'Dados Funil'!AM:AM,"")</f>
        <v/>
      </c>
      <c r="Q941" s="9" t="str">
        <f t="array" ref="Q941">XLOOKUP(L941,'Dados Funil'!A:A,'Dados Funil'!AN:AN,"")</f>
        <v/>
      </c>
      <c r="T941" s="7" t="str">
        <f t="shared" si="4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5"/>
        <v/>
      </c>
      <c r="AA941" s="4" t="str">
        <f t="shared" si="13"/>
        <v/>
      </c>
      <c r="AB941" s="4" t="str">
        <f t="array" ref="AB941">XLOOKUP(X941,'Dados Funil'!A:A,'Dados Funil'!O:O,"")</f>
        <v/>
      </c>
      <c r="AE941" s="7" t="str">
        <f t="shared" si="6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9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G942" s="4"/>
      <c r="H942" s="4"/>
      <c r="I942" s="7" t="str">
        <f t="shared" si="2"/>
        <v/>
      </c>
      <c r="J942" s="4" t="str">
        <f t="shared" si="10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1"/>
        <v/>
      </c>
      <c r="P942" s="4" t="str">
        <f t="array" ref="P942">XLOOKUP(L942,'Dados Funil'!A:A,'Dados Funil'!AM:AM,"")</f>
        <v/>
      </c>
      <c r="Q942" s="9" t="str">
        <f t="array" ref="Q942">XLOOKUP(L942,'Dados Funil'!A:A,'Dados Funil'!AN:AN,"")</f>
        <v/>
      </c>
      <c r="T942" s="7" t="str">
        <f t="shared" si="4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5"/>
        <v/>
      </c>
      <c r="AA942" s="4" t="str">
        <f t="shared" si="13"/>
        <v/>
      </c>
      <c r="AB942" s="4" t="str">
        <f t="array" ref="AB942">XLOOKUP(X942,'Dados Funil'!A:A,'Dados Funil'!O:O,"")</f>
        <v/>
      </c>
      <c r="AE942" s="7" t="str">
        <f t="shared" si="6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9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G943" s="4"/>
      <c r="H943" s="4"/>
      <c r="I943" s="7" t="str">
        <f t="shared" si="2"/>
        <v/>
      </c>
      <c r="J943" s="4" t="str">
        <f t="shared" si="10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1"/>
        <v/>
      </c>
      <c r="P943" s="4" t="str">
        <f t="array" ref="P943">XLOOKUP(L943,'Dados Funil'!A:A,'Dados Funil'!AM:AM,"")</f>
        <v/>
      </c>
      <c r="Q943" s="9" t="str">
        <f t="array" ref="Q943">XLOOKUP(L943,'Dados Funil'!A:A,'Dados Funil'!AN:AN,"")</f>
        <v/>
      </c>
      <c r="T943" s="7" t="str">
        <f t="shared" si="4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5"/>
        <v/>
      </c>
      <c r="AA943" s="4" t="str">
        <f t="shared" si="13"/>
        <v/>
      </c>
      <c r="AB943" s="4" t="str">
        <f t="array" ref="AB943">XLOOKUP(X943,'Dados Funil'!A:A,'Dados Funil'!O:O,"")</f>
        <v/>
      </c>
      <c r="AE943" s="7" t="str">
        <f t="shared" si="6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9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G944" s="4"/>
      <c r="H944" s="4"/>
      <c r="I944" s="7" t="str">
        <f t="shared" si="2"/>
        <v/>
      </c>
      <c r="J944" s="4" t="str">
        <f t="shared" si="10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1"/>
        <v/>
      </c>
      <c r="P944" s="4" t="str">
        <f t="array" ref="P944">XLOOKUP(L944,'Dados Funil'!A:A,'Dados Funil'!AM:AM,"")</f>
        <v/>
      </c>
      <c r="Q944" s="9" t="str">
        <f t="array" ref="Q944">XLOOKUP(L944,'Dados Funil'!A:A,'Dados Funil'!AN:AN,"")</f>
        <v/>
      </c>
      <c r="T944" s="7" t="str">
        <f t="shared" si="4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5"/>
        <v/>
      </c>
      <c r="AA944" s="4" t="str">
        <f t="shared" si="13"/>
        <v/>
      </c>
      <c r="AB944" s="4" t="str">
        <f t="array" ref="AB944">XLOOKUP(X944,'Dados Funil'!A:A,'Dados Funil'!O:O,"")</f>
        <v/>
      </c>
      <c r="AE944" s="7" t="str">
        <f t="shared" si="6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9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G945" s="4"/>
      <c r="H945" s="4"/>
      <c r="I945" s="7" t="str">
        <f t="shared" si="2"/>
        <v/>
      </c>
      <c r="J945" s="4" t="str">
        <f t="shared" si="10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1"/>
        <v/>
      </c>
      <c r="P945" s="4" t="str">
        <f t="array" ref="P945">XLOOKUP(L945,'Dados Funil'!A:A,'Dados Funil'!AM:AM,"")</f>
        <v/>
      </c>
      <c r="Q945" s="9" t="str">
        <f t="array" ref="Q945">XLOOKUP(L945,'Dados Funil'!A:A,'Dados Funil'!AN:AN,"")</f>
        <v/>
      </c>
      <c r="T945" s="7" t="str">
        <f t="shared" si="4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5"/>
        <v/>
      </c>
      <c r="AA945" s="4" t="str">
        <f t="shared" si="13"/>
        <v/>
      </c>
      <c r="AB945" s="4" t="str">
        <f t="array" ref="AB945">XLOOKUP(X945,'Dados Funil'!A:A,'Dados Funil'!O:O,"")</f>
        <v/>
      </c>
      <c r="AE945" s="7" t="str">
        <f t="shared" si="6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9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G946" s="4"/>
      <c r="H946" s="4"/>
      <c r="I946" s="7" t="str">
        <f t="shared" si="2"/>
        <v/>
      </c>
      <c r="J946" s="4" t="str">
        <f t="shared" si="10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1"/>
        <v/>
      </c>
      <c r="P946" s="4" t="str">
        <f t="array" ref="P946">XLOOKUP(L946,'Dados Funil'!A:A,'Dados Funil'!AM:AM,"")</f>
        <v/>
      </c>
      <c r="Q946" s="9" t="str">
        <f t="array" ref="Q946">XLOOKUP(L946,'Dados Funil'!A:A,'Dados Funil'!AN:AN,"")</f>
        <v/>
      </c>
      <c r="T946" s="7" t="str">
        <f t="shared" si="4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5"/>
        <v/>
      </c>
      <c r="AA946" s="4" t="str">
        <f t="shared" si="13"/>
        <v/>
      </c>
      <c r="AB946" s="4" t="str">
        <f t="array" ref="AB946">XLOOKUP(X946,'Dados Funil'!A:A,'Dados Funil'!O:O,"")</f>
        <v/>
      </c>
      <c r="AE946" s="7" t="str">
        <f t="shared" si="6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9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G947" s="4"/>
      <c r="H947" s="4"/>
      <c r="I947" s="7" t="str">
        <f t="shared" si="2"/>
        <v/>
      </c>
      <c r="J947" s="4" t="str">
        <f t="shared" si="10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1"/>
        <v/>
      </c>
      <c r="P947" s="4" t="str">
        <f t="array" ref="P947">XLOOKUP(L947,'Dados Funil'!A:A,'Dados Funil'!AM:AM,"")</f>
        <v/>
      </c>
      <c r="Q947" s="9" t="str">
        <f t="array" ref="Q947">XLOOKUP(L947,'Dados Funil'!A:A,'Dados Funil'!AN:AN,"")</f>
        <v/>
      </c>
      <c r="T947" s="7" t="str">
        <f t="shared" si="4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5"/>
        <v/>
      </c>
      <c r="AA947" s="4" t="str">
        <f t="shared" si="13"/>
        <v/>
      </c>
      <c r="AB947" s="4" t="str">
        <f t="array" ref="AB947">XLOOKUP(X947,'Dados Funil'!A:A,'Dados Funil'!O:O,"")</f>
        <v/>
      </c>
      <c r="AE947" s="7" t="str">
        <f t="shared" si="6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9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G948" s="4"/>
      <c r="H948" s="4"/>
      <c r="I948" s="7" t="str">
        <f t="shared" si="2"/>
        <v/>
      </c>
      <c r="J948" s="4" t="str">
        <f t="shared" si="10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1"/>
        <v/>
      </c>
      <c r="P948" s="4" t="str">
        <f t="array" ref="P948">XLOOKUP(L948,'Dados Funil'!A:A,'Dados Funil'!AM:AM,"")</f>
        <v/>
      </c>
      <c r="Q948" s="9" t="str">
        <f t="array" ref="Q948">XLOOKUP(L948,'Dados Funil'!A:A,'Dados Funil'!AN:AN,"")</f>
        <v/>
      </c>
      <c r="T948" s="7" t="str">
        <f t="shared" si="4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5"/>
        <v/>
      </c>
      <c r="AA948" s="4" t="str">
        <f t="shared" si="13"/>
        <v/>
      </c>
      <c r="AB948" s="4" t="str">
        <f t="array" ref="AB948">XLOOKUP(X948,'Dados Funil'!A:A,'Dados Funil'!O:O,"")</f>
        <v/>
      </c>
      <c r="AE948" s="7" t="str">
        <f t="shared" si="6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9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G949" s="4"/>
      <c r="H949" s="4"/>
      <c r="I949" s="7" t="str">
        <f t="shared" si="2"/>
        <v/>
      </c>
      <c r="J949" s="4" t="str">
        <f t="shared" si="10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1"/>
        <v/>
      </c>
      <c r="P949" s="4" t="str">
        <f t="array" ref="P949">XLOOKUP(L949,'Dados Funil'!A:A,'Dados Funil'!AM:AM,"")</f>
        <v/>
      </c>
      <c r="Q949" s="9" t="str">
        <f t="array" ref="Q949">XLOOKUP(L949,'Dados Funil'!A:A,'Dados Funil'!AN:AN,"")</f>
        <v/>
      </c>
      <c r="T949" s="7" t="str">
        <f t="shared" si="4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5"/>
        <v/>
      </c>
      <c r="AA949" s="4" t="str">
        <f t="shared" si="13"/>
        <v/>
      </c>
      <c r="AB949" s="4" t="str">
        <f t="array" ref="AB949">XLOOKUP(X949,'Dados Funil'!A:A,'Dados Funil'!O:O,"")</f>
        <v/>
      </c>
      <c r="AE949" s="7" t="str">
        <f t="shared" si="6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9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G950" s="4"/>
      <c r="H950" s="4"/>
      <c r="I950" s="7" t="str">
        <f t="shared" si="2"/>
        <v/>
      </c>
      <c r="J950" s="4" t="str">
        <f t="shared" si="10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1"/>
        <v/>
      </c>
      <c r="P950" s="4" t="str">
        <f t="array" ref="P950">XLOOKUP(L950,'Dados Funil'!A:A,'Dados Funil'!AM:AM,"")</f>
        <v/>
      </c>
      <c r="Q950" s="9" t="str">
        <f t="array" ref="Q950">XLOOKUP(L950,'Dados Funil'!A:A,'Dados Funil'!AN:AN,"")</f>
        <v/>
      </c>
      <c r="T950" s="7" t="str">
        <f t="shared" si="4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5"/>
        <v/>
      </c>
      <c r="AA950" s="4" t="str">
        <f t="shared" si="13"/>
        <v/>
      </c>
      <c r="AB950" s="4" t="str">
        <f t="array" ref="AB950">XLOOKUP(X950,'Dados Funil'!A:A,'Dados Funil'!O:O,"")</f>
        <v/>
      </c>
      <c r="AE950" s="7" t="str">
        <f t="shared" si="6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9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G951" s="4"/>
      <c r="H951" s="4"/>
      <c r="I951" s="7" t="str">
        <f t="shared" si="2"/>
        <v/>
      </c>
      <c r="J951" s="4" t="str">
        <f t="shared" si="10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1"/>
        <v/>
      </c>
      <c r="P951" s="4" t="str">
        <f t="array" ref="P951">XLOOKUP(L951,'Dados Funil'!A:A,'Dados Funil'!AM:AM,"")</f>
        <v/>
      </c>
      <c r="Q951" s="9" t="str">
        <f t="array" ref="Q951">XLOOKUP(L951,'Dados Funil'!A:A,'Dados Funil'!AN:AN,"")</f>
        <v/>
      </c>
      <c r="T951" s="7" t="str">
        <f t="shared" si="4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5"/>
        <v/>
      </c>
      <c r="AA951" s="4" t="str">
        <f t="shared" si="13"/>
        <v/>
      </c>
      <c r="AB951" s="4" t="str">
        <f t="array" ref="AB951">XLOOKUP(X951,'Dados Funil'!A:A,'Dados Funil'!O:O,"")</f>
        <v/>
      </c>
      <c r="AE951" s="7" t="str">
        <f t="shared" si="6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9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G952" s="4"/>
      <c r="H952" s="4"/>
      <c r="I952" s="7" t="str">
        <f t="shared" si="2"/>
        <v/>
      </c>
      <c r="J952" s="4" t="str">
        <f t="shared" si="10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1"/>
        <v/>
      </c>
      <c r="P952" s="4" t="str">
        <f t="array" ref="P952">XLOOKUP(L952,'Dados Funil'!A:A,'Dados Funil'!AM:AM,"")</f>
        <v/>
      </c>
      <c r="Q952" s="9" t="str">
        <f t="array" ref="Q952">XLOOKUP(L952,'Dados Funil'!A:A,'Dados Funil'!AN:AN,"")</f>
        <v/>
      </c>
      <c r="T952" s="7" t="str">
        <f t="shared" si="4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5"/>
        <v/>
      </c>
      <c r="AA952" s="4" t="str">
        <f t="shared" si="13"/>
        <v/>
      </c>
      <c r="AB952" s="4" t="str">
        <f t="array" ref="AB952">XLOOKUP(X952,'Dados Funil'!A:A,'Dados Funil'!O:O,"")</f>
        <v/>
      </c>
      <c r="AE952" s="7" t="str">
        <f t="shared" si="6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9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G953" s="4"/>
      <c r="H953" s="4"/>
      <c r="I953" s="7" t="str">
        <f t="shared" si="2"/>
        <v/>
      </c>
      <c r="J953" s="4" t="str">
        <f t="shared" si="10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1"/>
        <v/>
      </c>
      <c r="P953" s="4" t="str">
        <f t="array" ref="P953">XLOOKUP(L953,'Dados Funil'!A:A,'Dados Funil'!AM:AM,"")</f>
        <v/>
      </c>
      <c r="Q953" s="9" t="str">
        <f t="array" ref="Q953">XLOOKUP(L953,'Dados Funil'!A:A,'Dados Funil'!AN:AN,"")</f>
        <v/>
      </c>
      <c r="T953" s="7" t="str">
        <f t="shared" si="4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5"/>
        <v/>
      </c>
      <c r="AA953" s="4" t="str">
        <f t="shared" si="13"/>
        <v/>
      </c>
      <c r="AB953" s="4" t="str">
        <f t="array" ref="AB953">XLOOKUP(X953,'Dados Funil'!A:A,'Dados Funil'!O:O,"")</f>
        <v/>
      </c>
      <c r="AE953" s="7" t="str">
        <f t="shared" si="6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9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G954" s="4"/>
      <c r="H954" s="4"/>
      <c r="I954" s="7" t="str">
        <f t="shared" si="2"/>
        <v/>
      </c>
      <c r="J954" s="4" t="str">
        <f t="shared" si="10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1"/>
        <v/>
      </c>
      <c r="P954" s="4" t="str">
        <f t="array" ref="P954">XLOOKUP(L954,'Dados Funil'!A:A,'Dados Funil'!AM:AM,"")</f>
        <v/>
      </c>
      <c r="Q954" s="9" t="str">
        <f t="array" ref="Q954">XLOOKUP(L954,'Dados Funil'!A:A,'Dados Funil'!AN:AN,"")</f>
        <v/>
      </c>
      <c r="T954" s="7" t="str">
        <f t="shared" si="4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5"/>
        <v/>
      </c>
      <c r="AA954" s="4" t="str">
        <f t="shared" si="13"/>
        <v/>
      </c>
      <c r="AB954" s="4" t="str">
        <f t="array" ref="AB954">XLOOKUP(X954,'Dados Funil'!A:A,'Dados Funil'!O:O,"")</f>
        <v/>
      </c>
      <c r="AE954" s="7" t="str">
        <f t="shared" si="6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9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G955" s="4"/>
      <c r="H955" s="4"/>
      <c r="I955" s="7" t="str">
        <f t="shared" si="2"/>
        <v/>
      </c>
      <c r="J955" s="4" t="str">
        <f t="shared" si="10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1"/>
        <v/>
      </c>
      <c r="P955" s="4" t="str">
        <f t="array" ref="P955">XLOOKUP(L955,'Dados Funil'!A:A,'Dados Funil'!AM:AM,"")</f>
        <v/>
      </c>
      <c r="Q955" s="9" t="str">
        <f t="array" ref="Q955">XLOOKUP(L955,'Dados Funil'!A:A,'Dados Funil'!AN:AN,"")</f>
        <v/>
      </c>
      <c r="T955" s="7" t="str">
        <f t="shared" si="4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5"/>
        <v/>
      </c>
      <c r="AA955" s="4" t="str">
        <f t="shared" si="13"/>
        <v/>
      </c>
      <c r="AB955" s="4" t="str">
        <f t="array" ref="AB955">XLOOKUP(X955,'Dados Funil'!A:A,'Dados Funil'!O:O,"")</f>
        <v/>
      </c>
      <c r="AE955" s="7" t="str">
        <f t="shared" si="6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9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G956" s="4"/>
      <c r="H956" s="4"/>
      <c r="I956" s="7" t="str">
        <f t="shared" si="2"/>
        <v/>
      </c>
      <c r="J956" s="4" t="str">
        <f t="shared" si="10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1"/>
        <v/>
      </c>
      <c r="P956" s="4" t="str">
        <f t="array" ref="P956">XLOOKUP(L956,'Dados Funil'!A:A,'Dados Funil'!AM:AM,"")</f>
        <v/>
      </c>
      <c r="Q956" s="9" t="str">
        <f t="array" ref="Q956">XLOOKUP(L956,'Dados Funil'!A:A,'Dados Funil'!AN:AN,"")</f>
        <v/>
      </c>
      <c r="T956" s="7" t="str">
        <f t="shared" si="4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5"/>
        <v/>
      </c>
      <c r="AA956" s="4" t="str">
        <f t="shared" si="13"/>
        <v/>
      </c>
      <c r="AB956" s="4" t="str">
        <f t="array" ref="AB956">XLOOKUP(X956,'Dados Funil'!A:A,'Dados Funil'!O:O,"")</f>
        <v/>
      </c>
      <c r="AE956" s="7" t="str">
        <f t="shared" si="6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9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G957" s="4"/>
      <c r="H957" s="4"/>
      <c r="I957" s="7" t="str">
        <f t="shared" si="2"/>
        <v/>
      </c>
      <c r="J957" s="4" t="str">
        <f t="shared" si="10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1"/>
        <v/>
      </c>
      <c r="P957" s="4" t="str">
        <f t="array" ref="P957">XLOOKUP(L957,'Dados Funil'!A:A,'Dados Funil'!AM:AM,"")</f>
        <v/>
      </c>
      <c r="Q957" s="9" t="str">
        <f t="array" ref="Q957">XLOOKUP(L957,'Dados Funil'!A:A,'Dados Funil'!AN:AN,"")</f>
        <v/>
      </c>
      <c r="T957" s="7" t="str">
        <f t="shared" si="4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5"/>
        <v/>
      </c>
      <c r="AA957" s="4" t="str">
        <f t="shared" si="13"/>
        <v/>
      </c>
      <c r="AB957" s="4" t="str">
        <f t="array" ref="AB957">XLOOKUP(X957,'Dados Funil'!A:A,'Dados Funil'!O:O,"")</f>
        <v/>
      </c>
      <c r="AE957" s="7" t="str">
        <f t="shared" si="6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9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G958" s="4"/>
      <c r="H958" s="4"/>
      <c r="I958" s="7" t="str">
        <f t="shared" si="2"/>
        <v/>
      </c>
      <c r="J958" s="4" t="str">
        <f t="shared" si="10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1"/>
        <v/>
      </c>
      <c r="P958" s="4" t="str">
        <f t="array" ref="P958">XLOOKUP(L958,'Dados Funil'!A:A,'Dados Funil'!AM:AM,"")</f>
        <v/>
      </c>
      <c r="Q958" s="9" t="str">
        <f t="array" ref="Q958">XLOOKUP(L958,'Dados Funil'!A:A,'Dados Funil'!AN:AN,"")</f>
        <v/>
      </c>
      <c r="T958" s="7" t="str">
        <f t="shared" si="4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5"/>
        <v/>
      </c>
      <c r="AA958" s="4" t="str">
        <f t="shared" si="13"/>
        <v/>
      </c>
      <c r="AB958" s="4" t="str">
        <f t="array" ref="AB958">XLOOKUP(X958,'Dados Funil'!A:A,'Dados Funil'!O:O,"")</f>
        <v/>
      </c>
      <c r="AE958" s="7" t="str">
        <f t="shared" si="6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9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G959" s="4"/>
      <c r="H959" s="4"/>
      <c r="I959" s="7" t="str">
        <f t="shared" si="2"/>
        <v/>
      </c>
      <c r="J959" s="4" t="str">
        <f t="shared" si="10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1"/>
        <v/>
      </c>
      <c r="P959" s="4" t="str">
        <f t="array" ref="P959">XLOOKUP(L959,'Dados Funil'!A:A,'Dados Funil'!AM:AM,"")</f>
        <v/>
      </c>
      <c r="Q959" s="9" t="str">
        <f t="array" ref="Q959">XLOOKUP(L959,'Dados Funil'!A:A,'Dados Funil'!AN:AN,"")</f>
        <v/>
      </c>
      <c r="T959" s="7" t="str">
        <f t="shared" si="4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5"/>
        <v/>
      </c>
      <c r="AA959" s="4" t="str">
        <f t="shared" si="13"/>
        <v/>
      </c>
      <c r="AB959" s="4" t="str">
        <f t="array" ref="AB959">XLOOKUP(X959,'Dados Funil'!A:A,'Dados Funil'!O:O,"")</f>
        <v/>
      </c>
      <c r="AE959" s="7" t="str">
        <f t="shared" si="6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9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G960" s="4"/>
      <c r="H960" s="4"/>
      <c r="I960" s="7" t="str">
        <f t="shared" si="2"/>
        <v/>
      </c>
      <c r="J960" s="4" t="str">
        <f t="shared" si="10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1"/>
        <v/>
      </c>
      <c r="P960" s="4" t="str">
        <f t="array" ref="P960">XLOOKUP(L960,'Dados Funil'!A:A,'Dados Funil'!AM:AM,"")</f>
        <v/>
      </c>
      <c r="Q960" s="9" t="str">
        <f t="array" ref="Q960">XLOOKUP(L960,'Dados Funil'!A:A,'Dados Funil'!AN:AN,"")</f>
        <v/>
      </c>
      <c r="T960" s="7" t="str">
        <f t="shared" si="4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5"/>
        <v/>
      </c>
      <c r="AA960" s="4" t="str">
        <f t="shared" si="13"/>
        <v/>
      </c>
      <c r="AB960" s="4" t="str">
        <f t="array" ref="AB960">XLOOKUP(X960,'Dados Funil'!A:A,'Dados Funil'!O:O,"")</f>
        <v/>
      </c>
      <c r="AE960" s="7" t="str">
        <f t="shared" si="6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9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G961" s="4"/>
      <c r="H961" s="4"/>
      <c r="I961" s="7" t="str">
        <f t="shared" si="2"/>
        <v/>
      </c>
      <c r="J961" s="4" t="str">
        <f t="shared" si="10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1"/>
        <v/>
      </c>
      <c r="P961" s="4" t="str">
        <f t="array" ref="P961">XLOOKUP(L961,'Dados Funil'!A:A,'Dados Funil'!AM:AM,"")</f>
        <v/>
      </c>
      <c r="Q961" s="9" t="str">
        <f t="array" ref="Q961">XLOOKUP(L961,'Dados Funil'!A:A,'Dados Funil'!AN:AN,"")</f>
        <v/>
      </c>
      <c r="T961" s="7" t="str">
        <f t="shared" si="4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5"/>
        <v/>
      </c>
      <c r="AA961" s="4" t="str">
        <f t="shared" si="13"/>
        <v/>
      </c>
      <c r="AB961" s="4" t="str">
        <f t="array" ref="AB961">XLOOKUP(X961,'Dados Funil'!A:A,'Dados Funil'!O:O,"")</f>
        <v/>
      </c>
      <c r="AE961" s="7" t="str">
        <f t="shared" si="6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9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G962" s="4"/>
      <c r="H962" s="4"/>
      <c r="I962" s="7" t="str">
        <f t="shared" si="2"/>
        <v/>
      </c>
      <c r="J962" s="4" t="str">
        <f t="shared" si="10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1"/>
        <v/>
      </c>
      <c r="P962" s="4" t="str">
        <f t="array" ref="P962">XLOOKUP(L962,'Dados Funil'!A:A,'Dados Funil'!AM:AM,"")</f>
        <v/>
      </c>
      <c r="Q962" s="9" t="str">
        <f t="array" ref="Q962">XLOOKUP(L962,'Dados Funil'!A:A,'Dados Funil'!AN:AN,"")</f>
        <v/>
      </c>
      <c r="T962" s="7" t="str">
        <f t="shared" si="4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5"/>
        <v/>
      </c>
      <c r="AA962" s="4" t="str">
        <f t="shared" si="13"/>
        <v/>
      </c>
      <c r="AB962" s="4" t="str">
        <f t="array" ref="AB962">XLOOKUP(X962,'Dados Funil'!A:A,'Dados Funil'!O:O,"")</f>
        <v/>
      </c>
      <c r="AE962" s="7" t="str">
        <f t="shared" si="6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9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G963" s="4"/>
      <c r="H963" s="4"/>
      <c r="I963" s="7" t="str">
        <f t="shared" si="2"/>
        <v/>
      </c>
      <c r="J963" s="4" t="str">
        <f t="shared" si="10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1"/>
        <v/>
      </c>
      <c r="P963" s="4" t="str">
        <f t="array" ref="P963">XLOOKUP(L963,'Dados Funil'!A:A,'Dados Funil'!AM:AM,"")</f>
        <v/>
      </c>
      <c r="Q963" s="9" t="str">
        <f t="array" ref="Q963">XLOOKUP(L963,'Dados Funil'!A:A,'Dados Funil'!AN:AN,"")</f>
        <v/>
      </c>
      <c r="T963" s="7" t="str">
        <f t="shared" si="4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5"/>
        <v/>
      </c>
      <c r="AA963" s="4" t="str">
        <f t="shared" si="13"/>
        <v/>
      </c>
      <c r="AB963" s="4" t="str">
        <f t="array" ref="AB963">XLOOKUP(X963,'Dados Funil'!A:A,'Dados Funil'!O:O,"")</f>
        <v/>
      </c>
      <c r="AE963" s="7" t="str">
        <f t="shared" si="6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9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G964" s="4"/>
      <c r="H964" s="4"/>
      <c r="I964" s="7" t="str">
        <f t="shared" si="2"/>
        <v/>
      </c>
      <c r="J964" s="4" t="str">
        <f t="shared" si="10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1"/>
        <v/>
      </c>
      <c r="P964" s="4" t="str">
        <f t="array" ref="P964">XLOOKUP(L964,'Dados Funil'!A:A,'Dados Funil'!AM:AM,"")</f>
        <v/>
      </c>
      <c r="Q964" s="9" t="str">
        <f t="array" ref="Q964">XLOOKUP(L964,'Dados Funil'!A:A,'Dados Funil'!AN:AN,"")</f>
        <v/>
      </c>
      <c r="T964" s="7" t="str">
        <f t="shared" si="4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5"/>
        <v/>
      </c>
      <c r="AA964" s="4" t="str">
        <f t="shared" si="13"/>
        <v/>
      </c>
      <c r="AB964" s="4" t="str">
        <f t="array" ref="AB964">XLOOKUP(X964,'Dados Funil'!A:A,'Dados Funil'!O:O,"")</f>
        <v/>
      </c>
      <c r="AE964" s="7" t="str">
        <f t="shared" si="6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9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G965" s="4"/>
      <c r="H965" s="4"/>
      <c r="I965" s="7" t="str">
        <f t="shared" si="2"/>
        <v/>
      </c>
      <c r="J965" s="4" t="str">
        <f t="shared" si="10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1"/>
        <v/>
      </c>
      <c r="P965" s="4" t="str">
        <f t="array" ref="P965">XLOOKUP(L965,'Dados Funil'!A:A,'Dados Funil'!AM:AM,"")</f>
        <v/>
      </c>
      <c r="Q965" s="9" t="str">
        <f t="array" ref="Q965">XLOOKUP(L965,'Dados Funil'!A:A,'Dados Funil'!AN:AN,"")</f>
        <v/>
      </c>
      <c r="T965" s="7" t="str">
        <f t="shared" si="4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5"/>
        <v/>
      </c>
      <c r="AA965" s="4" t="str">
        <f t="shared" si="13"/>
        <v/>
      </c>
      <c r="AB965" s="4" t="str">
        <f t="array" ref="AB965">XLOOKUP(X965,'Dados Funil'!A:A,'Dados Funil'!O:O,"")</f>
        <v/>
      </c>
      <c r="AE965" s="7" t="str">
        <f t="shared" si="6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9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G966" s="4"/>
      <c r="H966" s="4"/>
      <c r="I966" s="7" t="str">
        <f t="shared" si="2"/>
        <v/>
      </c>
      <c r="J966" s="4" t="str">
        <f t="shared" si="10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1"/>
        <v/>
      </c>
      <c r="P966" s="4" t="str">
        <f t="array" ref="P966">XLOOKUP(L966,'Dados Funil'!A:A,'Dados Funil'!AM:AM,"")</f>
        <v/>
      </c>
      <c r="Q966" s="9" t="str">
        <f t="array" ref="Q966">XLOOKUP(L966,'Dados Funil'!A:A,'Dados Funil'!AN:AN,"")</f>
        <v/>
      </c>
      <c r="T966" s="7" t="str">
        <f t="shared" si="4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5"/>
        <v/>
      </c>
      <c r="AA966" s="4" t="str">
        <f t="shared" si="13"/>
        <v/>
      </c>
      <c r="AB966" s="4" t="str">
        <f t="array" ref="AB966">XLOOKUP(X966,'Dados Funil'!A:A,'Dados Funil'!O:O,"")</f>
        <v/>
      </c>
      <c r="AE966" s="7" t="str">
        <f t="shared" si="6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9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G967" s="4"/>
      <c r="H967" s="4"/>
      <c r="I967" s="7" t="str">
        <f t="shared" si="2"/>
        <v/>
      </c>
      <c r="J967" s="4" t="str">
        <f t="shared" si="10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1"/>
        <v/>
      </c>
      <c r="P967" s="4" t="str">
        <f t="array" ref="P967">XLOOKUP(L967,'Dados Funil'!A:A,'Dados Funil'!AM:AM,"")</f>
        <v/>
      </c>
      <c r="Q967" s="9" t="str">
        <f t="array" ref="Q967">XLOOKUP(L967,'Dados Funil'!A:A,'Dados Funil'!AN:AN,"")</f>
        <v/>
      </c>
      <c r="T967" s="7" t="str">
        <f t="shared" si="4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5"/>
        <v/>
      </c>
      <c r="AA967" s="4" t="str">
        <f t="shared" si="13"/>
        <v/>
      </c>
      <c r="AB967" s="4" t="str">
        <f t="array" ref="AB967">XLOOKUP(X967,'Dados Funil'!A:A,'Dados Funil'!O:O,"")</f>
        <v/>
      </c>
      <c r="AE967" s="7" t="str">
        <f t="shared" si="6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9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G968" s="4"/>
      <c r="H968" s="4"/>
      <c r="I968" s="7" t="str">
        <f t="shared" si="2"/>
        <v/>
      </c>
      <c r="J968" s="4" t="str">
        <f t="shared" si="10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1"/>
        <v/>
      </c>
      <c r="P968" s="4" t="str">
        <f t="array" ref="P968">XLOOKUP(L968,'Dados Funil'!A:A,'Dados Funil'!AM:AM,"")</f>
        <v/>
      </c>
      <c r="Q968" s="9" t="str">
        <f t="array" ref="Q968">XLOOKUP(L968,'Dados Funil'!A:A,'Dados Funil'!AN:AN,"")</f>
        <v/>
      </c>
      <c r="T968" s="7" t="str">
        <f t="shared" si="4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5"/>
        <v/>
      </c>
      <c r="AA968" s="4" t="str">
        <f t="shared" si="13"/>
        <v/>
      </c>
      <c r="AB968" s="4" t="str">
        <f t="array" ref="AB968">XLOOKUP(X968,'Dados Funil'!A:A,'Dados Funil'!O:O,"")</f>
        <v/>
      </c>
      <c r="AE968" s="7" t="str">
        <f t="shared" si="6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9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G969" s="4"/>
      <c r="H969" s="4"/>
      <c r="I969" s="7" t="str">
        <f t="shared" si="2"/>
        <v/>
      </c>
      <c r="J969" s="4" t="str">
        <f t="shared" si="10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1"/>
        <v/>
      </c>
      <c r="P969" s="4" t="str">
        <f t="array" ref="P969">XLOOKUP(L969,'Dados Funil'!A:A,'Dados Funil'!AM:AM,"")</f>
        <v/>
      </c>
      <c r="Q969" s="9" t="str">
        <f t="array" ref="Q969">XLOOKUP(L969,'Dados Funil'!A:A,'Dados Funil'!AN:AN,"")</f>
        <v/>
      </c>
      <c r="T969" s="7" t="str">
        <f t="shared" si="4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5"/>
        <v/>
      </c>
      <c r="AA969" s="4" t="str">
        <f t="shared" si="13"/>
        <v/>
      </c>
      <c r="AB969" s="4" t="str">
        <f t="array" ref="AB969">XLOOKUP(X969,'Dados Funil'!A:A,'Dados Funil'!O:O,"")</f>
        <v/>
      </c>
      <c r="AE969" s="7" t="str">
        <f t="shared" si="6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9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G970" s="4"/>
      <c r="H970" s="4"/>
      <c r="I970" s="7" t="str">
        <f t="shared" si="2"/>
        <v/>
      </c>
      <c r="J970" s="4" t="str">
        <f t="shared" si="10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1"/>
        <v/>
      </c>
      <c r="P970" s="4" t="str">
        <f t="array" ref="P970">XLOOKUP(L970,'Dados Funil'!A:A,'Dados Funil'!AM:AM,"")</f>
        <v/>
      </c>
      <c r="Q970" s="9" t="str">
        <f t="array" ref="Q970">XLOOKUP(L970,'Dados Funil'!A:A,'Dados Funil'!AN:AN,"")</f>
        <v/>
      </c>
      <c r="T970" s="7" t="str">
        <f t="shared" si="4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5"/>
        <v/>
      </c>
      <c r="AA970" s="4" t="str">
        <f t="shared" si="13"/>
        <v/>
      </c>
      <c r="AB970" s="4" t="str">
        <f t="array" ref="AB970">XLOOKUP(X970,'Dados Funil'!A:A,'Dados Funil'!O:O,"")</f>
        <v/>
      </c>
      <c r="AE970" s="7" t="str">
        <f t="shared" si="6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9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G971" s="4"/>
      <c r="H971" s="4"/>
      <c r="I971" s="7" t="str">
        <f t="shared" si="2"/>
        <v/>
      </c>
      <c r="J971" s="4" t="str">
        <f t="shared" si="10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1"/>
        <v/>
      </c>
      <c r="P971" s="4" t="str">
        <f t="array" ref="P971">XLOOKUP(L971,'Dados Funil'!A:A,'Dados Funil'!AM:AM,"")</f>
        <v/>
      </c>
      <c r="Q971" s="9" t="str">
        <f t="array" ref="Q971">XLOOKUP(L971,'Dados Funil'!A:A,'Dados Funil'!AN:AN,"")</f>
        <v/>
      </c>
      <c r="T971" s="7" t="str">
        <f t="shared" si="4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5"/>
        <v/>
      </c>
      <c r="AA971" s="4" t="str">
        <f t="shared" si="13"/>
        <v/>
      </c>
      <c r="AB971" s="4" t="str">
        <f t="array" ref="AB971">XLOOKUP(X971,'Dados Funil'!A:A,'Dados Funil'!O:O,"")</f>
        <v/>
      </c>
      <c r="AE971" s="7" t="str">
        <f t="shared" si="6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9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G972" s="4"/>
      <c r="H972" s="4"/>
      <c r="I972" s="7" t="str">
        <f t="shared" si="2"/>
        <v/>
      </c>
      <c r="J972" s="4" t="str">
        <f t="shared" si="10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1"/>
        <v/>
      </c>
      <c r="P972" s="4" t="str">
        <f t="array" ref="P972">XLOOKUP(L972,'Dados Funil'!A:A,'Dados Funil'!AM:AM,"")</f>
        <v/>
      </c>
      <c r="Q972" s="9" t="str">
        <f t="array" ref="Q972">XLOOKUP(L972,'Dados Funil'!A:A,'Dados Funil'!AN:AN,"")</f>
        <v/>
      </c>
      <c r="T972" s="7" t="str">
        <f t="shared" si="4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5"/>
        <v/>
      </c>
      <c r="AA972" s="4" t="str">
        <f t="shared" si="13"/>
        <v/>
      </c>
      <c r="AB972" s="4" t="str">
        <f t="array" ref="AB972">XLOOKUP(X972,'Dados Funil'!A:A,'Dados Funil'!O:O,"")</f>
        <v/>
      </c>
      <c r="AE972" s="7" t="str">
        <f t="shared" si="6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9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G973" s="4"/>
      <c r="H973" s="4"/>
      <c r="I973" s="7" t="str">
        <f t="shared" si="2"/>
        <v/>
      </c>
      <c r="J973" s="4" t="str">
        <f t="shared" si="10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1"/>
        <v/>
      </c>
      <c r="P973" s="4" t="str">
        <f t="array" ref="P973">XLOOKUP(L973,'Dados Funil'!A:A,'Dados Funil'!AM:AM,"")</f>
        <v/>
      </c>
      <c r="Q973" s="9" t="str">
        <f t="array" ref="Q973">XLOOKUP(L973,'Dados Funil'!A:A,'Dados Funil'!AN:AN,"")</f>
        <v/>
      </c>
      <c r="T973" s="7" t="str">
        <f t="shared" si="4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5"/>
        <v/>
      </c>
      <c r="AA973" s="4" t="str">
        <f t="shared" si="13"/>
        <v/>
      </c>
      <c r="AB973" s="4" t="str">
        <f t="array" ref="AB973">XLOOKUP(X973,'Dados Funil'!A:A,'Dados Funil'!O:O,"")</f>
        <v/>
      </c>
      <c r="AE973" s="7" t="str">
        <f t="shared" si="6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9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G974" s="4"/>
      <c r="H974" s="4"/>
      <c r="I974" s="7" t="str">
        <f t="shared" si="2"/>
        <v/>
      </c>
      <c r="J974" s="4" t="str">
        <f t="shared" si="10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1"/>
        <v/>
      </c>
      <c r="P974" s="4" t="str">
        <f t="array" ref="P974">XLOOKUP(L974,'Dados Funil'!A:A,'Dados Funil'!AM:AM,"")</f>
        <v/>
      </c>
      <c r="Q974" s="9" t="str">
        <f t="array" ref="Q974">XLOOKUP(L974,'Dados Funil'!A:A,'Dados Funil'!AN:AN,"")</f>
        <v/>
      </c>
      <c r="T974" s="7" t="str">
        <f t="shared" si="4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5"/>
        <v/>
      </c>
      <c r="AA974" s="4" t="str">
        <f t="shared" si="13"/>
        <v/>
      </c>
      <c r="AB974" s="4" t="str">
        <f t="array" ref="AB974">XLOOKUP(X974,'Dados Funil'!A:A,'Dados Funil'!O:O,"")</f>
        <v/>
      </c>
      <c r="AE974" s="7" t="str">
        <f t="shared" si="6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9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G975" s="4"/>
      <c r="H975" s="4"/>
      <c r="I975" s="7" t="str">
        <f t="shared" si="2"/>
        <v/>
      </c>
      <c r="J975" s="4" t="str">
        <f t="shared" si="10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1"/>
        <v/>
      </c>
      <c r="P975" s="4" t="str">
        <f t="array" ref="P975">XLOOKUP(L975,'Dados Funil'!A:A,'Dados Funil'!AM:AM,"")</f>
        <v/>
      </c>
      <c r="Q975" s="9" t="str">
        <f t="array" ref="Q975">XLOOKUP(L975,'Dados Funil'!A:A,'Dados Funil'!AN:AN,"")</f>
        <v/>
      </c>
      <c r="T975" s="7" t="str">
        <f t="shared" si="4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5"/>
        <v/>
      </c>
      <c r="AA975" s="4" t="str">
        <f t="shared" si="13"/>
        <v/>
      </c>
      <c r="AB975" s="4" t="str">
        <f t="array" ref="AB975">XLOOKUP(X975,'Dados Funil'!A:A,'Dados Funil'!O:O,"")</f>
        <v/>
      </c>
      <c r="AE975" s="7" t="str">
        <f t="shared" si="6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9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G976" s="4"/>
      <c r="H976" s="4"/>
      <c r="I976" s="7" t="str">
        <f t="shared" si="2"/>
        <v/>
      </c>
      <c r="J976" s="4" t="str">
        <f t="shared" si="10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1"/>
        <v/>
      </c>
      <c r="P976" s="4" t="str">
        <f t="array" ref="P976">XLOOKUP(L976,'Dados Funil'!A:A,'Dados Funil'!AM:AM,"")</f>
        <v/>
      </c>
      <c r="Q976" s="9" t="str">
        <f t="array" ref="Q976">XLOOKUP(L976,'Dados Funil'!A:A,'Dados Funil'!AN:AN,"")</f>
        <v/>
      </c>
      <c r="T976" s="7" t="str">
        <f t="shared" si="4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5"/>
        <v/>
      </c>
      <c r="AA976" s="4" t="str">
        <f t="shared" si="13"/>
        <v/>
      </c>
      <c r="AB976" s="4" t="str">
        <f t="array" ref="AB976">XLOOKUP(X976,'Dados Funil'!A:A,'Dados Funil'!O:O,"")</f>
        <v/>
      </c>
      <c r="AE976" s="7" t="str">
        <f t="shared" si="6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9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G977" s="4"/>
      <c r="H977" s="4"/>
      <c r="I977" s="7" t="str">
        <f t="shared" si="2"/>
        <v/>
      </c>
      <c r="J977" s="4" t="str">
        <f t="shared" si="10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1"/>
        <v/>
      </c>
      <c r="P977" s="4" t="str">
        <f t="array" ref="P977">XLOOKUP(L977,'Dados Funil'!A:A,'Dados Funil'!AM:AM,"")</f>
        <v/>
      </c>
      <c r="Q977" s="9" t="str">
        <f t="array" ref="Q977">XLOOKUP(L977,'Dados Funil'!A:A,'Dados Funil'!AN:AN,"")</f>
        <v/>
      </c>
      <c r="T977" s="7" t="str">
        <f t="shared" si="4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5"/>
        <v/>
      </c>
      <c r="AA977" s="4" t="str">
        <f t="shared" si="13"/>
        <v/>
      </c>
      <c r="AB977" s="4" t="str">
        <f t="array" ref="AB977">XLOOKUP(X977,'Dados Funil'!A:A,'Dados Funil'!O:O,"")</f>
        <v/>
      </c>
      <c r="AE977" s="7" t="str">
        <f t="shared" si="6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9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G978" s="4"/>
      <c r="H978" s="4"/>
      <c r="I978" s="7" t="str">
        <f t="shared" si="2"/>
        <v/>
      </c>
      <c r="J978" s="4" t="str">
        <f t="shared" si="10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1"/>
        <v/>
      </c>
      <c r="P978" s="4" t="str">
        <f t="array" ref="P978">XLOOKUP(L978,'Dados Funil'!A:A,'Dados Funil'!AM:AM,"")</f>
        <v/>
      </c>
      <c r="Q978" s="9" t="str">
        <f t="array" ref="Q978">XLOOKUP(L978,'Dados Funil'!A:A,'Dados Funil'!AN:AN,"")</f>
        <v/>
      </c>
      <c r="T978" s="7" t="str">
        <f t="shared" si="4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5"/>
        <v/>
      </c>
      <c r="AA978" s="4" t="str">
        <f t="shared" si="13"/>
        <v/>
      </c>
      <c r="AB978" s="4" t="str">
        <f t="array" ref="AB978">XLOOKUP(X978,'Dados Funil'!A:A,'Dados Funil'!O:O,"")</f>
        <v/>
      </c>
      <c r="AE978" s="7" t="str">
        <f t="shared" si="6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9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G979" s="4"/>
      <c r="H979" s="4"/>
      <c r="I979" s="7" t="str">
        <f t="shared" si="2"/>
        <v/>
      </c>
      <c r="J979" s="4" t="str">
        <f t="shared" si="10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1"/>
        <v/>
      </c>
      <c r="P979" s="4" t="str">
        <f t="array" ref="P979">XLOOKUP(L979,'Dados Funil'!A:A,'Dados Funil'!AM:AM,"")</f>
        <v/>
      </c>
      <c r="Q979" s="9" t="str">
        <f t="array" ref="Q979">XLOOKUP(L979,'Dados Funil'!A:A,'Dados Funil'!AN:AN,"")</f>
        <v/>
      </c>
      <c r="T979" s="7" t="str">
        <f t="shared" si="4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5"/>
        <v/>
      </c>
      <c r="AA979" s="4" t="str">
        <f t="shared" si="13"/>
        <v/>
      </c>
      <c r="AB979" s="4" t="str">
        <f t="array" ref="AB979">XLOOKUP(X979,'Dados Funil'!A:A,'Dados Funil'!O:O,"")</f>
        <v/>
      </c>
      <c r="AE979" s="7" t="str">
        <f t="shared" si="6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9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G980" s="4"/>
      <c r="H980" s="4"/>
      <c r="I980" s="7" t="str">
        <f t="shared" si="2"/>
        <v/>
      </c>
      <c r="J980" s="4" t="str">
        <f t="shared" si="10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1"/>
        <v/>
      </c>
      <c r="P980" s="4" t="str">
        <f t="array" ref="P980">XLOOKUP(L980,'Dados Funil'!A:A,'Dados Funil'!AM:AM,"")</f>
        <v/>
      </c>
      <c r="Q980" s="9" t="str">
        <f t="array" ref="Q980">XLOOKUP(L980,'Dados Funil'!A:A,'Dados Funil'!AN:AN,"")</f>
        <v/>
      </c>
      <c r="T980" s="7" t="str">
        <f t="shared" si="4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5"/>
        <v/>
      </c>
      <c r="AA980" s="4" t="str">
        <f t="shared" si="13"/>
        <v/>
      </c>
      <c r="AB980" s="4" t="str">
        <f t="array" ref="AB980">XLOOKUP(X980,'Dados Funil'!A:A,'Dados Funil'!O:O,"")</f>
        <v/>
      </c>
      <c r="AE980" s="7" t="str">
        <f t="shared" si="6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9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G981" s="4"/>
      <c r="H981" s="4"/>
      <c r="I981" s="7" t="str">
        <f t="shared" si="2"/>
        <v/>
      </c>
      <c r="J981" s="4" t="str">
        <f t="shared" si="10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1"/>
        <v/>
      </c>
      <c r="P981" s="4" t="str">
        <f t="array" ref="P981">XLOOKUP(L981,'Dados Funil'!A:A,'Dados Funil'!AM:AM,"")</f>
        <v/>
      </c>
      <c r="Q981" s="9" t="str">
        <f t="array" ref="Q981">XLOOKUP(L981,'Dados Funil'!A:A,'Dados Funil'!AN:AN,"")</f>
        <v/>
      </c>
      <c r="T981" s="7" t="str">
        <f t="shared" si="4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5"/>
        <v/>
      </c>
      <c r="AA981" s="4" t="str">
        <f t="shared" si="13"/>
        <v/>
      </c>
      <c r="AB981" s="4" t="str">
        <f t="array" ref="AB981">XLOOKUP(X981,'Dados Funil'!A:A,'Dados Funil'!O:O,"")</f>
        <v/>
      </c>
      <c r="AE981" s="7" t="str">
        <f t="shared" si="6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9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G982" s="4"/>
      <c r="H982" s="4"/>
      <c r="I982" s="7" t="str">
        <f t="shared" si="2"/>
        <v/>
      </c>
      <c r="J982" s="4" t="str">
        <f t="shared" si="10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1"/>
        <v/>
      </c>
      <c r="P982" s="4" t="str">
        <f t="array" ref="P982">XLOOKUP(L982,'Dados Funil'!A:A,'Dados Funil'!AM:AM,"")</f>
        <v/>
      </c>
      <c r="Q982" s="9" t="str">
        <f t="array" ref="Q982">XLOOKUP(L982,'Dados Funil'!A:A,'Dados Funil'!AN:AN,"")</f>
        <v/>
      </c>
      <c r="T982" s="7" t="str">
        <f t="shared" si="4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5"/>
        <v/>
      </c>
      <c r="AA982" s="4" t="str">
        <f t="shared" si="13"/>
        <v/>
      </c>
      <c r="AB982" s="4" t="str">
        <f t="array" ref="AB982">XLOOKUP(X982,'Dados Funil'!A:A,'Dados Funil'!O:O,"")</f>
        <v/>
      </c>
      <c r="AE982" s="7" t="str">
        <f t="shared" si="6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9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G983" s="4"/>
      <c r="H983" s="4"/>
      <c r="I983" s="7" t="str">
        <f t="shared" si="2"/>
        <v/>
      </c>
      <c r="J983" s="4" t="str">
        <f t="shared" si="10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1"/>
        <v/>
      </c>
      <c r="P983" s="4" t="str">
        <f t="array" ref="P983">XLOOKUP(L983,'Dados Funil'!A:A,'Dados Funil'!AM:AM,"")</f>
        <v/>
      </c>
      <c r="Q983" s="9" t="str">
        <f t="array" ref="Q983">XLOOKUP(L983,'Dados Funil'!A:A,'Dados Funil'!AN:AN,"")</f>
        <v/>
      </c>
      <c r="T983" s="7" t="str">
        <f t="shared" si="4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5"/>
        <v/>
      </c>
      <c r="AA983" s="4" t="str">
        <f t="shared" si="13"/>
        <v/>
      </c>
      <c r="AB983" s="4" t="str">
        <f t="array" ref="AB983">XLOOKUP(X983,'Dados Funil'!A:A,'Dados Funil'!O:O,"")</f>
        <v/>
      </c>
      <c r="AE983" s="7" t="str">
        <f t="shared" si="6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9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G984" s="4"/>
      <c r="H984" s="4"/>
      <c r="I984" s="7" t="str">
        <f t="shared" si="2"/>
        <v/>
      </c>
      <c r="J984" s="4" t="str">
        <f t="shared" si="10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1"/>
        <v/>
      </c>
      <c r="P984" s="4" t="str">
        <f t="array" ref="P984">XLOOKUP(L984,'Dados Funil'!A:A,'Dados Funil'!AM:AM,"")</f>
        <v/>
      </c>
      <c r="Q984" s="9" t="str">
        <f t="array" ref="Q984">XLOOKUP(L984,'Dados Funil'!A:A,'Dados Funil'!AN:AN,"")</f>
        <v/>
      </c>
      <c r="T984" s="7" t="str">
        <f t="shared" si="4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5"/>
        <v/>
      </c>
      <c r="AA984" s="4" t="str">
        <f t="shared" si="13"/>
        <v/>
      </c>
      <c r="AB984" s="4" t="str">
        <f t="array" ref="AB984">XLOOKUP(X984,'Dados Funil'!A:A,'Dados Funil'!O:O,"")</f>
        <v/>
      </c>
      <c r="AE984" s="7" t="str">
        <f t="shared" si="6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9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G985" s="4"/>
      <c r="H985" s="4"/>
      <c r="I985" s="7" t="str">
        <f t="shared" si="2"/>
        <v/>
      </c>
      <c r="J985" s="4" t="str">
        <f t="shared" si="10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1"/>
        <v/>
      </c>
      <c r="P985" s="4" t="str">
        <f t="array" ref="P985">XLOOKUP(L985,'Dados Funil'!A:A,'Dados Funil'!AM:AM,"")</f>
        <v/>
      </c>
      <c r="Q985" s="9" t="str">
        <f t="array" ref="Q985">XLOOKUP(L985,'Dados Funil'!A:A,'Dados Funil'!AN:AN,"")</f>
        <v/>
      </c>
      <c r="T985" s="7" t="str">
        <f t="shared" si="4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5"/>
        <v/>
      </c>
      <c r="AA985" s="4" t="str">
        <f t="shared" si="13"/>
        <v/>
      </c>
      <c r="AB985" s="4" t="str">
        <f t="array" ref="AB985">XLOOKUP(X985,'Dados Funil'!A:A,'Dados Funil'!O:O,"")</f>
        <v/>
      </c>
      <c r="AE985" s="7" t="str">
        <f t="shared" si="6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9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G986" s="4"/>
      <c r="H986" s="4"/>
      <c r="I986" s="7" t="str">
        <f t="shared" si="2"/>
        <v/>
      </c>
      <c r="J986" s="4" t="str">
        <f t="shared" si="10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1"/>
        <v/>
      </c>
      <c r="P986" s="4" t="str">
        <f t="array" ref="P986">XLOOKUP(L986,'Dados Funil'!A:A,'Dados Funil'!AM:AM,"")</f>
        <v/>
      </c>
      <c r="Q986" s="9" t="str">
        <f t="array" ref="Q986">XLOOKUP(L986,'Dados Funil'!A:A,'Dados Funil'!AN:AN,"")</f>
        <v/>
      </c>
      <c r="T986" s="7" t="str">
        <f t="shared" si="4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5"/>
        <v/>
      </c>
      <c r="AA986" s="4" t="str">
        <f t="shared" si="13"/>
        <v/>
      </c>
      <c r="AB986" s="4" t="str">
        <f t="array" ref="AB986">XLOOKUP(X986,'Dados Funil'!A:A,'Dados Funil'!O:O,"")</f>
        <v/>
      </c>
      <c r="AE986" s="7" t="str">
        <f t="shared" si="6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9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G987" s="4"/>
      <c r="H987" s="4"/>
      <c r="I987" s="7" t="str">
        <f t="shared" si="2"/>
        <v/>
      </c>
      <c r="J987" s="4" t="str">
        <f t="shared" si="10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1"/>
        <v/>
      </c>
      <c r="P987" s="4" t="str">
        <f t="array" ref="P987">XLOOKUP(L987,'Dados Funil'!A:A,'Dados Funil'!AM:AM,"")</f>
        <v/>
      </c>
      <c r="Q987" s="9" t="str">
        <f t="array" ref="Q987">XLOOKUP(L987,'Dados Funil'!A:A,'Dados Funil'!AN:AN,"")</f>
        <v/>
      </c>
      <c r="T987" s="7" t="str">
        <f t="shared" si="4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5"/>
        <v/>
      </c>
      <c r="AA987" s="4" t="str">
        <f t="shared" si="13"/>
        <v/>
      </c>
      <c r="AB987" s="4" t="str">
        <f t="array" ref="AB987">XLOOKUP(X987,'Dados Funil'!A:A,'Dados Funil'!O:O,"")</f>
        <v/>
      </c>
      <c r="AE987" s="7" t="str">
        <f t="shared" si="6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9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G988" s="4"/>
      <c r="H988" s="4"/>
      <c r="I988" s="7" t="str">
        <f t="shared" si="2"/>
        <v/>
      </c>
      <c r="J988" s="4" t="str">
        <f t="shared" si="10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1"/>
        <v/>
      </c>
      <c r="P988" s="4" t="str">
        <f t="array" ref="P988">XLOOKUP(L988,'Dados Funil'!A:A,'Dados Funil'!AM:AM,"")</f>
        <v/>
      </c>
      <c r="Q988" s="9" t="str">
        <f t="array" ref="Q988">XLOOKUP(L988,'Dados Funil'!A:A,'Dados Funil'!AN:AN,"")</f>
        <v/>
      </c>
      <c r="T988" s="7" t="str">
        <f t="shared" si="4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5"/>
        <v/>
      </c>
      <c r="AA988" s="4" t="str">
        <f t="shared" si="13"/>
        <v/>
      </c>
      <c r="AB988" s="4" t="str">
        <f t="array" ref="AB988">XLOOKUP(X988,'Dados Funil'!A:A,'Dados Funil'!O:O,"")</f>
        <v/>
      </c>
      <c r="AE988" s="7" t="str">
        <f t="shared" si="6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9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G989" s="4"/>
      <c r="H989" s="4"/>
      <c r="I989" s="7" t="str">
        <f t="shared" si="2"/>
        <v/>
      </c>
      <c r="J989" s="4" t="str">
        <f t="shared" si="10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1"/>
        <v/>
      </c>
      <c r="P989" s="4" t="str">
        <f t="array" ref="P989">XLOOKUP(L989,'Dados Funil'!A:A,'Dados Funil'!AM:AM,"")</f>
        <v/>
      </c>
      <c r="Q989" s="9" t="str">
        <f t="array" ref="Q989">XLOOKUP(L989,'Dados Funil'!A:A,'Dados Funil'!AN:AN,"")</f>
        <v/>
      </c>
      <c r="T989" s="7" t="str">
        <f t="shared" si="4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5"/>
        <v/>
      </c>
      <c r="AA989" s="4" t="str">
        <f t="shared" si="13"/>
        <v/>
      </c>
      <c r="AB989" s="4" t="str">
        <f t="array" ref="AB989">XLOOKUP(X989,'Dados Funil'!A:A,'Dados Funil'!O:O,"")</f>
        <v/>
      </c>
      <c r="AE989" s="7" t="str">
        <f t="shared" si="6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9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G990" s="4"/>
      <c r="H990" s="4"/>
      <c r="I990" s="7" t="str">
        <f t="shared" si="2"/>
        <v/>
      </c>
      <c r="J990" s="4" t="str">
        <f t="shared" si="10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1"/>
        <v/>
      </c>
      <c r="P990" s="4" t="str">
        <f t="array" ref="P990">XLOOKUP(L990,'Dados Funil'!A:A,'Dados Funil'!AM:AM,"")</f>
        <v/>
      </c>
      <c r="Q990" s="9" t="str">
        <f t="array" ref="Q990">XLOOKUP(L990,'Dados Funil'!A:A,'Dados Funil'!AN:AN,"")</f>
        <v/>
      </c>
      <c r="T990" s="7" t="str">
        <f t="shared" si="4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5"/>
        <v/>
      </c>
      <c r="AA990" s="4" t="str">
        <f t="shared" si="13"/>
        <v/>
      </c>
      <c r="AB990" s="4" t="str">
        <f t="array" ref="AB990">XLOOKUP(X990,'Dados Funil'!A:A,'Dados Funil'!O:O,"")</f>
        <v/>
      </c>
      <c r="AE990" s="7" t="str">
        <f t="shared" si="6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9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G991" s="4"/>
      <c r="H991" s="4"/>
      <c r="I991" s="7" t="str">
        <f t="shared" si="2"/>
        <v/>
      </c>
      <c r="J991" s="4" t="str">
        <f t="shared" si="10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1"/>
        <v/>
      </c>
      <c r="P991" s="4" t="str">
        <f t="array" ref="P991">XLOOKUP(L991,'Dados Funil'!A:A,'Dados Funil'!AM:AM,"")</f>
        <v/>
      </c>
      <c r="Q991" s="9" t="str">
        <f t="array" ref="Q991">XLOOKUP(L991,'Dados Funil'!A:A,'Dados Funil'!AN:AN,"")</f>
        <v/>
      </c>
      <c r="T991" s="7" t="str">
        <f t="shared" si="4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5"/>
        <v/>
      </c>
      <c r="AA991" s="4" t="str">
        <f t="shared" si="13"/>
        <v/>
      </c>
      <c r="AB991" s="4" t="str">
        <f t="array" ref="AB991">XLOOKUP(X991,'Dados Funil'!A:A,'Dados Funil'!O:O,"")</f>
        <v/>
      </c>
      <c r="AE991" s="7" t="str">
        <f t="shared" si="6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9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G992" s="4"/>
      <c r="H992" s="4"/>
      <c r="I992" s="7" t="str">
        <f t="shared" si="2"/>
        <v/>
      </c>
      <c r="J992" s="4" t="str">
        <f t="shared" si="10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1"/>
        <v/>
      </c>
      <c r="P992" s="4" t="str">
        <f t="array" ref="P992">XLOOKUP(L992,'Dados Funil'!A:A,'Dados Funil'!AM:AM,"")</f>
        <v/>
      </c>
      <c r="Q992" s="9" t="str">
        <f t="array" ref="Q992">XLOOKUP(L992,'Dados Funil'!A:A,'Dados Funil'!AN:AN,"")</f>
        <v/>
      </c>
      <c r="T992" s="7" t="str">
        <f t="shared" si="4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5"/>
        <v/>
      </c>
      <c r="AA992" s="4" t="str">
        <f t="shared" si="13"/>
        <v/>
      </c>
      <c r="AB992" s="4" t="str">
        <f t="array" ref="AB992">XLOOKUP(X992,'Dados Funil'!A:A,'Dados Funil'!O:O,"")</f>
        <v/>
      </c>
      <c r="AE992" s="7" t="str">
        <f t="shared" si="6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9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G993" s="4"/>
      <c r="H993" s="4"/>
      <c r="I993" s="7" t="str">
        <f t="shared" si="2"/>
        <v/>
      </c>
      <c r="J993" s="4" t="str">
        <f t="shared" si="10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1"/>
        <v/>
      </c>
      <c r="P993" s="4" t="str">
        <f t="array" ref="P993">XLOOKUP(L993,'Dados Funil'!A:A,'Dados Funil'!AM:AM,"")</f>
        <v/>
      </c>
      <c r="Q993" s="9" t="str">
        <f t="array" ref="Q993">XLOOKUP(L993,'Dados Funil'!A:A,'Dados Funil'!AN:AN,"")</f>
        <v/>
      </c>
      <c r="T993" s="7" t="str">
        <f t="shared" si="4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5"/>
        <v/>
      </c>
      <c r="AA993" s="4" t="str">
        <f t="shared" si="13"/>
        <v/>
      </c>
      <c r="AB993" s="4" t="str">
        <f t="array" ref="AB993">XLOOKUP(X993,'Dados Funil'!A:A,'Dados Funil'!O:O,"")</f>
        <v/>
      </c>
      <c r="AE993" s="7" t="str">
        <f t="shared" si="6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9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G994" s="4"/>
      <c r="H994" s="4"/>
      <c r="I994" s="7" t="str">
        <f t="shared" si="2"/>
        <v/>
      </c>
      <c r="J994" s="4" t="str">
        <f t="shared" si="10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1"/>
        <v/>
      </c>
      <c r="P994" s="4" t="str">
        <f t="array" ref="P994">XLOOKUP(L994,'Dados Funil'!A:A,'Dados Funil'!AM:AM,"")</f>
        <v/>
      </c>
      <c r="Q994" s="9" t="str">
        <f t="array" ref="Q994">XLOOKUP(L994,'Dados Funil'!A:A,'Dados Funil'!AN:AN,"")</f>
        <v/>
      </c>
      <c r="T994" s="7" t="str">
        <f t="shared" si="4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5"/>
        <v/>
      </c>
      <c r="AA994" s="4" t="str">
        <f t="shared" si="13"/>
        <v/>
      </c>
      <c r="AB994" s="4" t="str">
        <f t="array" ref="AB994">XLOOKUP(X994,'Dados Funil'!A:A,'Dados Funil'!O:O,"")</f>
        <v/>
      </c>
      <c r="AE994" s="7" t="str">
        <f t="shared" si="6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9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G995" s="4"/>
      <c r="H995" s="4"/>
      <c r="I995" s="7" t="str">
        <f t="shared" si="2"/>
        <v/>
      </c>
      <c r="J995" s="4" t="str">
        <f t="shared" si="10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1"/>
        <v/>
      </c>
      <c r="P995" s="4" t="str">
        <f t="array" ref="P995">XLOOKUP(L995,'Dados Funil'!A:A,'Dados Funil'!AM:AM,"")</f>
        <v/>
      </c>
      <c r="Q995" s="9" t="str">
        <f t="array" ref="Q995">XLOOKUP(L995,'Dados Funil'!A:A,'Dados Funil'!AN:AN,"")</f>
        <v/>
      </c>
      <c r="T995" s="7" t="str">
        <f t="shared" si="4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5"/>
        <v/>
      </c>
      <c r="AA995" s="4" t="str">
        <f t="shared" si="13"/>
        <v/>
      </c>
      <c r="AB995" s="4" t="str">
        <f t="array" ref="AB995">XLOOKUP(X995,'Dados Funil'!A:A,'Dados Funil'!O:O,"")</f>
        <v/>
      </c>
      <c r="AE995" s="7" t="str">
        <f t="shared" si="6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9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G996" s="4"/>
      <c r="H996" s="4"/>
      <c r="I996" s="7" t="str">
        <f t="shared" si="2"/>
        <v/>
      </c>
      <c r="J996" s="4" t="str">
        <f t="shared" si="10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1"/>
        <v/>
      </c>
      <c r="P996" s="4" t="str">
        <f t="array" ref="P996">XLOOKUP(L996,'Dados Funil'!A:A,'Dados Funil'!AM:AM,"")</f>
        <v/>
      </c>
      <c r="Q996" s="9" t="str">
        <f t="array" ref="Q996">XLOOKUP(L996,'Dados Funil'!A:A,'Dados Funil'!AN:AN,"")</f>
        <v/>
      </c>
      <c r="T996" s="7" t="str">
        <f t="shared" si="4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5"/>
        <v/>
      </c>
      <c r="AA996" s="4" t="str">
        <f t="shared" si="13"/>
        <v/>
      </c>
      <c r="AB996" s="4" t="str">
        <f t="array" ref="AB996">XLOOKUP(X996,'Dados Funil'!A:A,'Dados Funil'!O:O,"")</f>
        <v/>
      </c>
      <c r="AE996" s="7" t="str">
        <f t="shared" si="6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9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G997" s="4"/>
      <c r="H997" s="4"/>
      <c r="I997" s="7" t="str">
        <f t="shared" si="2"/>
        <v/>
      </c>
      <c r="J997" s="4" t="str">
        <f t="shared" si="10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1"/>
        <v/>
      </c>
      <c r="P997" s="4" t="str">
        <f t="array" ref="P997">XLOOKUP(L997,'Dados Funil'!A:A,'Dados Funil'!AM:AM,"")</f>
        <v/>
      </c>
      <c r="Q997" s="9" t="str">
        <f t="array" ref="Q997">XLOOKUP(L997,'Dados Funil'!A:A,'Dados Funil'!AN:AN,"")</f>
        <v/>
      </c>
      <c r="T997" s="7" t="str">
        <f t="shared" si="4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5"/>
        <v/>
      </c>
      <c r="AA997" s="4" t="str">
        <f t="shared" si="13"/>
        <v/>
      </c>
      <c r="AB997" s="4" t="str">
        <f t="array" ref="AB997">XLOOKUP(X997,'Dados Funil'!A:A,'Dados Funil'!O:O,"")</f>
        <v/>
      </c>
      <c r="AE997" s="7" t="str">
        <f t="shared" si="6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9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G998" s="4"/>
      <c r="H998" s="4"/>
      <c r="I998" s="7" t="str">
        <f t="shared" si="2"/>
        <v/>
      </c>
      <c r="J998" s="4" t="str">
        <f t="shared" si="10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1"/>
        <v/>
      </c>
      <c r="P998" s="4" t="str">
        <f t="array" ref="P998">XLOOKUP(L998,'Dados Funil'!A:A,'Dados Funil'!AM:AM,"")</f>
        <v/>
      </c>
      <c r="Q998" s="9" t="str">
        <f t="array" ref="Q998">XLOOKUP(L998,'Dados Funil'!A:A,'Dados Funil'!AN:AN,"")</f>
        <v/>
      </c>
      <c r="T998" s="7" t="str">
        <f t="shared" si="4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5"/>
        <v/>
      </c>
      <c r="AA998" s="4" t="str">
        <f t="shared" si="13"/>
        <v/>
      </c>
      <c r="AB998" s="4" t="str">
        <f t="array" ref="AB998">XLOOKUP(X998,'Dados Funil'!A:A,'Dados Funil'!O:O,"")</f>
        <v/>
      </c>
      <c r="AE998" s="7" t="str">
        <f t="shared" si="6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9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G999" s="4"/>
      <c r="H999" s="4"/>
      <c r="I999" s="7" t="str">
        <f t="shared" si="2"/>
        <v/>
      </c>
      <c r="J999" s="4" t="str">
        <f t="shared" si="10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1"/>
        <v/>
      </c>
      <c r="P999" s="4" t="str">
        <f t="array" ref="P999">XLOOKUP(L999,'Dados Funil'!A:A,'Dados Funil'!AM:AM,"")</f>
        <v/>
      </c>
      <c r="Q999" s="9" t="str">
        <f t="array" ref="Q999">XLOOKUP(L999,'Dados Funil'!A:A,'Dados Funil'!AN:AN,"")</f>
        <v/>
      </c>
      <c r="T999" s="7" t="str">
        <f t="shared" si="4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5"/>
        <v/>
      </c>
      <c r="AA999" s="4" t="str">
        <f t="shared" si="13"/>
        <v/>
      </c>
      <c r="AB999" s="4" t="str">
        <f t="array" ref="AB999">XLOOKUP(X999,'Dados Funil'!A:A,'Dados Funil'!O:O,"")</f>
        <v/>
      </c>
      <c r="AE999" s="7" t="str">
        <f t="shared" si="6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9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G1000" s="4"/>
      <c r="H1000" s="4"/>
      <c r="I1000" s="7" t="str">
        <f t="shared" si="2"/>
        <v/>
      </c>
      <c r="J1000" s="4" t="str">
        <f t="shared" si="10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1"/>
        <v/>
      </c>
      <c r="P1000" s="4" t="str">
        <f t="array" ref="P1000">XLOOKUP(L1000,'Dados Funil'!A:A,'Dados Funil'!AM:AM,"")</f>
        <v/>
      </c>
      <c r="Q1000" s="9" t="str">
        <f t="array" ref="Q1000">XLOOKUP(L1000,'Dados Funil'!A:A,'Dados Funil'!AN:AN,"")</f>
        <v/>
      </c>
      <c r="T1000" s="7" t="str">
        <f t="shared" si="4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5"/>
        <v/>
      </c>
      <c r="AA1000" s="4" t="str">
        <f t="shared" si="13"/>
        <v/>
      </c>
      <c r="AB1000" s="4" t="str">
        <f t="array" ref="AB1000">XLOOKUP(X1000,'Dados Funil'!A:A,'Dados Funil'!O:O,"")</f>
        <v/>
      </c>
      <c r="AE1000" s="7" t="str">
        <f t="shared" si="6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5" t="s">
        <v>94</v>
      </c>
      <c r="B1" s="15" t="s">
        <v>95</v>
      </c>
      <c r="C1" s="15" t="s">
        <v>96</v>
      </c>
      <c r="D1" s="15" t="s">
        <v>97</v>
      </c>
      <c r="E1" s="16" t="s">
        <v>98</v>
      </c>
      <c r="F1" s="15" t="s">
        <v>99</v>
      </c>
      <c r="G1" s="15" t="s">
        <v>100</v>
      </c>
      <c r="H1" s="17" t="s">
        <v>101</v>
      </c>
      <c r="I1" s="15" t="s">
        <v>85</v>
      </c>
      <c r="J1" s="15" t="s">
        <v>90</v>
      </c>
      <c r="K1" s="15" t="s">
        <v>54</v>
      </c>
      <c r="L1" s="15" t="s">
        <v>55</v>
      </c>
      <c r="M1" s="16" t="s">
        <v>102</v>
      </c>
      <c r="N1" s="15" t="s">
        <v>103</v>
      </c>
      <c r="O1" s="15" t="s">
        <v>104</v>
      </c>
      <c r="P1" s="15" t="s">
        <v>105</v>
      </c>
      <c r="Q1" s="15" t="s">
        <v>106</v>
      </c>
      <c r="R1" s="15" t="s">
        <v>107</v>
      </c>
      <c r="S1" s="15" t="s">
        <v>108</v>
      </c>
      <c r="T1" s="15" t="s">
        <v>109</v>
      </c>
      <c r="U1" s="15" t="s">
        <v>110</v>
      </c>
      <c r="V1" s="15" t="s">
        <v>111</v>
      </c>
      <c r="W1" s="15" t="s">
        <v>112</v>
      </c>
      <c r="X1" s="15" t="s">
        <v>113</v>
      </c>
      <c r="Y1" s="15" t="s">
        <v>114</v>
      </c>
      <c r="Z1" s="15" t="s">
        <v>115</v>
      </c>
      <c r="AA1" s="15" t="s">
        <v>116</v>
      </c>
      <c r="AB1" s="15" t="s">
        <v>117</v>
      </c>
      <c r="AC1" s="15" t="s">
        <v>118</v>
      </c>
      <c r="AD1" s="15" t="s">
        <v>119</v>
      </c>
      <c r="AE1" s="15" t="s">
        <v>120</v>
      </c>
      <c r="AF1" s="15" t="s">
        <v>121</v>
      </c>
      <c r="AG1" s="15" t="s">
        <v>122</v>
      </c>
      <c r="AH1" s="15" t="s">
        <v>123</v>
      </c>
      <c r="AI1" s="15" t="s">
        <v>124</v>
      </c>
      <c r="AJ1" s="15" t="s">
        <v>125</v>
      </c>
      <c r="AK1" s="15" t="s">
        <v>87</v>
      </c>
      <c r="AL1" s="15" t="s">
        <v>92</v>
      </c>
      <c r="AM1" s="15" t="s">
        <v>65</v>
      </c>
      <c r="AN1" s="15" t="s">
        <v>66</v>
      </c>
      <c r="AO1" s="15" t="s">
        <v>126</v>
      </c>
      <c r="AP1" s="15" t="s">
        <v>127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"),"Form G4 Instagram G4")</f>
        <v>Form G4 Instagram G4</v>
      </c>
      <c r="B2" s="18">
        <f>IFERROR(__xludf.DUMMYFUNCTION("""COMPUTED_VALUE"""),1194.9677419354832)</f>
        <v>1194.967742</v>
      </c>
      <c r="C2" s="19">
        <f>IFERROR(__xludf.DUMMYFUNCTION("""COMPUTED_VALUE"""),1228.0)</f>
        <v>1228</v>
      </c>
      <c r="D2" s="20">
        <f>IFERROR(__xludf.DUMMYFUNCTION("""COMPUTED_VALUE"""),33.03225806451678)</f>
        <v>33.03225806</v>
      </c>
      <c r="E2" s="21">
        <f>IFERROR(__xludf.DUMMYFUNCTION("""COMPUTED_VALUE"""),0.027642803153007794)</f>
        <v>0.02764280315</v>
      </c>
      <c r="F2" s="22">
        <f>IFERROR(__xludf.DUMMYFUNCTION("""COMPUTED_VALUE"""),0.8426624896062617)</f>
        <v>0.8426624896</v>
      </c>
      <c r="G2" s="22">
        <f>IFERROR(__xludf.DUMMYFUNCTION("""COMPUTED_VALUE"""),0.7785016286644951)</f>
        <v>0.7785016287</v>
      </c>
      <c r="H2" s="23">
        <f>IFERROR(__xludf.DUMMYFUNCTION("""COMPUTED_VALUE"""),-6.416086094176654)</f>
        <v>-6.416086094</v>
      </c>
      <c r="I2" s="18">
        <f>IFERROR(__xludf.DUMMYFUNCTION("""COMPUTED_VALUE"""),1006.954492418527)</f>
        <v>1006.954492</v>
      </c>
      <c r="J2" s="19">
        <f>IFERROR(__xludf.DUMMYFUNCTION("""COMPUTED_VALUE"""),956.0)</f>
        <v>956</v>
      </c>
      <c r="K2" s="20">
        <f>IFERROR(__xludf.DUMMYFUNCTION("""COMPUTED_VALUE"""),-50.954492418527025)</f>
        <v>-50.95449242</v>
      </c>
      <c r="L2" s="21">
        <f>IFERROR(__xludf.DUMMYFUNCTION("""COMPUTED_VALUE"""),-0.05060257717917651)</f>
        <v>-0.05060257718</v>
      </c>
      <c r="M2" s="24">
        <f>IFERROR(__xludf.DUMMYFUNCTION("""COMPUTED_VALUE"""),0.34)</f>
        <v>0.34</v>
      </c>
      <c r="N2" s="22">
        <f>IFERROR(__xludf.DUMMYFUNCTION("""COMPUTED_VALUE"""),0.32217573221757323)</f>
        <v>0.3221757322</v>
      </c>
      <c r="O2" s="25">
        <f>IFERROR(__xludf.DUMMYFUNCTION("""COMPUTED_VALUE"""),-1.7824267782426795)</f>
        <v>-1.782426778</v>
      </c>
      <c r="P2" s="18">
        <f>IFERROR(__xludf.DUMMYFUNCTION("""COMPUTED_VALUE"""),314.46815852122324)</f>
        <v>314.4681585</v>
      </c>
      <c r="Q2" s="19">
        <f>IFERROR(__xludf.DUMMYFUNCTION("""COMPUTED_VALUE"""),308.0)</f>
        <v>308</v>
      </c>
      <c r="R2" s="20">
        <f>IFERROR(__xludf.DUMMYFUNCTION("""COMPUTED_VALUE"""),-6.468158521223245)</f>
        <v>-6.468158521</v>
      </c>
      <c r="S2" s="26">
        <f>IFERROR(__xludf.DUMMYFUNCTION("""COMPUTED_VALUE"""),-0.02056856424395894)</f>
        <v>-0.02056856424</v>
      </c>
      <c r="T2" s="22">
        <f>IFERROR(__xludf.DUMMYFUNCTION("""COMPUTED_VALUE"""),0.19)</f>
        <v>0.19</v>
      </c>
      <c r="U2" s="22">
        <f>IFERROR(__xludf.DUMMYFUNCTION("""COMPUTED_VALUE"""),0.16233766233766234)</f>
        <v>0.1623376623</v>
      </c>
      <c r="V2" s="23">
        <f>IFERROR(__xludf.DUMMYFUNCTION("""COMPUTED_VALUE"""),-2.766233766233767)</f>
        <v>-2.766233766</v>
      </c>
      <c r="W2" s="18">
        <f>IFERROR(__xludf.DUMMYFUNCTION("""COMPUTED_VALUE"""),59.748950119032415)</f>
        <v>59.74895012</v>
      </c>
      <c r="X2" s="19">
        <f>IFERROR(__xludf.DUMMYFUNCTION("""COMPUTED_VALUE"""),50.0)</f>
        <v>50</v>
      </c>
      <c r="Y2" s="20">
        <f>IFERROR(__xludf.DUMMYFUNCTION("""COMPUTED_VALUE"""),-9.748950119032415)</f>
        <v>-9.748950119</v>
      </c>
      <c r="Z2" s="27">
        <f>IFERROR(__xludf.DUMMYFUNCTION("""COMPUTED_VALUE"""),-0.16316521210181043)</f>
        <v>-0.1631652121</v>
      </c>
      <c r="AA2" s="18">
        <f>IFERROR(__xludf.DUMMYFUNCTION("""COMPUTED_VALUE"""),32000.0)</f>
        <v>32000</v>
      </c>
      <c r="AB2" s="19">
        <f>IFERROR(__xludf.DUMMYFUNCTION("""COMPUTED_VALUE"""),21627.232006835937)</f>
        <v>21627.23201</v>
      </c>
      <c r="AC2" s="20">
        <f>IFERROR(__xludf.DUMMYFUNCTION("""COMPUTED_VALUE"""),-10372.767993164063)</f>
        <v>-10372.76799</v>
      </c>
      <c r="AD2" s="27">
        <f>IFERROR(__xludf.DUMMYFUNCTION("""COMPUTED_VALUE"""),-0.32414899978637696)</f>
        <v>-0.3241489998</v>
      </c>
      <c r="AE2" s="18">
        <f>IFERROR(__xludf.DUMMYFUNCTION("""COMPUTED_VALUE"""),1855802.3906971465)</f>
        <v>1855802.391</v>
      </c>
      <c r="AF2" s="19">
        <f>IFERROR(__xludf.DUMMYFUNCTION("""COMPUTED_VALUE"""),1081361.6003417969)</f>
        <v>1081361.6</v>
      </c>
      <c r="AG2" s="20">
        <f>IFERROR(__xludf.DUMMYFUNCTION("""COMPUTED_VALUE"""),-774440.7903553497)</f>
        <v>-774440.7904</v>
      </c>
      <c r="AH2" s="28">
        <f>IFERROR(__xludf.DUMMYFUNCTION("""COMPUTED_VALUE"""),-0.4173077878536545)</f>
        <v>-0.4173077879</v>
      </c>
      <c r="AI2" s="29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"),-105333.12672757907)</f>
        <v>-105333.1267</v>
      </c>
      <c r="AJ2" s="29">
        <f>IFERROR(__xludf.DUMMYFUNCTION("""COMPUTED_VALUE"""),-894881.5996582034)</f>
        <v>-894881.5997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"),6080.000000000001)</f>
        <v>6080</v>
      </c>
      <c r="AL2" s="30">
        <f>IFERROR(__xludf.DUMMYFUNCTION("""COMPUTED_VALUE"""),3510.914286824016)</f>
        <v>3510.914287</v>
      </c>
      <c r="AM2" s="29">
        <f t="shared" ref="AM2:AM16" si="1">AL2-AK2</f>
        <v>-2569.085713</v>
      </c>
      <c r="AN2" s="31">
        <f t="shared" ref="AN2:AN16" si="2">AM2/AK2</f>
        <v>-0.4225469923</v>
      </c>
      <c r="AO2" s="12">
        <f t="shared" ref="AO2:AO16" si="3">J2*(N2-M2)*AK2</f>
        <v>-103603.2</v>
      </c>
      <c r="AP2" s="12">
        <f t="shared" ref="AP2:AP16" si="4">J2*N2*AM2</f>
        <v>-791278.3997</v>
      </c>
      <c r="AQ2" s="12">
        <f>SUMIFS(AP2:AP16,AP2:AP16,"&lt;"&amp;0)</f>
        <v>-2965101.35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IFERROR(__xludf.DUMMYFUNCTION("""COMPUTED_VALUE"""),"Form G4 Outros - Orgânico")</f>
        <v>Form G4 Outros - Orgânico</v>
      </c>
      <c r="B3" s="18">
        <f>IFERROR(__xludf.DUMMYFUNCTION("""COMPUTED_VALUE"""),447.67741935483843)</f>
        <v>447.6774194</v>
      </c>
      <c r="C3" s="19">
        <f>IFERROR(__xludf.DUMMYFUNCTION("""COMPUTED_VALUE"""),449.0)</f>
        <v>449</v>
      </c>
      <c r="D3" s="20">
        <f>IFERROR(__xludf.DUMMYFUNCTION("""COMPUTED_VALUE"""),1.3225806451615654)</f>
        <v>1.322580645</v>
      </c>
      <c r="E3" s="21">
        <f>IFERROR(__xludf.DUMMYFUNCTION("""COMPUTED_VALUE"""),0.0029543161838887846)</f>
        <v>0.002954316184</v>
      </c>
      <c r="F3" s="22">
        <f>IFERROR(__xludf.DUMMYFUNCTION("""COMPUTED_VALUE"""),0.6293553918193087)</f>
        <v>0.6293553918</v>
      </c>
      <c r="G3" s="22">
        <f>IFERROR(__xludf.DUMMYFUNCTION("""COMPUTED_VALUE"""),0.6013363028953229)</f>
        <v>0.6013363029</v>
      </c>
      <c r="H3" s="23">
        <f>IFERROR(__xludf.DUMMYFUNCTION("""COMPUTED_VALUE"""),-2.8019088923985747)</f>
        <v>-2.801908892</v>
      </c>
      <c r="I3" s="18">
        <f>IFERROR(__xludf.DUMMYFUNCTION("""COMPUTED_VALUE"""),281.7481976667213)</f>
        <v>281.7481977</v>
      </c>
      <c r="J3" s="19">
        <f>IFERROR(__xludf.DUMMYFUNCTION("""COMPUTED_VALUE"""),270.0)</f>
        <v>270</v>
      </c>
      <c r="K3" s="20">
        <f>IFERROR(__xludf.DUMMYFUNCTION("""COMPUTED_VALUE"""),-11.748197666721296)</f>
        <v>-11.74819767</v>
      </c>
      <c r="L3" s="21">
        <f>IFERROR(__xludf.DUMMYFUNCTION("""COMPUTED_VALUE"""),-0.041697507788916496)</f>
        <v>-0.04169750779</v>
      </c>
      <c r="M3" s="24">
        <f>IFERROR(__xludf.DUMMYFUNCTION("""COMPUTED_VALUE"""),0.42)</f>
        <v>0.42</v>
      </c>
      <c r="N3" s="22">
        <f>IFERROR(__xludf.DUMMYFUNCTION("""COMPUTED_VALUE"""),0.4666666666666667)</f>
        <v>0.4666666667</v>
      </c>
      <c r="O3" s="25">
        <f>IFERROR(__xludf.DUMMYFUNCTION("""COMPUTED_VALUE"""),4.666666666666669)</f>
        <v>4.666666667</v>
      </c>
      <c r="P3" s="18">
        <f>IFERROR(__xludf.DUMMYFUNCTION("""COMPUTED_VALUE"""),108.6921935887619)</f>
        <v>108.6921936</v>
      </c>
      <c r="Q3" s="19">
        <f>IFERROR(__xludf.DUMMYFUNCTION("""COMPUTED_VALUE"""),126.0)</f>
        <v>126</v>
      </c>
      <c r="R3" s="20">
        <f>IFERROR(__xludf.DUMMYFUNCTION("""COMPUTED_VALUE"""),17.307806411238104)</f>
        <v>17.30780641</v>
      </c>
      <c r="S3" s="26">
        <f>IFERROR(__xludf.DUMMYFUNCTION("""COMPUTED_VALUE"""),0.15923688573921305)</f>
        <v>0.1592368857</v>
      </c>
      <c r="T3" s="22">
        <f>IFERROR(__xludf.DUMMYFUNCTION("""COMPUTED_VALUE"""),0.29)</f>
        <v>0.29</v>
      </c>
      <c r="U3" s="22">
        <f>IFERROR(__xludf.DUMMYFUNCTION("""COMPUTED_VALUE"""),0.15079365079365079)</f>
        <v>0.1507936508</v>
      </c>
      <c r="V3" s="23">
        <f>IFERROR(__xludf.DUMMYFUNCTION("""COMPUTED_VALUE"""),-13.92063492063492)</f>
        <v>-13.92063492</v>
      </c>
      <c r="W3" s="18">
        <f>IFERROR(__xludf.DUMMYFUNCTION("""COMPUTED_VALUE"""),31.520736140740947)</f>
        <v>31.52073614</v>
      </c>
      <c r="X3" s="19">
        <f>IFERROR(__xludf.DUMMYFUNCTION("""COMPUTED_VALUE"""),19.0)</f>
        <v>19</v>
      </c>
      <c r="Y3" s="20">
        <f>IFERROR(__xludf.DUMMYFUNCTION("""COMPUTED_VALUE"""),-12.520736140740947)</f>
        <v>-12.52073614</v>
      </c>
      <c r="Z3" s="27">
        <f>IFERROR(__xludf.DUMMYFUNCTION("""COMPUTED_VALUE"""),-0.39722219953352356)</f>
        <v>-0.3972221995</v>
      </c>
      <c r="AA3" s="18">
        <f>IFERROR(__xludf.DUMMYFUNCTION("""COMPUTED_VALUE"""),24000.0)</f>
        <v>24000</v>
      </c>
      <c r="AB3" s="19">
        <f>IFERROR(__xludf.DUMMYFUNCTION("""COMPUTED_VALUE"""),20126.842105263157)</f>
        <v>20126.84211</v>
      </c>
      <c r="AC3" s="20">
        <f>IFERROR(__xludf.DUMMYFUNCTION("""COMPUTED_VALUE"""),-3873.1578947368434)</f>
        <v>-3873.157895</v>
      </c>
      <c r="AD3" s="27">
        <f>IFERROR(__xludf.DUMMYFUNCTION("""COMPUTED_VALUE"""),-0.1613815789473685)</f>
        <v>-0.1613815789</v>
      </c>
      <c r="AE3" s="18">
        <f>IFERROR(__xludf.DUMMYFUNCTION("""COMPUTED_VALUE"""),734275.5483985601)</f>
        <v>734275.5484</v>
      </c>
      <c r="AF3" s="19">
        <f>IFERROR(__xludf.DUMMYFUNCTION("""COMPUTED_VALUE"""),382410.0)</f>
        <v>382410</v>
      </c>
      <c r="AG3" s="20">
        <f>IFERROR(__xludf.DUMMYFUNCTION("""COMPUTED_VALUE"""),-351865.54839856015)</f>
        <v>-351865.5484</v>
      </c>
      <c r="AH3" s="28">
        <f>IFERROR(__xludf.DUMMYFUNCTION("""COMPUTED_VALUE"""),-0.4792009609552867)</f>
        <v>-0.479200961</v>
      </c>
      <c r="AI3" s="29">
        <f>IFERROR(__xludf.DUMMYFUNCTION("""COMPUTED_VALUE"""),-34342.33141935969)</f>
        <v>-34342.33142</v>
      </c>
      <c r="AJ3" s="29">
        <f>IFERROR(__xludf.DUMMYFUNCTION("""COMPUTED_VALUE"""),-406853.9999999998)</f>
        <v>-406854</v>
      </c>
      <c r="AK3" s="4">
        <f>IFERROR(__xludf.DUMMYFUNCTION("""COMPUTED_VALUE"""),6959.999999999999)</f>
        <v>6960</v>
      </c>
      <c r="AL3" s="30">
        <f>IFERROR(__xludf.DUMMYFUNCTION("""COMPUTED_VALUE"""),3035.0)</f>
        <v>3035</v>
      </c>
      <c r="AM3" s="29">
        <f t="shared" si="1"/>
        <v>-3925</v>
      </c>
      <c r="AN3" s="31">
        <f t="shared" si="2"/>
        <v>-0.5639367816</v>
      </c>
      <c r="AO3" s="12">
        <f t="shared" si="3"/>
        <v>87696</v>
      </c>
      <c r="AP3" s="12">
        <f t="shared" si="4"/>
        <v>-494550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IFERROR(__xludf.DUMMYFUNCTION("""COMPUTED_VALUE"""),"[IM] Chat")</f>
        <v>[IM] Chat</v>
      </c>
      <c r="B4" s="18">
        <f>IFERROR(__xludf.DUMMYFUNCTION("""COMPUTED_VALUE"""),679.354838709677)</f>
        <v>679.3548387</v>
      </c>
      <c r="C4" s="19">
        <f>IFERROR(__xludf.DUMMYFUNCTION("""COMPUTED_VALUE"""),726.0)</f>
        <v>726</v>
      </c>
      <c r="D4" s="20">
        <f>IFERROR(__xludf.DUMMYFUNCTION("""COMPUTED_VALUE"""),46.64516129032302)</f>
        <v>46.64516129</v>
      </c>
      <c r="E4" s="21">
        <f>IFERROR(__xludf.DUMMYFUNCTION("""COMPUTED_VALUE"""),0.06866096866096935)</f>
        <v>0.06866096866</v>
      </c>
      <c r="F4" s="22">
        <f>IFERROR(__xludf.DUMMYFUNCTION("""COMPUTED_VALUE"""),0.8603277999463558)</f>
        <v>0.8603277999</v>
      </c>
      <c r="G4" s="22">
        <f>IFERROR(__xludf.DUMMYFUNCTION("""COMPUTED_VALUE"""),0.7699724517906336)</f>
        <v>0.7699724518</v>
      </c>
      <c r="H4" s="23">
        <f>IFERROR(__xludf.DUMMYFUNCTION("""COMPUTED_VALUE"""),-9.035534815572221)</f>
        <v>-9.035534816</v>
      </c>
      <c r="I4" s="18">
        <f>IFERROR(__xludf.DUMMYFUNCTION("""COMPUTED_VALUE"""),584.4678537700078)</f>
        <v>584.4678538</v>
      </c>
      <c r="J4" s="19">
        <f>IFERROR(__xludf.DUMMYFUNCTION("""COMPUTED_VALUE"""),559.0)</f>
        <v>559</v>
      </c>
      <c r="K4" s="20">
        <f>IFERROR(__xludf.DUMMYFUNCTION("""COMPUTED_VALUE"""),-25.467853770007764)</f>
        <v>-25.46785377</v>
      </c>
      <c r="L4" s="21">
        <f>IFERROR(__xludf.DUMMYFUNCTION("""COMPUTED_VALUE"""),-0.04357443032278306)</f>
        <v>-0.04357443032</v>
      </c>
      <c r="M4" s="24">
        <f>IFERROR(__xludf.DUMMYFUNCTION("""COMPUTED_VALUE"""),0.28)</f>
        <v>0.28</v>
      </c>
      <c r="N4" s="22">
        <f>IFERROR(__xludf.DUMMYFUNCTION("""COMPUTED_VALUE"""),0.2772808586762075)</f>
        <v>0.2772808587</v>
      </c>
      <c r="O4" s="25">
        <f>IFERROR(__xludf.DUMMYFUNCTION("""COMPUTED_VALUE"""),-0.2719141323792529)</f>
        <v>-0.2719141324</v>
      </c>
      <c r="P4" s="18">
        <f>IFERROR(__xludf.DUMMYFUNCTION("""COMPUTED_VALUE"""),150.31647320662734)</f>
        <v>150.3164732</v>
      </c>
      <c r="Q4" s="19">
        <f>IFERROR(__xludf.DUMMYFUNCTION("""COMPUTED_VALUE"""),155.0)</f>
        <v>155</v>
      </c>
      <c r="R4" s="20">
        <f>IFERROR(__xludf.DUMMYFUNCTION("""COMPUTED_VALUE"""),4.683526793372664)</f>
        <v>4.683526793</v>
      </c>
      <c r="S4" s="26">
        <f>IFERROR(__xludf.DUMMYFUNCTION("""COMPUTED_VALUE"""),0.031157774616855306)</f>
        <v>0.03115777462</v>
      </c>
      <c r="T4" s="22">
        <f>IFERROR(__xludf.DUMMYFUNCTION("""COMPUTED_VALUE"""),0.19)</f>
        <v>0.19</v>
      </c>
      <c r="U4" s="22">
        <f>IFERROR(__xludf.DUMMYFUNCTION("""COMPUTED_VALUE"""),0.10967741935483871)</f>
        <v>0.1096774194</v>
      </c>
      <c r="V4" s="23">
        <f>IFERROR(__xludf.DUMMYFUNCTION("""COMPUTED_VALUE"""),-8.032258064516128)</f>
        <v>-8.032258065</v>
      </c>
      <c r="W4" s="18">
        <f>IFERROR(__xludf.DUMMYFUNCTION("""COMPUTED_VALUE"""),28.560129909259196)</f>
        <v>28.56012991</v>
      </c>
      <c r="X4" s="19">
        <f>IFERROR(__xludf.DUMMYFUNCTION("""COMPUTED_VALUE"""),17.0)</f>
        <v>17</v>
      </c>
      <c r="Y4" s="20">
        <f>IFERROR(__xludf.DUMMYFUNCTION("""COMPUTED_VALUE"""),-11.560129909259196)</f>
        <v>-11.56012991</v>
      </c>
      <c r="Z4" s="27">
        <f>IFERROR(__xludf.DUMMYFUNCTION("""COMPUTED_VALUE"""),-0.40476461227549954)</f>
        <v>-0.4047646123</v>
      </c>
      <c r="AA4" s="18">
        <f>IFERROR(__xludf.DUMMYFUNCTION("""COMPUTED_VALUE"""),26000.0)</f>
        <v>26000</v>
      </c>
      <c r="AB4" s="19">
        <f>IFERROR(__xludf.DUMMYFUNCTION("""COMPUTED_VALUE"""),18529.199994255516)</f>
        <v>18529.19999</v>
      </c>
      <c r="AC4" s="20">
        <f>IFERROR(__xludf.DUMMYFUNCTION("""COMPUTED_VALUE"""),-7470.800005744484)</f>
        <v>-7470.800006</v>
      </c>
      <c r="AD4" s="27">
        <f>IFERROR(__xludf.DUMMYFUNCTION("""COMPUTED_VALUE"""),-0.28733846175940325)</f>
        <v>-0.2873384618</v>
      </c>
      <c r="AE4" s="18">
        <f>IFERROR(__xludf.DUMMYFUNCTION("""COMPUTED_VALUE"""),720750.5784225422)</f>
        <v>720750.5784</v>
      </c>
      <c r="AF4" s="19">
        <f>IFERROR(__xludf.DUMMYFUNCTION("""COMPUTED_VALUE"""),314996.39990234375)</f>
        <v>314996.3999</v>
      </c>
      <c r="AG4" s="20">
        <f>IFERROR(__xludf.DUMMYFUNCTION("""COMPUTED_VALUE"""),-405754.17852019845)</f>
        <v>-405754.1785</v>
      </c>
      <c r="AH4" s="28">
        <f>IFERROR(__xludf.DUMMYFUNCTION("""COMPUTED_VALUE"""),-0.5629606006119968)</f>
        <v>-0.5629606006</v>
      </c>
      <c r="AI4" s="29">
        <f>IFERROR(__xludf.DUMMYFUNCTION("""COMPUTED_VALUE"""),-35227.13533467475)</f>
        <v>-35227.13533</v>
      </c>
      <c r="AJ4" s="29">
        <f>IFERROR(__xludf.DUMMYFUNCTION("""COMPUTED_VALUE"""),-458212.4000976564)</f>
        <v>-458212.4001</v>
      </c>
      <c r="AK4" s="4">
        <f>IFERROR(__xludf.DUMMYFUNCTION("""COMPUTED_VALUE"""),4940.0)</f>
        <v>4940</v>
      </c>
      <c r="AL4" s="30">
        <f>IFERROR(__xludf.DUMMYFUNCTION("""COMPUTED_VALUE"""),2032.234838079637)</f>
        <v>2032.234838</v>
      </c>
      <c r="AM4" s="29">
        <f t="shared" si="1"/>
        <v>-2907.765162</v>
      </c>
      <c r="AN4" s="31">
        <f t="shared" si="2"/>
        <v>-0.5886164295</v>
      </c>
      <c r="AO4" s="12">
        <f t="shared" si="3"/>
        <v>-7508.8</v>
      </c>
      <c r="AP4" s="12">
        <f t="shared" si="4"/>
        <v>-450703.6001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IFERROR(__xludf.DUMMYFUNCTION("""COMPUTED_VALUE"""),"[IM] Form Facebook Ads")</f>
        <v>[IM] Form Facebook Ads</v>
      </c>
      <c r="B5" s="18">
        <f>IFERROR(__xludf.DUMMYFUNCTION("""COMPUTED_VALUE"""),402.3870967741933)</f>
        <v>402.3870968</v>
      </c>
      <c r="C5" s="19">
        <f>IFERROR(__xludf.DUMMYFUNCTION("""COMPUTED_VALUE"""),391.0)</f>
        <v>391</v>
      </c>
      <c r="D5" s="20">
        <f>IFERROR(__xludf.DUMMYFUNCTION("""COMPUTED_VALUE"""),-11.38709677419331)</f>
        <v>-11.38709677</v>
      </c>
      <c r="E5" s="21">
        <f>IFERROR(__xludf.DUMMYFUNCTION("""COMPUTED_VALUE"""),-0.02829886163219439)</f>
        <v>-0.02829886163</v>
      </c>
      <c r="F5" s="22">
        <f>IFERROR(__xludf.DUMMYFUNCTION("""COMPUTED_VALUE"""),0.8681746999803265)</f>
        <v>0.8681747</v>
      </c>
      <c r="G5" s="22">
        <f>IFERROR(__xludf.DUMMYFUNCTION("""COMPUTED_VALUE"""),0.6675191815856778)</f>
        <v>0.6675191816</v>
      </c>
      <c r="H5" s="23">
        <f>IFERROR(__xludf.DUMMYFUNCTION("""COMPUTED_VALUE"""),-20.065551839464867)</f>
        <v>-20.06555184</v>
      </c>
      <c r="I5" s="18">
        <f>IFERROR(__xludf.DUMMYFUNCTION("""COMPUTED_VALUE"""),349.3422970178899)</f>
        <v>349.342297</v>
      </c>
      <c r="J5" s="19">
        <f>IFERROR(__xludf.DUMMYFUNCTION("""COMPUTED_VALUE"""),261.0)</f>
        <v>261</v>
      </c>
      <c r="K5" s="20">
        <f>IFERROR(__xludf.DUMMYFUNCTION("""COMPUTED_VALUE"""),-88.3422970178899)</f>
        <v>-88.34229702</v>
      </c>
      <c r="L5" s="21">
        <f>IFERROR(__xludf.DUMMYFUNCTION("""COMPUTED_VALUE"""),-0.2528817660272208)</f>
        <v>-0.252881766</v>
      </c>
      <c r="M5" s="24">
        <f>IFERROR(__xludf.DUMMYFUNCTION("""COMPUTED_VALUE"""),0.32)</f>
        <v>0.32</v>
      </c>
      <c r="N5" s="22">
        <f>IFERROR(__xludf.DUMMYFUNCTION("""COMPUTED_VALUE"""),0.42528735632183906)</f>
        <v>0.4252873563</v>
      </c>
      <c r="O5" s="25">
        <f>IFERROR(__xludf.DUMMYFUNCTION("""COMPUTED_VALUE"""),10.528735632183906)</f>
        <v>10.52873563</v>
      </c>
      <c r="P5" s="18">
        <f>IFERROR(__xludf.DUMMYFUNCTION("""COMPUTED_VALUE"""),102.6807581160732)</f>
        <v>102.6807581</v>
      </c>
      <c r="Q5" s="19">
        <f>IFERROR(__xludf.DUMMYFUNCTION("""COMPUTED_VALUE"""),111.0)</f>
        <v>111</v>
      </c>
      <c r="R5" s="20">
        <f>IFERROR(__xludf.DUMMYFUNCTION("""COMPUTED_VALUE"""),8.319241883926793)</f>
        <v>8.319241884</v>
      </c>
      <c r="S5" s="26">
        <f>IFERROR(__xludf.DUMMYFUNCTION("""COMPUTED_VALUE"""),0.0810204563792029)</f>
        <v>0.08102045638</v>
      </c>
      <c r="T5" s="22">
        <f>IFERROR(__xludf.DUMMYFUNCTION("""COMPUTED_VALUE"""),0.175)</f>
        <v>0.175</v>
      </c>
      <c r="U5" s="22">
        <f>IFERROR(__xludf.DUMMYFUNCTION("""COMPUTED_VALUE"""),0.07207207207207207)</f>
        <v>0.07207207207</v>
      </c>
      <c r="V5" s="23">
        <f>IFERROR(__xludf.DUMMYFUNCTION("""COMPUTED_VALUE"""),-10.292792792792792)</f>
        <v>-10.29279279</v>
      </c>
      <c r="W5" s="18">
        <f>IFERROR(__xludf.DUMMYFUNCTION("""COMPUTED_VALUE"""),17.96913267031281)</f>
        <v>17.96913267</v>
      </c>
      <c r="X5" s="19">
        <f>IFERROR(__xludf.DUMMYFUNCTION("""COMPUTED_VALUE"""),8.0)</f>
        <v>8</v>
      </c>
      <c r="Y5" s="20">
        <f>IFERROR(__xludf.DUMMYFUNCTION("""COMPUTED_VALUE"""),-9.96913267031281)</f>
        <v>-9.96913267</v>
      </c>
      <c r="Z5" s="27">
        <f>IFERROR(__xludf.DUMMYFUNCTION("""COMPUTED_VALUE"""),-0.5547920900368791)</f>
        <v>-0.55479209</v>
      </c>
      <c r="AA5" s="18">
        <f>IFERROR(__xludf.DUMMYFUNCTION("""COMPUTED_VALUE"""),29000.0)</f>
        <v>29000</v>
      </c>
      <c r="AB5" s="19">
        <f>IFERROR(__xludf.DUMMYFUNCTION("""COMPUTED_VALUE"""),15330.125)</f>
        <v>15330.125</v>
      </c>
      <c r="AC5" s="20">
        <f>IFERROR(__xludf.DUMMYFUNCTION("""COMPUTED_VALUE"""),-13669.875)</f>
        <v>-13669.875</v>
      </c>
      <c r="AD5" s="27">
        <f>IFERROR(__xludf.DUMMYFUNCTION("""COMPUTED_VALUE"""),-0.471375)</f>
        <v>-0.471375</v>
      </c>
      <c r="AE5" s="18">
        <f>IFERROR(__xludf.DUMMYFUNCTION("""COMPUTED_VALUE"""),505797.3925455486)</f>
        <v>505797.3925</v>
      </c>
      <c r="AF5" s="19">
        <f>IFERROR(__xludf.DUMMYFUNCTION("""COMPUTED_VALUE"""),122641.0)</f>
        <v>122641</v>
      </c>
      <c r="AG5" s="20">
        <f>IFERROR(__xludf.DUMMYFUNCTION("""COMPUTED_VALUE"""),-383156.3925455486)</f>
        <v>-383156.3925</v>
      </c>
      <c r="AH5" s="28">
        <f>IFERROR(__xludf.DUMMYFUNCTION("""COMPUTED_VALUE"""),-0.7575293945609738)</f>
        <v>-0.7575293946</v>
      </c>
      <c r="AI5" s="29">
        <f>IFERROR(__xludf.DUMMYFUNCTION("""COMPUTED_VALUE"""),-143467.8903570532)</f>
        <v>-143467.8904</v>
      </c>
      <c r="AJ5" s="29">
        <f>IFERROR(__xludf.DUMMYFUNCTION("""COMPUTED_VALUE"""),-301223.0)</f>
        <v>-301223</v>
      </c>
      <c r="AK5" s="4">
        <f>IFERROR(__xludf.DUMMYFUNCTION("""COMPUTED_VALUE"""),5074.999999999999)</f>
        <v>5075</v>
      </c>
      <c r="AL5" s="30">
        <f>IFERROR(__xludf.DUMMYFUNCTION("""COMPUTED_VALUE"""),1104.873873873874)</f>
        <v>1104.873874</v>
      </c>
      <c r="AM5" s="29">
        <f t="shared" si="1"/>
        <v>-3970.126126</v>
      </c>
      <c r="AN5" s="31">
        <f t="shared" si="2"/>
        <v>-0.7822908623</v>
      </c>
      <c r="AO5" s="12">
        <f t="shared" si="3"/>
        <v>139461</v>
      </c>
      <c r="AP5" s="12">
        <f t="shared" si="4"/>
        <v>-440684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IFERROR(__xludf.DUMMYFUNCTION("""COMPUTED_VALUE"""),"Form G4 Instagram Outros")</f>
        <v>Form G4 Instagram Outros</v>
      </c>
      <c r="B6" s="18">
        <f>IFERROR(__xludf.DUMMYFUNCTION("""COMPUTED_VALUE"""),348.3870967741933)</f>
        <v>348.3870968</v>
      </c>
      <c r="C6" s="19">
        <f>IFERROR(__xludf.DUMMYFUNCTION("""COMPUTED_VALUE"""),368.0)</f>
        <v>368</v>
      </c>
      <c r="D6" s="20">
        <f>IFERROR(__xludf.DUMMYFUNCTION("""COMPUTED_VALUE"""),19.61290322580669)</f>
        <v>19.61290323</v>
      </c>
      <c r="E6" s="21">
        <f>IFERROR(__xludf.DUMMYFUNCTION("""COMPUTED_VALUE"""),0.05629629629629702)</f>
        <v>0.0562962963</v>
      </c>
      <c r="F6" s="22">
        <f>IFERROR(__xludf.DUMMYFUNCTION("""COMPUTED_VALUE"""),0.820698804996366)</f>
        <v>0.820698805</v>
      </c>
      <c r="G6" s="22">
        <f>IFERROR(__xludf.DUMMYFUNCTION("""COMPUTED_VALUE"""),0.8288043478260869)</f>
        <v>0.8288043478</v>
      </c>
      <c r="H6" s="23">
        <f>IFERROR(__xludf.DUMMYFUNCTION("""COMPUTED_VALUE"""),0.8105542829720869)</f>
        <v>0.810554283</v>
      </c>
      <c r="I6" s="18">
        <f>IFERROR(__xludf.DUMMYFUNCTION("""COMPUTED_VALUE"""),285.92087399873384)</f>
        <v>285.920874</v>
      </c>
      <c r="J6" s="19">
        <f>IFERROR(__xludf.DUMMYFUNCTION("""COMPUTED_VALUE"""),305.0)</f>
        <v>305</v>
      </c>
      <c r="K6" s="20">
        <f>IFERROR(__xludf.DUMMYFUNCTION("""COMPUTED_VALUE"""),19.07912600126616)</f>
        <v>19.079126</v>
      </c>
      <c r="L6" s="21">
        <f>IFERROR(__xludf.DUMMYFUNCTION("""COMPUTED_VALUE"""),0.06672869222325702)</f>
        <v>0.06672869222</v>
      </c>
      <c r="M6" s="24">
        <f>IFERROR(__xludf.DUMMYFUNCTION("""COMPUTED_VALUE"""),0.31)</f>
        <v>0.31</v>
      </c>
      <c r="N6" s="22">
        <f>IFERROR(__xludf.DUMMYFUNCTION("""COMPUTED_VALUE"""),0.3081967213114754)</f>
        <v>0.3081967213</v>
      </c>
      <c r="O6" s="25">
        <f>IFERROR(__xludf.DUMMYFUNCTION("""COMPUTED_VALUE"""),-0.180327868852459)</f>
        <v>-0.1803278689</v>
      </c>
      <c r="P6" s="18">
        <f>IFERROR(__xludf.DUMMYFUNCTION("""COMPUTED_VALUE"""),81.41332145563953)</f>
        <v>81.41332146</v>
      </c>
      <c r="Q6" s="19">
        <f>IFERROR(__xludf.DUMMYFUNCTION("""COMPUTED_VALUE"""),94.0)</f>
        <v>94</v>
      </c>
      <c r="R6" s="20">
        <f>IFERROR(__xludf.DUMMYFUNCTION("""COMPUTED_VALUE"""),12.586678544360467)</f>
        <v>12.58667854</v>
      </c>
      <c r="S6" s="26">
        <f>IFERROR(__xludf.DUMMYFUNCTION("""COMPUTED_VALUE"""),0.1546021992385938)</f>
        <v>0.1546021992</v>
      </c>
      <c r="T6" s="22">
        <f>IFERROR(__xludf.DUMMYFUNCTION("""COMPUTED_VALUE"""),0.24)</f>
        <v>0.24</v>
      </c>
      <c r="U6" s="22">
        <f>IFERROR(__xludf.DUMMYFUNCTION("""COMPUTED_VALUE"""),0.11702127659574468)</f>
        <v>0.1170212766</v>
      </c>
      <c r="V6" s="23">
        <f>IFERROR(__xludf.DUMMYFUNCTION("""COMPUTED_VALUE"""),-12.297872340425531)</f>
        <v>-12.29787234</v>
      </c>
      <c r="W6" s="18">
        <f>IFERROR(__xludf.DUMMYFUNCTION("""COMPUTED_VALUE"""),19.539197149353488)</f>
        <v>19.53919715</v>
      </c>
      <c r="X6" s="19">
        <f>IFERROR(__xludf.DUMMYFUNCTION("""COMPUTED_VALUE"""),11.0)</f>
        <v>11</v>
      </c>
      <c r="Y6" s="20">
        <f>IFERROR(__xludf.DUMMYFUNCTION("""COMPUTED_VALUE"""),-8.539197149353488)</f>
        <v>-8.539197149</v>
      </c>
      <c r="Z6" s="27">
        <f>IFERROR(__xludf.DUMMYFUNCTION("""COMPUTED_VALUE"""),-0.43702906952018916)</f>
        <v>-0.4370290695</v>
      </c>
      <c r="AA6" s="18">
        <f>IFERROR(__xludf.DUMMYFUNCTION("""COMPUTED_VALUE"""),25500.0)</f>
        <v>25500</v>
      </c>
      <c r="AB6" s="19">
        <f>IFERROR(__xludf.DUMMYFUNCTION("""COMPUTED_VALUE"""),35144.72727272727)</f>
        <v>35144.72727</v>
      </c>
      <c r="AC6" s="20">
        <f>IFERROR(__xludf.DUMMYFUNCTION("""COMPUTED_VALUE"""),9644.727272727272)</f>
        <v>9644.727273</v>
      </c>
      <c r="AD6" s="27">
        <f>IFERROR(__xludf.DUMMYFUNCTION("""COMPUTED_VALUE"""),0.37822459893048127)</f>
        <v>0.3782245989</v>
      </c>
      <c r="AE6" s="18">
        <f>IFERROR(__xludf.DUMMYFUNCTION("""COMPUTED_VALUE"""),483613.44744382624)</f>
        <v>483613.4474</v>
      </c>
      <c r="AF6" s="19">
        <f>IFERROR(__xludf.DUMMYFUNCTION("""COMPUTED_VALUE"""),386592.0)</f>
        <v>386592</v>
      </c>
      <c r="AG6" s="20">
        <f>IFERROR(__xludf.DUMMYFUNCTION("""COMPUTED_VALUE"""),-97021.44744382624)</f>
        <v>-97021.44744</v>
      </c>
      <c r="AH6" s="28">
        <f>IFERROR(__xludf.DUMMYFUNCTION("""COMPUTED_VALUE"""),-0.20061776188532413)</f>
        <v>-0.2006177619</v>
      </c>
      <c r="AI6" s="29">
        <f>IFERROR(__xludf.DUMMYFUNCTION("""COMPUTED_VALUE"""),36196.91784960216)</f>
        <v>36196.91785</v>
      </c>
      <c r="AJ6" s="29">
        <f>IFERROR(__xludf.DUMMYFUNCTION("""COMPUTED_VALUE"""),-192053.99999999997)</f>
        <v>-192054</v>
      </c>
      <c r="AK6" s="4">
        <f>IFERROR(__xludf.DUMMYFUNCTION("""COMPUTED_VALUE"""),6120.000000000001)</f>
        <v>6120</v>
      </c>
      <c r="AL6" s="30">
        <f>IFERROR(__xludf.DUMMYFUNCTION("""COMPUTED_VALUE"""),4112.68085106383)</f>
        <v>4112.680851</v>
      </c>
      <c r="AM6" s="29">
        <f t="shared" si="1"/>
        <v>-2007.319149</v>
      </c>
      <c r="AN6" s="31">
        <f t="shared" si="2"/>
        <v>-0.327993325</v>
      </c>
      <c r="AO6" s="12">
        <f t="shared" si="3"/>
        <v>-3366</v>
      </c>
      <c r="AP6" s="12">
        <f t="shared" si="4"/>
        <v>-188688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IFERROR(__xludf.DUMMYFUNCTION("""COMPUTED_VALUE"""),"[IM] Social DM")</f>
        <v>[IM] Social DM</v>
      </c>
      <c r="B7" s="18">
        <f>IFERROR(__xludf.DUMMYFUNCTION("""COMPUTED_VALUE"""),87.09677419354833)</f>
        <v>87.09677419</v>
      </c>
      <c r="C7" s="19">
        <f>IFERROR(__xludf.DUMMYFUNCTION("""COMPUTED_VALUE"""),103.0)</f>
        <v>103</v>
      </c>
      <c r="D7" s="20">
        <f>IFERROR(__xludf.DUMMYFUNCTION("""COMPUTED_VALUE"""),15.903225806451672)</f>
        <v>15.90322581</v>
      </c>
      <c r="E7" s="21">
        <f>IFERROR(__xludf.DUMMYFUNCTION("""COMPUTED_VALUE"""),0.1825925925925934)</f>
        <v>0.1825925926</v>
      </c>
      <c r="F7" s="22">
        <f>IFERROR(__xludf.DUMMYFUNCTION("""COMPUTED_VALUE"""),0.9940958605664488)</f>
        <v>0.9940958606</v>
      </c>
      <c r="G7" s="22">
        <f>IFERROR(__xludf.DUMMYFUNCTION("""COMPUTED_VALUE"""),0.9029126213592233)</f>
        <v>0.9029126214</v>
      </c>
      <c r="H7" s="23">
        <f>IFERROR(__xludf.DUMMYFUNCTION("""COMPUTED_VALUE"""),-9.118323920722549)</f>
        <v>-9.118323921</v>
      </c>
      <c r="I7" s="18">
        <f>IFERROR(__xludf.DUMMYFUNCTION("""COMPUTED_VALUE"""),86.5825426944971)</f>
        <v>86.58254269</v>
      </c>
      <c r="J7" s="19">
        <f>IFERROR(__xludf.DUMMYFUNCTION("""COMPUTED_VALUE"""),93.0)</f>
        <v>93</v>
      </c>
      <c r="K7" s="20">
        <f>IFERROR(__xludf.DUMMYFUNCTION("""COMPUTED_VALUE"""),6.417457305502893)</f>
        <v>6.417457306</v>
      </c>
      <c r="L7" s="21">
        <f>IFERROR(__xludf.DUMMYFUNCTION("""COMPUTED_VALUE"""),0.07411952924675155)</f>
        <v>0.07411952925</v>
      </c>
      <c r="M7" s="24">
        <f>IFERROR(__xludf.DUMMYFUNCTION("""COMPUTED_VALUE"""),0.47)</f>
        <v>0.47</v>
      </c>
      <c r="N7" s="22">
        <f>IFERROR(__xludf.DUMMYFUNCTION("""COMPUTED_VALUE"""),0.44086021505376344)</f>
        <v>0.4408602151</v>
      </c>
      <c r="O7" s="25">
        <f>IFERROR(__xludf.DUMMYFUNCTION("""COMPUTED_VALUE"""),-2.9139784946236533)</f>
        <v>-2.913978495</v>
      </c>
      <c r="P7" s="18">
        <f>IFERROR(__xludf.DUMMYFUNCTION("""COMPUTED_VALUE"""),37.37800435729849)</f>
        <v>37.37800436</v>
      </c>
      <c r="Q7" s="19">
        <f>IFERROR(__xludf.DUMMYFUNCTION("""COMPUTED_VALUE"""),41.0)</f>
        <v>41</v>
      </c>
      <c r="R7" s="20">
        <f>IFERROR(__xludf.DUMMYFUNCTION("""COMPUTED_VALUE"""),3.6219956427015134)</f>
        <v>3.621995643</v>
      </c>
      <c r="S7" s="26">
        <f>IFERROR(__xludf.DUMMYFUNCTION("""COMPUTED_VALUE"""),0.09690179304594888)</f>
        <v>0.09690179305</v>
      </c>
      <c r="T7" s="22">
        <f>IFERROR(__xludf.DUMMYFUNCTION("""COMPUTED_VALUE"""),0.34)</f>
        <v>0.34</v>
      </c>
      <c r="U7" s="22">
        <f>IFERROR(__xludf.DUMMYFUNCTION("""COMPUTED_VALUE"""),0.2682926829268293)</f>
        <v>0.2682926829</v>
      </c>
      <c r="V7" s="23">
        <f>IFERROR(__xludf.DUMMYFUNCTION("""COMPUTED_VALUE"""),-7.170731707317074)</f>
        <v>-7.170731707</v>
      </c>
      <c r="W7" s="18">
        <f>IFERROR(__xludf.DUMMYFUNCTION("""COMPUTED_VALUE"""),12.708521481481485)</f>
        <v>12.70852148</v>
      </c>
      <c r="X7" s="19">
        <f>IFERROR(__xludf.DUMMYFUNCTION("""COMPUTED_VALUE"""),11.0)</f>
        <v>11</v>
      </c>
      <c r="Y7" s="20">
        <f>IFERROR(__xludf.DUMMYFUNCTION("""COMPUTED_VALUE"""),-1.708521481481485)</f>
        <v>-1.708521481</v>
      </c>
      <c r="Z7" s="27">
        <f>IFERROR(__xludf.DUMMYFUNCTION("""COMPUTED_VALUE"""),-0.13443904422486097)</f>
        <v>-0.1344390442</v>
      </c>
      <c r="AA7" s="18">
        <f>IFERROR(__xludf.DUMMYFUNCTION("""COMPUTED_VALUE"""),32000.0)</f>
        <v>32000</v>
      </c>
      <c r="AB7" s="19">
        <f>IFERROR(__xludf.DUMMYFUNCTION("""COMPUTED_VALUE"""),12583.968184037642)</f>
        <v>12583.96818</v>
      </c>
      <c r="AC7" s="20">
        <f>IFERROR(__xludf.DUMMYFUNCTION("""COMPUTED_VALUE"""),-19416.031815962357)</f>
        <v>-19416.03182</v>
      </c>
      <c r="AD7" s="27">
        <f>IFERROR(__xludf.DUMMYFUNCTION("""COMPUTED_VALUE"""),-0.6067509942488236)</f>
        <v>-0.6067509942</v>
      </c>
      <c r="AE7" s="18">
        <f>IFERROR(__xludf.DUMMYFUNCTION("""COMPUTED_VALUE"""),394726.6772148148)</f>
        <v>394726.6772</v>
      </c>
      <c r="AF7" s="19">
        <f>IFERROR(__xludf.DUMMYFUNCTION("""COMPUTED_VALUE"""),138423.65002441406)</f>
        <v>138423.65</v>
      </c>
      <c r="AG7" s="20">
        <f>IFERROR(__xludf.DUMMYFUNCTION("""COMPUTED_VALUE"""),-256303.02719040075)</f>
        <v>-256303.0272</v>
      </c>
      <c r="AH7" s="28">
        <f>IFERROR(__xludf.DUMMYFUNCTION("""COMPUTED_VALUE"""),-0.6493177228325961)</f>
        <v>-0.6493177228</v>
      </c>
      <c r="AI7" s="29">
        <f>IFERROR(__xludf.DUMMYFUNCTION("""COMPUTED_VALUE"""),32816.309677419595)</f>
        <v>32816.30968</v>
      </c>
      <c r="AJ7" s="29">
        <f>IFERROR(__xludf.DUMMYFUNCTION("""COMPUTED_VALUE"""),-337141.149975586)</f>
        <v>-337141.15</v>
      </c>
      <c r="AK7" s="4">
        <f>IFERROR(__xludf.DUMMYFUNCTION("""COMPUTED_VALUE"""),10880.0)</f>
        <v>10880</v>
      </c>
      <c r="AL7" s="30">
        <f>IFERROR(__xludf.DUMMYFUNCTION("""COMPUTED_VALUE"""),3376.1865859613185)</f>
        <v>3376.186586</v>
      </c>
      <c r="AM7" s="29">
        <f t="shared" si="1"/>
        <v>-7503.813414</v>
      </c>
      <c r="AN7" s="31">
        <f t="shared" si="2"/>
        <v>-0.6896887329</v>
      </c>
      <c r="AO7" s="12">
        <f t="shared" si="3"/>
        <v>-29484.8</v>
      </c>
      <c r="AP7" s="12">
        <f t="shared" si="4"/>
        <v>-307656.35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IFERROR(__xludf.DUMMYFUNCTION("""COMPUTED_VALUE"""),"Form G4 Outros - Não Orgânico")</f>
        <v>Form G4 Outros - Não Orgânico</v>
      </c>
      <c r="B8" s="18">
        <f>IFERROR(__xludf.DUMMYFUNCTION("""COMPUTED_VALUE"""),141.9677419354838)</f>
        <v>141.9677419</v>
      </c>
      <c r="C8" s="19">
        <f>IFERROR(__xludf.DUMMYFUNCTION("""COMPUTED_VALUE"""),95.0)</f>
        <v>95</v>
      </c>
      <c r="D8" s="20">
        <f>IFERROR(__xludf.DUMMYFUNCTION("""COMPUTED_VALUE"""),-46.96774193548379)</f>
        <v>-46.96774194</v>
      </c>
      <c r="E8" s="21">
        <f>IFERROR(__xludf.DUMMYFUNCTION("""COMPUTED_VALUE"""),-0.33083390138604823)</f>
        <v>-0.3308339014</v>
      </c>
      <c r="F8" s="22">
        <f>IFERROR(__xludf.DUMMYFUNCTION("""COMPUTED_VALUE"""),0.8547633194692018)</f>
        <v>0.8547633195</v>
      </c>
      <c r="G8" s="22">
        <f>IFERROR(__xludf.DUMMYFUNCTION("""COMPUTED_VALUE"""),0.7894736842105263)</f>
        <v>0.7894736842</v>
      </c>
      <c r="H8" s="23">
        <f>IFERROR(__xludf.DUMMYFUNCTION("""COMPUTED_VALUE"""),-6.528963525867548)</f>
        <v>-6.528963526</v>
      </c>
      <c r="I8" s="18">
        <f>IFERROR(__xludf.DUMMYFUNCTION("""COMPUTED_VALUE"""),121.34881835432112)</f>
        <v>121.3488184</v>
      </c>
      <c r="J8" s="19">
        <f>IFERROR(__xludf.DUMMYFUNCTION("""COMPUTED_VALUE"""),75.0)</f>
        <v>75</v>
      </c>
      <c r="K8" s="20">
        <f>IFERROR(__xludf.DUMMYFUNCTION("""COMPUTED_VALUE"""),-46.348818354321125)</f>
        <v>-46.34881835</v>
      </c>
      <c r="L8" s="21">
        <f>IFERROR(__xludf.DUMMYFUNCTION("""COMPUTED_VALUE"""),-0.38194701013889754)</f>
        <v>-0.3819470101</v>
      </c>
      <c r="M8" s="24">
        <f>IFERROR(__xludf.DUMMYFUNCTION("""COMPUTED_VALUE"""),0.33)</f>
        <v>0.33</v>
      </c>
      <c r="N8" s="22">
        <f>IFERROR(__xludf.DUMMYFUNCTION("""COMPUTED_VALUE"""),0.29333333333333333)</f>
        <v>0.2933333333</v>
      </c>
      <c r="O8" s="25">
        <f>IFERROR(__xludf.DUMMYFUNCTION("""COMPUTED_VALUE"""),-3.666666666666668)</f>
        <v>-3.666666667</v>
      </c>
      <c r="P8" s="18">
        <f>IFERROR(__xludf.DUMMYFUNCTION("""COMPUTED_VALUE"""),36.782175163398705)</f>
        <v>36.78217516</v>
      </c>
      <c r="Q8" s="19">
        <f>IFERROR(__xludf.DUMMYFUNCTION("""COMPUTED_VALUE"""),22.0)</f>
        <v>22</v>
      </c>
      <c r="R8" s="20">
        <f>IFERROR(__xludf.DUMMYFUNCTION("""COMPUTED_VALUE"""),-14.782175163398705)</f>
        <v>-14.78217516</v>
      </c>
      <c r="S8" s="26">
        <f>IFERROR(__xludf.DUMMYFUNCTION("""COMPUTED_VALUE"""),-0.40188420336022396)</f>
        <v>-0.4018842034</v>
      </c>
      <c r="T8" s="22">
        <f>IFERROR(__xludf.DUMMYFUNCTION("""COMPUTED_VALUE"""),0.25)</f>
        <v>0.25</v>
      </c>
      <c r="U8" s="22">
        <f>IFERROR(__xludf.DUMMYFUNCTION("""COMPUTED_VALUE"""),0.0)</f>
        <v>0</v>
      </c>
      <c r="V8" s="23">
        <f>IFERROR(__xludf.DUMMYFUNCTION("""COMPUTED_VALUE"""),-25.0)</f>
        <v>-25</v>
      </c>
      <c r="W8" s="18">
        <f>IFERROR(__xludf.DUMMYFUNCTION("""COMPUTED_VALUE"""),9.195543790849676)</f>
        <v>9.195543791</v>
      </c>
      <c r="X8" s="19">
        <f>IFERROR(__xludf.DUMMYFUNCTION("""COMPUTED_VALUE"""),0.0)</f>
        <v>0</v>
      </c>
      <c r="Y8" s="20">
        <f>IFERROR(__xludf.DUMMYFUNCTION("""COMPUTED_VALUE"""),-9.195543790849676)</f>
        <v>-9.195543791</v>
      </c>
      <c r="Z8" s="27">
        <f>IFERROR(__xludf.DUMMYFUNCTION("""COMPUTED_VALUE"""),-1.0)</f>
        <v>-1</v>
      </c>
      <c r="AA8" s="18">
        <f>IFERROR(__xludf.DUMMYFUNCTION("""COMPUTED_VALUE"""),26000.0)</f>
        <v>26000</v>
      </c>
      <c r="AB8" s="19">
        <f>IFERROR(__xludf.DUMMYFUNCTION("""COMPUTED_VALUE"""),0.0)</f>
        <v>0</v>
      </c>
      <c r="AC8" s="20">
        <f>IFERROR(__xludf.DUMMYFUNCTION("""COMPUTED_VALUE"""),-26000.0)</f>
        <v>-26000</v>
      </c>
      <c r="AD8" s="27">
        <f>IFERROR(__xludf.DUMMYFUNCTION("""COMPUTED_VALUE"""),-1.0)</f>
        <v>-1</v>
      </c>
      <c r="AE8" s="18">
        <f>IFERROR(__xludf.DUMMYFUNCTION("""COMPUTED_VALUE"""),232061.04199183008)</f>
        <v>232061.042</v>
      </c>
      <c r="AF8" s="19">
        <f>IFERROR(__xludf.DUMMYFUNCTION("""COMPUTED_VALUE"""),0.0)</f>
        <v>0</v>
      </c>
      <c r="AG8" s="20">
        <f>IFERROR(__xludf.DUMMYFUNCTION("""COMPUTED_VALUE"""),-232061.04199183008)</f>
        <v>-232061.042</v>
      </c>
      <c r="AH8" s="28">
        <f>IFERROR(__xludf.DUMMYFUNCTION("""COMPUTED_VALUE"""),-1.0)</f>
        <v>-1</v>
      </c>
      <c r="AI8" s="29">
        <f>IFERROR(__xludf.DUMMYFUNCTION("""COMPUTED_VALUE"""),-99418.2153700188)</f>
        <v>-99418.21537</v>
      </c>
      <c r="AJ8" s="29">
        <f>IFERROR(__xludf.DUMMYFUNCTION("""COMPUTED_VALUE"""),-160875.0)</f>
        <v>-160875</v>
      </c>
      <c r="AK8" s="4">
        <f>IFERROR(__xludf.DUMMYFUNCTION("""COMPUTED_VALUE"""),6500.0)</f>
        <v>6500</v>
      </c>
      <c r="AL8" s="30">
        <f>IFERROR(__xludf.DUMMYFUNCTION("""COMPUTED_VALUE"""),0.0)</f>
        <v>0</v>
      </c>
      <c r="AM8" s="29">
        <f t="shared" si="1"/>
        <v>-6500</v>
      </c>
      <c r="AN8" s="31">
        <f t="shared" si="2"/>
        <v>-1</v>
      </c>
      <c r="AO8" s="12">
        <f t="shared" si="3"/>
        <v>-17875</v>
      </c>
      <c r="AP8" s="12">
        <f t="shared" si="4"/>
        <v>-143000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IFERROR(__xludf.DUMMYFUNCTION("""COMPUTED_VALUE"""),"Form G4 Google")</f>
        <v>Form G4 Google</v>
      </c>
      <c r="B9" s="18">
        <f>IFERROR(__xludf.DUMMYFUNCTION("""COMPUTED_VALUE"""),126.29032258064508)</f>
        <v>126.2903226</v>
      </c>
      <c r="C9" s="19">
        <f>IFERROR(__xludf.DUMMYFUNCTION("""COMPUTED_VALUE"""),253.0)</f>
        <v>253</v>
      </c>
      <c r="D9" s="20">
        <f>IFERROR(__xludf.DUMMYFUNCTION("""COMPUTED_VALUE"""),126.70967741935492)</f>
        <v>126.7096774</v>
      </c>
      <c r="E9" s="21">
        <f>IFERROR(__xludf.DUMMYFUNCTION("""COMPUTED_VALUE"""),1.0033205619412529)</f>
        <v>1.003320562</v>
      </c>
      <c r="F9" s="22">
        <f>IFERROR(__xludf.DUMMYFUNCTION("""COMPUTED_VALUE"""),0.5893855762154737)</f>
        <v>0.5893855762</v>
      </c>
      <c r="G9" s="22">
        <f>IFERROR(__xludf.DUMMYFUNCTION("""COMPUTED_VALUE"""),0.758893280632411)</f>
        <v>0.7588932806</v>
      </c>
      <c r="H9" s="23">
        <f>IFERROR(__xludf.DUMMYFUNCTION("""COMPUTED_VALUE"""),16.95077044169373)</f>
        <v>16.95077044</v>
      </c>
      <c r="I9" s="18">
        <f>IFERROR(__xludf.DUMMYFUNCTION("""COMPUTED_VALUE"""),74.43369454463155)</f>
        <v>74.43369454</v>
      </c>
      <c r="J9" s="19">
        <f>IFERROR(__xludf.DUMMYFUNCTION("""COMPUTED_VALUE"""),192.0)</f>
        <v>192</v>
      </c>
      <c r="K9" s="20">
        <f>IFERROR(__xludf.DUMMYFUNCTION("""COMPUTED_VALUE"""),117.56630545536845)</f>
        <v>117.5663055</v>
      </c>
      <c r="L9" s="21">
        <f>IFERROR(__xludf.DUMMYFUNCTION("""COMPUTED_VALUE"""),1.5794769583131998)</f>
        <v>1.579476958</v>
      </c>
      <c r="M9" s="24">
        <f>IFERROR(__xludf.DUMMYFUNCTION("""COMPUTED_VALUE"""),0.37)</f>
        <v>0.37</v>
      </c>
      <c r="N9" s="22">
        <f>IFERROR(__xludf.DUMMYFUNCTION("""COMPUTED_VALUE"""),0.4166666666666667)</f>
        <v>0.4166666667</v>
      </c>
      <c r="O9" s="25">
        <f>IFERROR(__xludf.DUMMYFUNCTION("""COMPUTED_VALUE"""),4.666666666666669)</f>
        <v>4.666666667</v>
      </c>
      <c r="P9" s="18">
        <f>IFERROR(__xludf.DUMMYFUNCTION("""COMPUTED_VALUE"""),25.296428931168137)</f>
        <v>25.29642893</v>
      </c>
      <c r="Q9" s="19">
        <f>IFERROR(__xludf.DUMMYFUNCTION("""COMPUTED_VALUE"""),80.0)</f>
        <v>80</v>
      </c>
      <c r="R9" s="20">
        <f>IFERROR(__xludf.DUMMYFUNCTION("""COMPUTED_VALUE"""),54.70357106883186)</f>
        <v>54.70357107</v>
      </c>
      <c r="S9" s="26">
        <f>IFERROR(__xludf.DUMMYFUNCTION("""COMPUTED_VALUE"""),2.1625017198151126)</f>
        <v>2.16250172</v>
      </c>
      <c r="T9" s="22">
        <f>IFERROR(__xludf.DUMMYFUNCTION("""COMPUTED_VALUE"""),0.23)</f>
        <v>0.23</v>
      </c>
      <c r="U9" s="22">
        <f>IFERROR(__xludf.DUMMYFUNCTION("""COMPUTED_VALUE"""),0.2375)</f>
        <v>0.2375</v>
      </c>
      <c r="V9" s="23">
        <f>IFERROR(__xludf.DUMMYFUNCTION("""COMPUTED_VALUE"""),0.7499999999999979)</f>
        <v>0.75</v>
      </c>
      <c r="W9" s="18">
        <f>IFERROR(__xludf.DUMMYFUNCTION("""COMPUTED_VALUE"""),5.818178654168672)</f>
        <v>5.818178654</v>
      </c>
      <c r="X9" s="19">
        <f>IFERROR(__xludf.DUMMYFUNCTION("""COMPUTED_VALUE"""),19.0)</f>
        <v>19</v>
      </c>
      <c r="Y9" s="20">
        <f>IFERROR(__xludf.DUMMYFUNCTION("""COMPUTED_VALUE"""),13.181821345831327)</f>
        <v>13.18182135</v>
      </c>
      <c r="Z9" s="27">
        <f>IFERROR(__xludf.DUMMYFUNCTION("""COMPUTED_VALUE"""),2.2656267758960396)</f>
        <v>2.265626776</v>
      </c>
      <c r="AA9" s="18">
        <f>IFERROR(__xludf.DUMMYFUNCTION("""COMPUTED_VALUE"""),24000.0)</f>
        <v>24000</v>
      </c>
      <c r="AB9" s="19">
        <f>IFERROR(__xludf.DUMMYFUNCTION("""COMPUTED_VALUE"""),38522.89473684211)</f>
        <v>38522.89474</v>
      </c>
      <c r="AC9" s="20">
        <f>IFERROR(__xludf.DUMMYFUNCTION("""COMPUTED_VALUE"""),14522.894736842107)</f>
        <v>14522.89474</v>
      </c>
      <c r="AD9" s="27">
        <f>IFERROR(__xludf.DUMMYFUNCTION("""COMPUTED_VALUE"""),0.6051206140350878)</f>
        <v>0.605120614</v>
      </c>
      <c r="AE9" s="18">
        <f>IFERROR(__xludf.DUMMYFUNCTION("""COMPUTED_VALUE"""),135534.47174885919)</f>
        <v>135534.4717</v>
      </c>
      <c r="AF9" s="19">
        <f>IFERROR(__xludf.DUMMYFUNCTION("""COMPUTED_VALUE"""),731935.0)</f>
        <v>731935</v>
      </c>
      <c r="AG9" s="20">
        <f>IFERROR(__xludf.DUMMYFUNCTION("""COMPUTED_VALUE"""),596400.5282511408)</f>
        <v>596400.5283</v>
      </c>
      <c r="AH9" s="28">
        <f>IFERROR(__xludf.DUMMYFUNCTION("""COMPUTED_VALUE"""),4.400360443771463)</f>
        <v>4.400360444</v>
      </c>
      <c r="AI9" s="29">
        <f>IFERROR(__xludf.DUMMYFUNCTION("""COMPUTED_VALUE"""),240117.4222620445)</f>
        <v>240117.4223</v>
      </c>
      <c r="AJ9" s="29">
        <f>IFERROR(__xludf.DUMMYFUNCTION("""COMPUTED_VALUE"""),339794.20000000007)</f>
        <v>339794.2</v>
      </c>
      <c r="AK9" s="4">
        <f>IFERROR(__xludf.DUMMYFUNCTION("""COMPUTED_VALUE"""),5520.0)</f>
        <v>5520</v>
      </c>
      <c r="AL9" s="30">
        <f>IFERROR(__xludf.DUMMYFUNCTION("""COMPUTED_VALUE"""),9149.1875)</f>
        <v>9149.1875</v>
      </c>
      <c r="AM9" s="29">
        <f t="shared" si="1"/>
        <v>3629.1875</v>
      </c>
      <c r="AN9" s="31">
        <f t="shared" si="2"/>
        <v>0.6574615036</v>
      </c>
      <c r="AO9" s="12">
        <f t="shared" si="3"/>
        <v>49459.2</v>
      </c>
      <c r="AP9" s="12">
        <f t="shared" si="4"/>
        <v>290335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IFERROR(__xludf.DUMMYFUNCTION("""COMPUTED_VALUE"""),"[IM] Link de Indicação")</f>
        <v>[IM] Link de Indicação</v>
      </c>
      <c r="B10" s="18">
        <f>IFERROR(__xludf.DUMMYFUNCTION("""COMPUTED_VALUE"""),98.41935483870961)</f>
        <v>98.41935484</v>
      </c>
      <c r="C10" s="19">
        <f>IFERROR(__xludf.DUMMYFUNCTION("""COMPUTED_VALUE"""),98.0)</f>
        <v>98</v>
      </c>
      <c r="D10" s="20">
        <f>IFERROR(__xludf.DUMMYFUNCTION("""COMPUTED_VALUE"""),-0.41935483870960866)</f>
        <v>-0.4193548387</v>
      </c>
      <c r="E10" s="21">
        <f>IFERROR(__xludf.DUMMYFUNCTION("""COMPUTED_VALUE"""),-0.004260898066207105)</f>
        <v>-0.004260898066</v>
      </c>
      <c r="F10" s="22">
        <f>IFERROR(__xludf.DUMMYFUNCTION("""COMPUTED_VALUE"""),0.7720883770996892)</f>
        <v>0.7720883771</v>
      </c>
      <c r="G10" s="22">
        <f>IFERROR(__xludf.DUMMYFUNCTION("""COMPUTED_VALUE"""),0.8775510204081632)</f>
        <v>0.8775510204</v>
      </c>
      <c r="H10" s="23">
        <f>IFERROR(__xludf.DUMMYFUNCTION("""COMPUTED_VALUE"""),10.5462643308474)</f>
        <v>10.54626433</v>
      </c>
      <c r="I10" s="18">
        <f>IFERROR(__xludf.DUMMYFUNCTION("""COMPUTED_VALUE"""),75.98843995261775)</f>
        <v>75.98843995</v>
      </c>
      <c r="J10" s="19">
        <f>IFERROR(__xludf.DUMMYFUNCTION("""COMPUTED_VALUE"""),86.0)</f>
        <v>86</v>
      </c>
      <c r="K10" s="20">
        <f>IFERROR(__xludf.DUMMYFUNCTION("""COMPUTED_VALUE"""),10.011560047382247)</f>
        <v>10.01156005</v>
      </c>
      <c r="L10" s="21">
        <f>IFERROR(__xludf.DUMMYFUNCTION("""COMPUTED_VALUE"""),0.13175109337189853)</f>
        <v>0.1317510934</v>
      </c>
      <c r="M10" s="24">
        <f>IFERROR(__xludf.DUMMYFUNCTION("""COMPUTED_VALUE"""),0.285)</f>
        <v>0.285</v>
      </c>
      <c r="N10" s="22">
        <f>IFERROR(__xludf.DUMMYFUNCTION("""COMPUTED_VALUE"""),0.1511627906976744)</f>
        <v>0.1511627907</v>
      </c>
      <c r="O10" s="25">
        <f>IFERROR(__xludf.DUMMYFUNCTION("""COMPUTED_VALUE"""),-13.383720930232556)</f>
        <v>-13.38372093</v>
      </c>
      <c r="P10" s="18">
        <f>IFERROR(__xludf.DUMMYFUNCTION("""COMPUTED_VALUE"""),19.8920849475964)</f>
        <v>19.89208495</v>
      </c>
      <c r="Q10" s="19">
        <f>IFERROR(__xludf.DUMMYFUNCTION("""COMPUTED_VALUE"""),13.0)</f>
        <v>13</v>
      </c>
      <c r="R10" s="20">
        <f>IFERROR(__xludf.DUMMYFUNCTION("""COMPUTED_VALUE"""),-6.892084947596398)</f>
        <v>-6.892084948</v>
      </c>
      <c r="S10" s="26">
        <f>IFERROR(__xludf.DUMMYFUNCTION("""COMPUTED_VALUE"""),-0.34647373393753694)</f>
        <v>-0.3464737339</v>
      </c>
      <c r="T10" s="22">
        <f>IFERROR(__xludf.DUMMYFUNCTION("""COMPUTED_VALUE"""),0.23)</f>
        <v>0.23</v>
      </c>
      <c r="U10" s="22">
        <f>IFERROR(__xludf.DUMMYFUNCTION("""COMPUTED_VALUE"""),0.3076923076923077)</f>
        <v>0.3076923077</v>
      </c>
      <c r="V10" s="23">
        <f>IFERROR(__xludf.DUMMYFUNCTION("""COMPUTED_VALUE"""),7.76923076923077)</f>
        <v>7.769230769</v>
      </c>
      <c r="W10" s="18">
        <f>IFERROR(__xludf.DUMMYFUNCTION("""COMPUTED_VALUE"""),4.575179537947172)</f>
        <v>4.575179538</v>
      </c>
      <c r="X10" s="19">
        <f>IFERROR(__xludf.DUMMYFUNCTION("""COMPUTED_VALUE"""),4.0)</f>
        <v>4</v>
      </c>
      <c r="Y10" s="20">
        <f>IFERROR(__xludf.DUMMYFUNCTION("""COMPUTED_VALUE"""),-0.5751795379471716)</f>
        <v>-0.5751795379</v>
      </c>
      <c r="Z10" s="27">
        <f>IFERROR(__xludf.DUMMYFUNCTION("""COMPUTED_VALUE"""),-0.12571736981610296)</f>
        <v>-0.1257173698</v>
      </c>
      <c r="AA10" s="18">
        <f>IFERROR(__xludf.DUMMYFUNCTION("""COMPUTED_VALUE"""),24000.0)</f>
        <v>24000</v>
      </c>
      <c r="AB10" s="19">
        <f>IFERROR(__xludf.DUMMYFUNCTION("""COMPUTED_VALUE"""),21373.75)</f>
        <v>21373.75</v>
      </c>
      <c r="AC10" s="20">
        <f>IFERROR(__xludf.DUMMYFUNCTION("""COMPUTED_VALUE"""),-2626.25)</f>
        <v>-2626.25</v>
      </c>
      <c r="AD10" s="27">
        <f>IFERROR(__xludf.DUMMYFUNCTION("""COMPUTED_VALUE"""),-0.10942708333333333)</f>
        <v>-0.1094270833</v>
      </c>
      <c r="AE10" s="18">
        <f>IFERROR(__xludf.DUMMYFUNCTION("""COMPUTED_VALUE"""),106578.80733647935)</f>
        <v>106578.8073</v>
      </c>
      <c r="AF10" s="19">
        <f>IFERROR(__xludf.DUMMYFUNCTION("""COMPUTED_VALUE"""),85495.0)</f>
        <v>85495</v>
      </c>
      <c r="AG10" s="20">
        <f>IFERROR(__xludf.DUMMYFUNCTION("""COMPUTED_VALUE"""),-21083.807336479353)</f>
        <v>-21083.80734</v>
      </c>
      <c r="AH10" s="28">
        <f>IFERROR(__xludf.DUMMYFUNCTION("""COMPUTED_VALUE"""),-0.19782363739458805)</f>
        <v>-0.1978236374</v>
      </c>
      <c r="AI10" s="29">
        <f>IFERROR(__xludf.DUMMYFUNCTION("""COMPUTED_VALUE"""),15750.186266541754)</f>
        <v>15750.18627</v>
      </c>
      <c r="AJ10" s="29">
        <f>IFERROR(__xludf.DUMMYFUNCTION("""COMPUTED_VALUE"""),-49800.200000000026)</f>
        <v>-49800.2</v>
      </c>
      <c r="AK10" s="4">
        <f>IFERROR(__xludf.DUMMYFUNCTION("""COMPUTED_VALUE"""),5520.000000000001)</f>
        <v>5520</v>
      </c>
      <c r="AL10" s="30">
        <f>IFERROR(__xludf.DUMMYFUNCTION("""COMPUTED_VALUE"""),6576.538461538462)</f>
        <v>6576.538462</v>
      </c>
      <c r="AM10" s="29">
        <f t="shared" si="1"/>
        <v>1056.538462</v>
      </c>
      <c r="AN10" s="31">
        <f t="shared" si="2"/>
        <v>0.1914018952</v>
      </c>
      <c r="AO10" s="12">
        <f t="shared" si="3"/>
        <v>-63535.2</v>
      </c>
      <c r="AP10" s="12">
        <f t="shared" si="4"/>
        <v>13735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IFERROR(__xludf.DUMMYFUNCTION("""COMPUTED_VALUE"""),"[CM] Form G4 - Instagram")</f>
        <v>[CM] Form G4 - Instagram</v>
      </c>
      <c r="B11" s="18">
        <f>IFERROR(__xludf.DUMMYFUNCTION("""COMPUTED_VALUE"""),69.50322580645157)</f>
        <v>69.50322581</v>
      </c>
      <c r="C11" s="19">
        <f>IFERROR(__xludf.DUMMYFUNCTION("""COMPUTED_VALUE"""),74.0)</f>
        <v>74</v>
      </c>
      <c r="D11" s="20">
        <f>IFERROR(__xludf.DUMMYFUNCTION("""COMPUTED_VALUE"""),4.496774193548433)</f>
        <v>4.496774194</v>
      </c>
      <c r="E11" s="21">
        <f>IFERROR(__xludf.DUMMYFUNCTION("""COMPUTED_VALUE"""),0.06469878399703032)</f>
        <v>0.064698784</v>
      </c>
      <c r="F11" s="22">
        <f>IFERROR(__xludf.DUMMYFUNCTION("""COMPUTED_VALUE"""),0.7)</f>
        <v>0.7</v>
      </c>
      <c r="G11" s="22">
        <f>IFERROR(__xludf.DUMMYFUNCTION("""COMPUTED_VALUE"""),0.6486486486486487)</f>
        <v>0.6486486486</v>
      </c>
      <c r="H11" s="23">
        <f>IFERROR(__xludf.DUMMYFUNCTION("""COMPUTED_VALUE"""),-5.135135135135127)</f>
        <v>-5.135135135</v>
      </c>
      <c r="I11" s="18">
        <f>IFERROR(__xludf.DUMMYFUNCTION("""COMPUTED_VALUE"""),48.65225806451609)</f>
        <v>48.65225806</v>
      </c>
      <c r="J11" s="19">
        <f>IFERROR(__xludf.DUMMYFUNCTION("""COMPUTED_VALUE"""),48.0)</f>
        <v>48</v>
      </c>
      <c r="K11" s="20">
        <f>IFERROR(__xludf.DUMMYFUNCTION("""COMPUTED_VALUE"""),-0.65225806451609)</f>
        <v>-0.6522580645</v>
      </c>
      <c r="L11" s="21">
        <f>IFERROR(__xludf.DUMMYFUNCTION("""COMPUTED_VALUE"""),-0.013406532203523894)</f>
        <v>-0.0134065322</v>
      </c>
      <c r="M11" s="24">
        <f>IFERROR(__xludf.DUMMYFUNCTION("""COMPUTED_VALUE"""),0.28)</f>
        <v>0.28</v>
      </c>
      <c r="N11" s="22">
        <f>IFERROR(__xludf.DUMMYFUNCTION("""COMPUTED_VALUE"""),0.1875)</f>
        <v>0.1875</v>
      </c>
      <c r="O11" s="25">
        <f>IFERROR(__xludf.DUMMYFUNCTION("""COMPUTED_VALUE"""),-9.250000000000004)</f>
        <v>-9.25</v>
      </c>
      <c r="P11" s="18">
        <f>IFERROR(__xludf.DUMMYFUNCTION("""COMPUTED_VALUE"""),12.512640000000001)</f>
        <v>12.51264</v>
      </c>
      <c r="Q11" s="19">
        <f>IFERROR(__xludf.DUMMYFUNCTION("""COMPUTED_VALUE"""),9.0)</f>
        <v>9</v>
      </c>
      <c r="R11" s="20">
        <f>IFERROR(__xludf.DUMMYFUNCTION("""COMPUTED_VALUE"""),-3.512640000000001)</f>
        <v>-3.51264</v>
      </c>
      <c r="S11" s="26">
        <f>IFERROR(__xludf.DUMMYFUNCTION("""COMPUTED_VALUE"""),-0.28072732852539517)</f>
        <v>-0.2807273285</v>
      </c>
      <c r="T11" s="22">
        <f>IFERROR(__xludf.DUMMYFUNCTION("""COMPUTED_VALUE"""),0.21)</f>
        <v>0.21</v>
      </c>
      <c r="U11" s="22">
        <f>IFERROR(__xludf.DUMMYFUNCTION("""COMPUTED_VALUE"""),0.0)</f>
        <v>0</v>
      </c>
      <c r="V11" s="23">
        <f>IFERROR(__xludf.DUMMYFUNCTION("""COMPUTED_VALUE"""),-21.0)</f>
        <v>-21</v>
      </c>
      <c r="W11" s="18">
        <f>IFERROR(__xludf.DUMMYFUNCTION("""COMPUTED_VALUE"""),2.6276544000000004)</f>
        <v>2.6276544</v>
      </c>
      <c r="X11" s="19">
        <f>IFERROR(__xludf.DUMMYFUNCTION("""COMPUTED_VALUE"""),0.0)</f>
        <v>0</v>
      </c>
      <c r="Y11" s="20">
        <f>IFERROR(__xludf.DUMMYFUNCTION("""COMPUTED_VALUE"""),-2.6276544000000004)</f>
        <v>-2.6276544</v>
      </c>
      <c r="Z11" s="27">
        <f>IFERROR(__xludf.DUMMYFUNCTION("""COMPUTED_VALUE"""),-1.0)</f>
        <v>-1</v>
      </c>
      <c r="AA11" s="18">
        <f>IFERROR(__xludf.DUMMYFUNCTION("""COMPUTED_VALUE"""),40000.0)</f>
        <v>40000</v>
      </c>
      <c r="AB11" s="19">
        <f>IFERROR(__xludf.DUMMYFUNCTION("""COMPUTED_VALUE"""),0.0)</f>
        <v>0</v>
      </c>
      <c r="AC11" s="20">
        <f>IFERROR(__xludf.DUMMYFUNCTION("""COMPUTED_VALUE"""),-40000.0)</f>
        <v>-40000</v>
      </c>
      <c r="AD11" s="27">
        <f>IFERROR(__xludf.DUMMYFUNCTION("""COMPUTED_VALUE"""),-1.0)</f>
        <v>-1</v>
      </c>
      <c r="AE11" s="18">
        <f>IFERROR(__xludf.DUMMYFUNCTION("""COMPUTED_VALUE"""),102018.68208)</f>
        <v>102018.6821</v>
      </c>
      <c r="AF11" s="19">
        <f>IFERROR(__xludf.DUMMYFUNCTION("""COMPUTED_VALUE"""),0.0)</f>
        <v>0</v>
      </c>
      <c r="AG11" s="20">
        <f>IFERROR(__xludf.DUMMYFUNCTION("""COMPUTED_VALUE"""),-102018.68208)</f>
        <v>-102018.6821</v>
      </c>
      <c r="AH11" s="28">
        <f>IFERROR(__xludf.DUMMYFUNCTION("""COMPUTED_VALUE"""),-1.0)</f>
        <v>-1</v>
      </c>
      <c r="AI11" s="29">
        <f>IFERROR(__xludf.DUMMYFUNCTION("""COMPUTED_VALUE"""),-1534.110967741844)</f>
        <v>-1534.110968</v>
      </c>
      <c r="AJ11" s="29">
        <f>IFERROR(__xludf.DUMMYFUNCTION("""COMPUTED_VALUE"""),-112896.00000000003)</f>
        <v>-112896</v>
      </c>
      <c r="AK11" s="4">
        <f>IFERROR(__xludf.DUMMYFUNCTION("""COMPUTED_VALUE"""),8400.0)</f>
        <v>8400</v>
      </c>
      <c r="AL11" s="30">
        <f>IFERROR(__xludf.DUMMYFUNCTION("""COMPUTED_VALUE"""),0.0)</f>
        <v>0</v>
      </c>
      <c r="AM11" s="29">
        <f t="shared" si="1"/>
        <v>-8400</v>
      </c>
      <c r="AN11" s="31">
        <f t="shared" si="2"/>
        <v>-1</v>
      </c>
      <c r="AO11" s="12">
        <f t="shared" si="3"/>
        <v>-37296</v>
      </c>
      <c r="AP11" s="12">
        <f t="shared" si="4"/>
        <v>-75600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IFERROR(__xludf.DUMMYFUNCTION("""COMPUTED_VALUE"""),"Form G4 Facebook")</f>
        <v>Form G4 Facebook</v>
      </c>
      <c r="B12" s="18">
        <f>IFERROR(__xludf.DUMMYFUNCTION("""COMPUTED_VALUE"""),156.774193548387)</f>
        <v>156.7741935</v>
      </c>
      <c r="C12" s="19">
        <f>IFERROR(__xludf.DUMMYFUNCTION("""COMPUTED_VALUE"""),235.0)</f>
        <v>235</v>
      </c>
      <c r="D12" s="20">
        <f>IFERROR(__xludf.DUMMYFUNCTION("""COMPUTED_VALUE"""),78.22580645161301)</f>
        <v>78.22580645</v>
      </c>
      <c r="E12" s="21">
        <f>IFERROR(__xludf.DUMMYFUNCTION("""COMPUTED_VALUE"""),0.4989711934156389)</f>
        <v>0.4989711934</v>
      </c>
      <c r="F12" s="22">
        <f>IFERROR(__xludf.DUMMYFUNCTION("""COMPUTED_VALUE"""),0.7488125590778879)</f>
        <v>0.7488125591</v>
      </c>
      <c r="G12" s="22">
        <f>IFERROR(__xludf.DUMMYFUNCTION("""COMPUTED_VALUE"""),0.574468085106383)</f>
        <v>0.5744680851</v>
      </c>
      <c r="H12" s="23">
        <f>IFERROR(__xludf.DUMMYFUNCTION("""COMPUTED_VALUE"""),-17.43444739715049)</f>
        <v>-17.4344474</v>
      </c>
      <c r="I12" s="18">
        <f>IFERROR(__xludf.DUMMYFUNCTION("""COMPUTED_VALUE"""),117.39448506833976)</f>
        <v>117.3944851</v>
      </c>
      <c r="J12" s="19">
        <f>IFERROR(__xludf.DUMMYFUNCTION("""COMPUTED_VALUE"""),135.0)</f>
        <v>135</v>
      </c>
      <c r="K12" s="20">
        <f>IFERROR(__xludf.DUMMYFUNCTION("""COMPUTED_VALUE"""),17.605514931660238)</f>
        <v>17.60551493</v>
      </c>
      <c r="L12" s="21">
        <f>IFERROR(__xludf.DUMMYFUNCTION("""COMPUTED_VALUE"""),0.149968841563651)</f>
        <v>0.1499688416</v>
      </c>
      <c r="M12" s="24">
        <f>IFERROR(__xludf.DUMMYFUNCTION("""COMPUTED_VALUE"""),0.27)</f>
        <v>0.27</v>
      </c>
      <c r="N12" s="22">
        <f>IFERROR(__xludf.DUMMYFUNCTION("""COMPUTED_VALUE"""),0.22962962962962963)</f>
        <v>0.2296296296</v>
      </c>
      <c r="O12" s="25">
        <f>IFERROR(__xludf.DUMMYFUNCTION("""COMPUTED_VALUE"""),-4.037037037037039)</f>
        <v>-4.037037037</v>
      </c>
      <c r="P12" s="18">
        <f>IFERROR(__xludf.DUMMYFUNCTION("""COMPUTED_VALUE"""),29.11383229694829)</f>
        <v>29.1138323</v>
      </c>
      <c r="Q12" s="19">
        <f>IFERROR(__xludf.DUMMYFUNCTION("""COMPUTED_VALUE"""),31.0)</f>
        <v>31</v>
      </c>
      <c r="R12" s="20">
        <f>IFERROR(__xludf.DUMMYFUNCTION("""COMPUTED_VALUE"""),1.8861677030517114)</f>
        <v>1.886167703</v>
      </c>
      <c r="S12" s="26">
        <f>IFERROR(__xludf.DUMMYFUNCTION("""COMPUTED_VALUE"""),0.06478596441078695)</f>
        <v>0.06478596441</v>
      </c>
      <c r="T12" s="22">
        <f>IFERROR(__xludf.DUMMYFUNCTION("""COMPUTED_VALUE"""),0.14)</f>
        <v>0.14</v>
      </c>
      <c r="U12" s="22">
        <f>IFERROR(__xludf.DUMMYFUNCTION("""COMPUTED_VALUE"""),0.0967741935483871)</f>
        <v>0.09677419355</v>
      </c>
      <c r="V12" s="23">
        <f>IFERROR(__xludf.DUMMYFUNCTION("""COMPUTED_VALUE"""),-4.322580645161292)</f>
        <v>-4.322580645</v>
      </c>
      <c r="W12" s="18">
        <f>IFERROR(__xludf.DUMMYFUNCTION("""COMPUTED_VALUE"""),4.0759365215727605)</f>
        <v>4.075936522</v>
      </c>
      <c r="X12" s="19">
        <f>IFERROR(__xludf.DUMMYFUNCTION("""COMPUTED_VALUE"""),3.0)</f>
        <v>3</v>
      </c>
      <c r="Y12" s="20">
        <f>IFERROR(__xludf.DUMMYFUNCTION("""COMPUTED_VALUE"""),-1.0759365215727605)</f>
        <v>-1.075936522</v>
      </c>
      <c r="Z12" s="27">
        <f>IFERROR(__xludf.DUMMYFUNCTION("""COMPUTED_VALUE"""),-0.26397283566074636)</f>
        <v>-0.2639728357</v>
      </c>
      <c r="AA12" s="18">
        <f>IFERROR(__xludf.DUMMYFUNCTION("""COMPUTED_VALUE"""),23000.0)</f>
        <v>23000</v>
      </c>
      <c r="AB12" s="19">
        <f>IFERROR(__xludf.DUMMYFUNCTION("""COMPUTED_VALUE"""),22812.0)</f>
        <v>22812</v>
      </c>
      <c r="AC12" s="20">
        <f>IFERROR(__xludf.DUMMYFUNCTION("""COMPUTED_VALUE"""),-188.0)</f>
        <v>-188</v>
      </c>
      <c r="AD12" s="27">
        <f>IFERROR(__xludf.DUMMYFUNCTION("""COMPUTED_VALUE"""),-0.00817391304347826)</f>
        <v>-0.008173913043</v>
      </c>
      <c r="AE12" s="18">
        <f>IFERROR(__xludf.DUMMYFUNCTION("""COMPUTED_VALUE"""),90992.73538378588)</f>
        <v>90992.73538</v>
      </c>
      <c r="AF12" s="19">
        <f>IFERROR(__xludf.DUMMYFUNCTION("""COMPUTED_VALUE"""),68436.0)</f>
        <v>68436</v>
      </c>
      <c r="AG12" s="20">
        <f>IFERROR(__xludf.DUMMYFUNCTION("""COMPUTED_VALUE"""),-22556.735383785883)</f>
        <v>-22556.73538</v>
      </c>
      <c r="AH12" s="28">
        <f>IFERROR(__xludf.DUMMYFUNCTION("""COMPUTED_VALUE"""),-0.24789600278139673)</f>
        <v>-0.2478960028</v>
      </c>
      <c r="AI12" s="29">
        <f>IFERROR(__xludf.DUMMYFUNCTION("""COMPUTED_VALUE"""),15306.234681585414)</f>
        <v>15306.23468</v>
      </c>
      <c r="AJ12" s="29">
        <f>IFERROR(__xludf.DUMMYFUNCTION("""COMPUTED_VALUE"""),-48933.00000000003)</f>
        <v>-48933</v>
      </c>
      <c r="AK12" s="4">
        <f>IFERROR(__xludf.DUMMYFUNCTION("""COMPUTED_VALUE"""),3220.0)</f>
        <v>3220</v>
      </c>
      <c r="AL12" s="30">
        <f>IFERROR(__xludf.DUMMYFUNCTION("""COMPUTED_VALUE"""),2207.6129032258063)</f>
        <v>2207.612903</v>
      </c>
      <c r="AM12" s="29">
        <f t="shared" si="1"/>
        <v>-1012.387097</v>
      </c>
      <c r="AN12" s="31">
        <f t="shared" si="2"/>
        <v>-0.3144059307</v>
      </c>
      <c r="AO12" s="12">
        <f t="shared" si="3"/>
        <v>-17549</v>
      </c>
      <c r="AP12" s="12">
        <f t="shared" si="4"/>
        <v>-31384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IFERROR(__xludf.DUMMYFUNCTION("""COMPUTED_VALUE"""),"[CM] Form G4 - Outros")</f>
        <v>[CM] Form G4 - Outros</v>
      </c>
      <c r="B13" s="18">
        <f>IFERROR(__xludf.DUMMYFUNCTION("""COMPUTED_VALUE"""),46.335483870967714)</f>
        <v>46.33548387</v>
      </c>
      <c r="C13" s="19">
        <f>IFERROR(__xludf.DUMMYFUNCTION("""COMPUTED_VALUE"""),56.0)</f>
        <v>56</v>
      </c>
      <c r="D13" s="20">
        <f>IFERROR(__xludf.DUMMYFUNCTION("""COMPUTED_VALUE"""),9.664516129032286)</f>
        <v>9.664516129</v>
      </c>
      <c r="E13" s="21">
        <f>IFERROR(__xludf.DUMMYFUNCTION("""COMPUTED_VALUE"""),0.208576998050683)</f>
        <v>0.2085769981</v>
      </c>
      <c r="F13" s="22">
        <f>IFERROR(__xludf.DUMMYFUNCTION("""COMPUTED_VALUE"""),0.7)</f>
        <v>0.7</v>
      </c>
      <c r="G13" s="22">
        <f>IFERROR(__xludf.DUMMYFUNCTION("""COMPUTED_VALUE"""),0.5357142857142857)</f>
        <v>0.5357142857</v>
      </c>
      <c r="H13" s="23">
        <f>IFERROR(__xludf.DUMMYFUNCTION("""COMPUTED_VALUE"""),-16.428571428571427)</f>
        <v>-16.42857143</v>
      </c>
      <c r="I13" s="18">
        <f>IFERROR(__xludf.DUMMYFUNCTION("""COMPUTED_VALUE"""),32.4348387096774)</f>
        <v>32.43483871</v>
      </c>
      <c r="J13" s="19">
        <f>IFERROR(__xludf.DUMMYFUNCTION("""COMPUTED_VALUE"""),30.0)</f>
        <v>30</v>
      </c>
      <c r="K13" s="20">
        <f>IFERROR(__xludf.DUMMYFUNCTION("""COMPUTED_VALUE"""),-2.4348387096774005)</f>
        <v>-2.43483871</v>
      </c>
      <c r="L13" s="21">
        <f>IFERROR(__xludf.DUMMYFUNCTION("""COMPUTED_VALUE"""),-0.07506862394080385)</f>
        <v>-0.07506862394</v>
      </c>
      <c r="M13" s="24">
        <f>IFERROR(__xludf.DUMMYFUNCTION("""COMPUTED_VALUE"""),0.28)</f>
        <v>0.28</v>
      </c>
      <c r="N13" s="22">
        <f>IFERROR(__xludf.DUMMYFUNCTION("""COMPUTED_VALUE"""),0.4)</f>
        <v>0.4</v>
      </c>
      <c r="O13" s="25">
        <f>IFERROR(__xludf.DUMMYFUNCTION("""COMPUTED_VALUE"""),12.0)</f>
        <v>12</v>
      </c>
      <c r="P13" s="18">
        <f>IFERROR(__xludf.DUMMYFUNCTION("""COMPUTED_VALUE"""),8.341760000000003)</f>
        <v>8.34176</v>
      </c>
      <c r="Q13" s="19">
        <f>IFERROR(__xludf.DUMMYFUNCTION("""COMPUTED_VALUE"""),12.0)</f>
        <v>12</v>
      </c>
      <c r="R13" s="20">
        <f>IFERROR(__xludf.DUMMYFUNCTION("""COMPUTED_VALUE"""),3.6582399999999975)</f>
        <v>3.65824</v>
      </c>
      <c r="S13" s="26">
        <f>IFERROR(__xludf.DUMMYFUNCTION("""COMPUTED_VALUE"""),0.4385453429492093)</f>
        <v>0.4385453429</v>
      </c>
      <c r="T13" s="22">
        <f>IFERROR(__xludf.DUMMYFUNCTION("""COMPUTED_VALUE"""),0.21)</f>
        <v>0.21</v>
      </c>
      <c r="U13" s="22">
        <f>IFERROR(__xludf.DUMMYFUNCTION("""COMPUTED_VALUE"""),0.25)</f>
        <v>0.25</v>
      </c>
      <c r="V13" s="23">
        <f>IFERROR(__xludf.DUMMYFUNCTION("""COMPUTED_VALUE"""),4.000000000000001)</f>
        <v>4</v>
      </c>
      <c r="W13" s="18">
        <f>IFERROR(__xludf.DUMMYFUNCTION("""COMPUTED_VALUE"""),1.7517696000000005)</f>
        <v>1.7517696</v>
      </c>
      <c r="X13" s="19">
        <f>IFERROR(__xludf.DUMMYFUNCTION("""COMPUTED_VALUE"""),3.0)</f>
        <v>3</v>
      </c>
      <c r="Y13" s="20">
        <f>IFERROR(__xludf.DUMMYFUNCTION("""COMPUTED_VALUE"""),1.2482303999999995)</f>
        <v>1.2482304</v>
      </c>
      <c r="Z13" s="27">
        <f>IFERROR(__xludf.DUMMYFUNCTION("""COMPUTED_VALUE"""),0.7125539797014397)</f>
        <v>0.7125539797</v>
      </c>
      <c r="AA13" s="18">
        <f>IFERROR(__xludf.DUMMYFUNCTION("""COMPUTED_VALUE"""),40000.0)</f>
        <v>40000</v>
      </c>
      <c r="AB13" s="19">
        <f>IFERROR(__xludf.DUMMYFUNCTION("""COMPUTED_VALUE"""),46266.666666666664)</f>
        <v>46266.66667</v>
      </c>
      <c r="AC13" s="20">
        <f>IFERROR(__xludf.DUMMYFUNCTION("""COMPUTED_VALUE"""),6266.666666666664)</f>
        <v>6266.666667</v>
      </c>
      <c r="AD13" s="27">
        <f>IFERROR(__xludf.DUMMYFUNCTION("""COMPUTED_VALUE"""),0.1566666666666666)</f>
        <v>0.1566666667</v>
      </c>
      <c r="AE13" s="18">
        <f>IFERROR(__xludf.DUMMYFUNCTION("""COMPUTED_VALUE"""),68012.45472000001)</f>
        <v>68012.45472</v>
      </c>
      <c r="AF13" s="19">
        <f>IFERROR(__xludf.DUMMYFUNCTION("""COMPUTED_VALUE"""),138800.0)</f>
        <v>138800</v>
      </c>
      <c r="AG13" s="20">
        <f>IFERROR(__xludf.DUMMYFUNCTION("""COMPUTED_VALUE"""),70787.54527999999)</f>
        <v>70787.54528</v>
      </c>
      <c r="AH13" s="28">
        <f>IFERROR(__xludf.DUMMYFUNCTION("""COMPUTED_VALUE"""),1.040802681970894)</f>
        <v>1.040802682</v>
      </c>
      <c r="AI13" s="29">
        <f>IFERROR(__xludf.DUMMYFUNCTION("""COMPUTED_VALUE"""),-5726.740645161246)</f>
        <v>-5726.740645</v>
      </c>
      <c r="AJ13" s="29">
        <f>IFERROR(__xludf.DUMMYFUNCTION("""COMPUTED_VALUE"""),68240.00000000001)</f>
        <v>68240</v>
      </c>
      <c r="AK13" s="4">
        <f>IFERROR(__xludf.DUMMYFUNCTION("""COMPUTED_VALUE"""),8400.0)</f>
        <v>8400</v>
      </c>
      <c r="AL13" s="30">
        <f>IFERROR(__xludf.DUMMYFUNCTION("""COMPUTED_VALUE"""),11566.666666666666)</f>
        <v>11566.66667</v>
      </c>
      <c r="AM13" s="29">
        <f t="shared" si="1"/>
        <v>3166.666667</v>
      </c>
      <c r="AN13" s="31">
        <f t="shared" si="2"/>
        <v>0.376984127</v>
      </c>
      <c r="AO13" s="12">
        <f t="shared" si="3"/>
        <v>30240</v>
      </c>
      <c r="AP13" s="12">
        <f t="shared" si="4"/>
        <v>38000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IFERROR(__xludf.DUMMYFUNCTION("""COMPUTED_VALUE"""),"Aplicativo G4 - Indicação")</f>
        <v>Aplicativo G4 - Indicação</v>
      </c>
      <c r="B14" s="18">
        <f>IFERROR(__xludf.DUMMYFUNCTION("""COMPUTED_VALUE"""),141.0967741935483)</f>
        <v>141.0967742</v>
      </c>
      <c r="C14" s="19">
        <f>IFERROR(__xludf.DUMMYFUNCTION("""COMPUTED_VALUE"""),326.0)</f>
        <v>326</v>
      </c>
      <c r="D14" s="20">
        <f>IFERROR(__xludf.DUMMYFUNCTION("""COMPUTED_VALUE"""),184.9032258064517)</f>
        <v>184.9032258</v>
      </c>
      <c r="E14" s="21">
        <f>IFERROR(__xludf.DUMMYFUNCTION("""COMPUTED_VALUE"""),1.310470964791954)</f>
        <v>1.310470965</v>
      </c>
      <c r="F14" s="22">
        <f>IFERROR(__xludf.DUMMYFUNCTION("""COMPUTED_VALUE"""),0.6697217630478434)</f>
        <v>0.669721763</v>
      </c>
      <c r="G14" s="22">
        <f>IFERROR(__xludf.DUMMYFUNCTION("""COMPUTED_VALUE"""),0.941717791411043)</f>
        <v>0.9417177914</v>
      </c>
      <c r="H14" s="23">
        <f>IFERROR(__xludf.DUMMYFUNCTION("""COMPUTED_VALUE"""),27.199602836319958)</f>
        <v>27.19960284</v>
      </c>
      <c r="I14" s="18">
        <f>IFERROR(__xludf.DUMMYFUNCTION("""COMPUTED_VALUE"""),94.4955803732666)</f>
        <v>94.49558037</v>
      </c>
      <c r="J14" s="19">
        <f>IFERROR(__xludf.DUMMYFUNCTION("""COMPUTED_VALUE"""),307.0)</f>
        <v>307</v>
      </c>
      <c r="K14" s="20">
        <f>IFERROR(__xludf.DUMMYFUNCTION("""COMPUTED_VALUE"""),212.5044196267334)</f>
        <v>212.5044196</v>
      </c>
      <c r="L14" s="21">
        <f>IFERROR(__xludf.DUMMYFUNCTION("""COMPUTED_VALUE"""),2.248829191665055)</f>
        <v>2.248829192</v>
      </c>
      <c r="M14" s="24">
        <f>IFERROR(__xludf.DUMMYFUNCTION("""COMPUTED_VALUE"""),0.21)</f>
        <v>0.21</v>
      </c>
      <c r="N14" s="22">
        <f>IFERROR(__xludf.DUMMYFUNCTION("""COMPUTED_VALUE"""),0.04560260586319218)</f>
        <v>0.04560260586</v>
      </c>
      <c r="O14" s="25">
        <f>IFERROR(__xludf.DUMMYFUNCTION("""COMPUTED_VALUE"""),-16.439739413680783)</f>
        <v>-16.43973941</v>
      </c>
      <c r="P14" s="18">
        <f>IFERROR(__xludf.DUMMYFUNCTION("""COMPUTED_VALUE"""),18.227147503110107)</f>
        <v>18.2271475</v>
      </c>
      <c r="Q14" s="19">
        <f>IFERROR(__xludf.DUMMYFUNCTION("""COMPUTED_VALUE"""),14.0)</f>
        <v>14</v>
      </c>
      <c r="R14" s="20">
        <f>IFERROR(__xludf.DUMMYFUNCTION("""COMPUTED_VALUE"""),-4.227147503110107)</f>
        <v>-4.227147503</v>
      </c>
      <c r="S14" s="26">
        <f>IFERROR(__xludf.DUMMYFUNCTION("""COMPUTED_VALUE"""),-0.2319149226388181)</f>
        <v>-0.2319149226</v>
      </c>
      <c r="T14" s="22">
        <f>IFERROR(__xludf.DUMMYFUNCTION("""COMPUTED_VALUE"""),0.13)</f>
        <v>0.13</v>
      </c>
      <c r="U14" s="22">
        <f>IFERROR(__xludf.DUMMYFUNCTION("""COMPUTED_VALUE"""),0.07142857142857142)</f>
        <v>0.07142857143</v>
      </c>
      <c r="V14" s="23">
        <f>IFERROR(__xludf.DUMMYFUNCTION("""COMPUTED_VALUE"""),-5.857142857142858)</f>
        <v>-5.857142857</v>
      </c>
      <c r="W14" s="18">
        <f>IFERROR(__xludf.DUMMYFUNCTION("""COMPUTED_VALUE"""),2.369529175404314)</f>
        <v>2.369529175</v>
      </c>
      <c r="X14" s="19">
        <f>IFERROR(__xludf.DUMMYFUNCTION("""COMPUTED_VALUE"""),1.0)</f>
        <v>1</v>
      </c>
      <c r="Y14" s="20">
        <f>IFERROR(__xludf.DUMMYFUNCTION("""COMPUTED_VALUE"""),-1.3695291754043142)</f>
        <v>-1.369529175</v>
      </c>
      <c r="Z14" s="27">
        <f>IFERROR(__xludf.DUMMYFUNCTION("""COMPUTED_VALUE"""),-0.5779752322191308)</f>
        <v>-0.5779752322</v>
      </c>
      <c r="AA14" s="18">
        <f>IFERROR(__xludf.DUMMYFUNCTION("""COMPUTED_VALUE"""),29000.0)</f>
        <v>29000</v>
      </c>
      <c r="AB14" s="19">
        <f>IFERROR(__xludf.DUMMYFUNCTION("""COMPUTED_VALUE"""),11223.0)</f>
        <v>11223</v>
      </c>
      <c r="AC14" s="20">
        <f>IFERROR(__xludf.DUMMYFUNCTION("""COMPUTED_VALUE"""),-17777.0)</f>
        <v>-17777</v>
      </c>
      <c r="AD14" s="27">
        <f>IFERROR(__xludf.DUMMYFUNCTION("""COMPUTED_VALUE"""),-0.613)</f>
        <v>-0.613</v>
      </c>
      <c r="AE14" s="18">
        <f>IFERROR(__xludf.DUMMYFUNCTION("""COMPUTED_VALUE"""),66697.80342042755)</f>
        <v>66697.80342</v>
      </c>
      <c r="AF14" s="19">
        <f>IFERROR(__xludf.DUMMYFUNCTION("""COMPUTED_VALUE"""),11223.0)</f>
        <v>11223</v>
      </c>
      <c r="AG14" s="20">
        <f>IFERROR(__xludf.DUMMYFUNCTION("""COMPUTED_VALUE"""),-55474.80342042755)</f>
        <v>-55474.80342</v>
      </c>
      <c r="AH14" s="28">
        <f>IFERROR(__xludf.DUMMYFUNCTION("""COMPUTED_VALUE"""),-0.8317335890470611)</f>
        <v>-0.831733589</v>
      </c>
      <c r="AI14" s="29">
        <f>IFERROR(__xludf.DUMMYFUNCTION("""COMPUTED_VALUE"""),168239.7490184848)</f>
        <v>168239.749</v>
      </c>
      <c r="AJ14" s="29">
        <f>IFERROR(__xludf.DUMMYFUNCTION("""COMPUTED_VALUE"""),-231828.89999999997)</f>
        <v>-231828.9</v>
      </c>
      <c r="AK14" s="4">
        <f>IFERROR(__xludf.DUMMYFUNCTION("""COMPUTED_VALUE"""),3770.0)</f>
        <v>3770</v>
      </c>
      <c r="AL14" s="30">
        <f>IFERROR(__xludf.DUMMYFUNCTION("""COMPUTED_VALUE"""),801.6428571428571)</f>
        <v>801.6428571</v>
      </c>
      <c r="AM14" s="29">
        <f t="shared" si="1"/>
        <v>-2968.357143</v>
      </c>
      <c r="AN14" s="31">
        <f t="shared" si="2"/>
        <v>-0.7873626374</v>
      </c>
      <c r="AO14" s="12">
        <f t="shared" si="3"/>
        <v>-190271.9</v>
      </c>
      <c r="AP14" s="12">
        <f t="shared" si="4"/>
        <v>-41557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IFERROR(__xludf.DUMMYFUNCTION("""COMPUTED_VALUE"""),"[SKL] CRM - WhatsApp")</f>
        <v>[SKL] CRM - WhatsApp</v>
      </c>
      <c r="B15" s="18"/>
      <c r="C15" s="19">
        <f>IFERROR(__xludf.DUMMYFUNCTION("""COMPUTED_VALUE"""),0.0)</f>
        <v>0</v>
      </c>
      <c r="D15" s="20">
        <f>IFERROR(__xludf.DUMMYFUNCTION("""COMPUTED_VALUE"""),0.0)</f>
        <v>0</v>
      </c>
      <c r="E15" s="21" t="str">
        <f>IFERROR(__xludf.DUMMYFUNCTION("""COMPUTED_VALUE"""),"")</f>
        <v/>
      </c>
      <c r="F15" s="22"/>
      <c r="G15" s="22" t="str">
        <f>IFERROR(__xludf.DUMMYFUNCTION("""COMPUTED_VALUE"""),"")</f>
        <v/>
      </c>
      <c r="H15" s="23" t="str">
        <f>IFERROR(__xludf.DUMMYFUNCTION("""COMPUTED_VALUE"""),"")</f>
        <v/>
      </c>
      <c r="I15" s="18"/>
      <c r="J15" s="19">
        <f>IFERROR(__xludf.DUMMYFUNCTION("""COMPUTED_VALUE"""),0.0)</f>
        <v>0</v>
      </c>
      <c r="K15" s="20">
        <f>IFERROR(__xludf.DUMMYFUNCTION("""COMPUTED_VALUE"""),0.0)</f>
        <v>0</v>
      </c>
      <c r="L15" s="21" t="str">
        <f>IFERROR(__xludf.DUMMYFUNCTION("""COMPUTED_VALUE"""),"")</f>
        <v/>
      </c>
      <c r="M15" s="24"/>
      <c r="N15" s="22" t="str">
        <f>IFERROR(__xludf.DUMMYFUNCTION("""COMPUTED_VALUE"""),"")</f>
        <v/>
      </c>
      <c r="O15" s="25" t="str">
        <f>IFERROR(__xludf.DUMMYFUNCTION("""COMPUTED_VALUE"""),"")</f>
        <v/>
      </c>
      <c r="P15" s="18"/>
      <c r="Q15" s="19">
        <f>IFERROR(__xludf.DUMMYFUNCTION("""COMPUTED_VALUE"""),1.0)</f>
        <v>1</v>
      </c>
      <c r="R15" s="20">
        <f>IFERROR(__xludf.DUMMYFUNCTION("""COMPUTED_VALUE"""),1.0)</f>
        <v>1</v>
      </c>
      <c r="S15" s="26" t="str">
        <f>IFERROR(__xludf.DUMMYFUNCTION("""COMPUTED_VALUE"""),"")</f>
        <v/>
      </c>
      <c r="T15" s="22"/>
      <c r="U15" s="22">
        <f>IFERROR(__xludf.DUMMYFUNCTION("""COMPUTED_VALUE"""),1.0)</f>
        <v>1</v>
      </c>
      <c r="V15" s="23" t="str">
        <f>IFERROR(__xludf.DUMMYFUNCTION("""COMPUTED_VALUE"""),"")</f>
        <v/>
      </c>
      <c r="W15" s="18"/>
      <c r="X15" s="19">
        <f>IFERROR(__xludf.DUMMYFUNCTION("""COMPUTED_VALUE"""),1.0)</f>
        <v>1</v>
      </c>
      <c r="Y15" s="20">
        <f>IFERROR(__xludf.DUMMYFUNCTION("""COMPUTED_VALUE"""),1.0)</f>
        <v>1</v>
      </c>
      <c r="Z15" s="27" t="str">
        <f>IFERROR(__xludf.DUMMYFUNCTION("""COMPUTED_VALUE"""),"")</f>
        <v/>
      </c>
      <c r="AA15" s="18"/>
      <c r="AB15" s="19">
        <f>IFERROR(__xludf.DUMMYFUNCTION("""COMPUTED_VALUE"""),14900.0)</f>
        <v>14900</v>
      </c>
      <c r="AC15" s="20">
        <f>IFERROR(__xludf.DUMMYFUNCTION("""COMPUTED_VALUE"""),14900.0)</f>
        <v>14900</v>
      </c>
      <c r="AD15" s="27" t="str">
        <f>IFERROR(__xludf.DUMMYFUNCTION("""COMPUTED_VALUE"""),"")</f>
        <v/>
      </c>
      <c r="AE15" s="18"/>
      <c r="AF15" s="19">
        <f>IFERROR(__xludf.DUMMYFUNCTION("""COMPUTED_VALUE"""),14900.0)</f>
        <v>14900</v>
      </c>
      <c r="AG15" s="20">
        <f>IFERROR(__xludf.DUMMYFUNCTION("""COMPUTED_VALUE"""),14900.0)</f>
        <v>14900</v>
      </c>
      <c r="AH15" s="28" t="str">
        <f>IFERROR(__xludf.DUMMYFUNCTION("""COMPUTED_VALUE"""),"")</f>
        <v/>
      </c>
      <c r="AI15" s="29">
        <f>IFERROR(__xludf.DUMMYFUNCTION("""COMPUTED_VALUE"""),0.0)</f>
        <v>0</v>
      </c>
      <c r="AJ15" s="29">
        <f>IFERROR(__xludf.DUMMYFUNCTION("""COMPUTED_VALUE"""),0.0)</f>
        <v>0</v>
      </c>
      <c r="AK15" s="4"/>
      <c r="AL15" s="30">
        <f>IFERROR(__xludf.DUMMYFUNCTION("""COMPUTED_VALUE"""),14900.0)</f>
        <v>14900</v>
      </c>
      <c r="AM15" s="29">
        <f t="shared" si="1"/>
        <v>14900</v>
      </c>
      <c r="AN15" s="31" t="str">
        <f t="shared" si="2"/>
        <v>#DIV/0!</v>
      </c>
      <c r="AO15" s="12">
        <f t="shared" si="3"/>
        <v>0</v>
      </c>
      <c r="AP15" s="12">
        <f t="shared" si="4"/>
        <v>0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 t="str">
        <f>IFERROR(__xludf.DUMMYFUNCTION("""COMPUTED_VALUE"""),"Form G4 - K Instagram")</f>
        <v>Form G4 - K Instagram</v>
      </c>
      <c r="B16" s="18"/>
      <c r="C16" s="19">
        <f>IFERROR(__xludf.DUMMYFUNCTION("""COMPUTED_VALUE"""),0.0)</f>
        <v>0</v>
      </c>
      <c r="D16" s="20">
        <f>IFERROR(__xludf.DUMMYFUNCTION("""COMPUTED_VALUE"""),0.0)</f>
        <v>0</v>
      </c>
      <c r="E16" s="21" t="str">
        <f>IFERROR(__xludf.DUMMYFUNCTION("""COMPUTED_VALUE"""),"")</f>
        <v/>
      </c>
      <c r="F16" s="22"/>
      <c r="G16" s="22" t="str">
        <f>IFERROR(__xludf.DUMMYFUNCTION("""COMPUTED_VALUE"""),"")</f>
        <v/>
      </c>
      <c r="H16" s="23" t="str">
        <f>IFERROR(__xludf.DUMMYFUNCTION("""COMPUTED_VALUE"""),"")</f>
        <v/>
      </c>
      <c r="I16" s="18"/>
      <c r="J16" s="19">
        <f>IFERROR(__xludf.DUMMYFUNCTION("""COMPUTED_VALUE"""),0.0)</f>
        <v>0</v>
      </c>
      <c r="K16" s="20">
        <f>IFERROR(__xludf.DUMMYFUNCTION("""COMPUTED_VALUE"""),0.0)</f>
        <v>0</v>
      </c>
      <c r="L16" s="21" t="str">
        <f>IFERROR(__xludf.DUMMYFUNCTION("""COMPUTED_VALUE"""),"")</f>
        <v/>
      </c>
      <c r="M16" s="24"/>
      <c r="N16" s="22" t="str">
        <f>IFERROR(__xludf.DUMMYFUNCTION("""COMPUTED_VALUE"""),"")</f>
        <v/>
      </c>
      <c r="O16" s="25" t="str">
        <f>IFERROR(__xludf.DUMMYFUNCTION("""COMPUTED_VALUE"""),"")</f>
        <v/>
      </c>
      <c r="P16" s="18"/>
      <c r="Q16" s="19">
        <f>IFERROR(__xludf.DUMMYFUNCTION("""COMPUTED_VALUE"""),0.0)</f>
        <v>0</v>
      </c>
      <c r="R16" s="20">
        <f>IFERROR(__xludf.DUMMYFUNCTION("""COMPUTED_VALUE"""),0.0)</f>
        <v>0</v>
      </c>
      <c r="S16" s="26" t="str">
        <f>IFERROR(__xludf.DUMMYFUNCTION("""COMPUTED_VALUE"""),"")</f>
        <v/>
      </c>
      <c r="T16" s="22"/>
      <c r="U16" s="22" t="str">
        <f>IFERROR(__xludf.DUMMYFUNCTION("""COMPUTED_VALUE"""),"")</f>
        <v/>
      </c>
      <c r="V16" s="23" t="str">
        <f>IFERROR(__xludf.DUMMYFUNCTION("""COMPUTED_VALUE"""),"")</f>
        <v/>
      </c>
      <c r="W16" s="18"/>
      <c r="X16" s="19">
        <f>IFERROR(__xludf.DUMMYFUNCTION("""COMPUTED_VALUE"""),1.0)</f>
        <v>1</v>
      </c>
      <c r="Y16" s="20">
        <f>IFERROR(__xludf.DUMMYFUNCTION("""COMPUTED_VALUE"""),1.0)</f>
        <v>1</v>
      </c>
      <c r="Z16" s="27" t="str">
        <f>IFERROR(__xludf.DUMMYFUNCTION("""COMPUTED_VALUE"""),"")</f>
        <v/>
      </c>
      <c r="AA16" s="18"/>
      <c r="AB16" s="19">
        <f>IFERROR(__xludf.DUMMYFUNCTION("""COMPUTED_VALUE"""),14900.0)</f>
        <v>14900</v>
      </c>
      <c r="AC16" s="20">
        <f>IFERROR(__xludf.DUMMYFUNCTION("""COMPUTED_VALUE"""),14900.0)</f>
        <v>14900</v>
      </c>
      <c r="AD16" s="27" t="str">
        <f>IFERROR(__xludf.DUMMYFUNCTION("""COMPUTED_VALUE"""),"")</f>
        <v/>
      </c>
      <c r="AE16" s="18"/>
      <c r="AF16" s="19">
        <f>IFERROR(__xludf.DUMMYFUNCTION("""COMPUTED_VALUE"""),14900.0)</f>
        <v>14900</v>
      </c>
      <c r="AG16" s="20">
        <f>IFERROR(__xludf.DUMMYFUNCTION("""COMPUTED_VALUE"""),14900.0)</f>
        <v>14900</v>
      </c>
      <c r="AH16" s="28" t="str">
        <f>IFERROR(__xludf.DUMMYFUNCTION("""COMPUTED_VALUE"""),"")</f>
        <v/>
      </c>
      <c r="AI16" s="29">
        <f>IFERROR(__xludf.DUMMYFUNCTION("""COMPUTED_VALUE"""),0.0)</f>
        <v>0</v>
      </c>
      <c r="AJ16" s="29">
        <f>IFERROR(__xludf.DUMMYFUNCTION("""COMPUTED_VALUE"""),0.0)</f>
        <v>0</v>
      </c>
      <c r="AK16" s="4"/>
      <c r="AL16" s="30">
        <f>IFERROR(__xludf.DUMMYFUNCTION("""COMPUTED_VALUE"""),0.0)</f>
        <v>0</v>
      </c>
      <c r="AM16" s="29">
        <f t="shared" si="1"/>
        <v>0</v>
      </c>
      <c r="AN16" s="31" t="str">
        <f t="shared" si="2"/>
        <v>#DIV/0!</v>
      </c>
      <c r="AO16" s="12">
        <f t="shared" si="3"/>
        <v>0</v>
      </c>
      <c r="AP16" s="12">
        <f t="shared" si="4"/>
        <v>0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 t="str">
        <f>IFERROR(__xludf.DUMMYFUNCTION("""COMPUTED_VALUE"""),"Form G4 Incompleto Instagram")</f>
        <v>Form G4 Incompleto Instagram</v>
      </c>
      <c r="B17" s="18"/>
      <c r="C17" s="19">
        <f>IFERROR(__xludf.DUMMYFUNCTION("""COMPUTED_VALUE"""),0.0)</f>
        <v>0</v>
      </c>
      <c r="D17" s="20">
        <f>IFERROR(__xludf.DUMMYFUNCTION("""COMPUTED_VALUE"""),0.0)</f>
        <v>0</v>
      </c>
      <c r="E17" s="21" t="str">
        <f>IFERROR(__xludf.DUMMYFUNCTION("""COMPUTED_VALUE"""),"")</f>
        <v/>
      </c>
      <c r="F17" s="22"/>
      <c r="G17" s="22" t="str">
        <f>IFERROR(__xludf.DUMMYFUNCTION("""COMPUTED_VALUE"""),"")</f>
        <v/>
      </c>
      <c r="H17" s="23" t="str">
        <f>IFERROR(__xludf.DUMMYFUNCTION("""COMPUTED_VALUE"""),"")</f>
        <v/>
      </c>
      <c r="I17" s="18"/>
      <c r="J17" s="19">
        <f>IFERROR(__xludf.DUMMYFUNCTION("""COMPUTED_VALUE"""),0.0)</f>
        <v>0</v>
      </c>
      <c r="K17" s="20">
        <f>IFERROR(__xludf.DUMMYFUNCTION("""COMPUTED_VALUE"""),0.0)</f>
        <v>0</v>
      </c>
      <c r="L17" s="21" t="str">
        <f>IFERROR(__xludf.DUMMYFUNCTION("""COMPUTED_VALUE"""),"")</f>
        <v/>
      </c>
      <c r="M17" s="24"/>
      <c r="N17" s="22" t="str">
        <f>IFERROR(__xludf.DUMMYFUNCTION("""COMPUTED_VALUE"""),"")</f>
        <v/>
      </c>
      <c r="O17" s="25" t="str">
        <f>IFERROR(__xludf.DUMMYFUNCTION("""COMPUTED_VALUE"""),"")</f>
        <v/>
      </c>
      <c r="P17" s="18"/>
      <c r="Q17" s="19">
        <f>IFERROR(__xludf.DUMMYFUNCTION("""COMPUTED_VALUE"""),1.0)</f>
        <v>1</v>
      </c>
      <c r="R17" s="20">
        <f>IFERROR(__xludf.DUMMYFUNCTION("""COMPUTED_VALUE"""),1.0)</f>
        <v>1</v>
      </c>
      <c r="S17" s="26" t="str">
        <f>IFERROR(__xludf.DUMMYFUNCTION("""COMPUTED_VALUE"""),"")</f>
        <v/>
      </c>
      <c r="T17" s="22"/>
      <c r="U17" s="22">
        <f>IFERROR(__xludf.DUMMYFUNCTION("""COMPUTED_VALUE"""),0.0)</f>
        <v>0</v>
      </c>
      <c r="V17" s="23" t="str">
        <f>IFERROR(__xludf.DUMMYFUNCTION("""COMPUTED_VALUE"""),"")</f>
        <v/>
      </c>
      <c r="W17" s="18"/>
      <c r="X17" s="19">
        <f>IFERROR(__xludf.DUMMYFUNCTION("""COMPUTED_VALUE"""),0.0)</f>
        <v>0</v>
      </c>
      <c r="Y17" s="20">
        <f>IFERROR(__xludf.DUMMYFUNCTION("""COMPUTED_VALUE"""),0.0)</f>
        <v>0</v>
      </c>
      <c r="Z17" s="27" t="str">
        <f>IFERROR(__xludf.DUMMYFUNCTION("""COMPUTED_VALUE"""),"")</f>
        <v/>
      </c>
      <c r="AA17" s="18"/>
      <c r="AB17" s="19">
        <f>IFERROR(__xludf.DUMMYFUNCTION("""COMPUTED_VALUE"""),0.0)</f>
        <v>0</v>
      </c>
      <c r="AC17" s="20">
        <f>IFERROR(__xludf.DUMMYFUNCTION("""COMPUTED_VALUE"""),0.0)</f>
        <v>0</v>
      </c>
      <c r="AD17" s="27" t="str">
        <f>IFERROR(__xludf.DUMMYFUNCTION("""COMPUTED_VALUE"""),"")</f>
        <v/>
      </c>
      <c r="AE17" s="18"/>
      <c r="AF17" s="19">
        <f>IFERROR(__xludf.DUMMYFUNCTION("""COMPUTED_VALUE"""),0.0)</f>
        <v>0</v>
      </c>
      <c r="AG17" s="20">
        <f>IFERROR(__xludf.DUMMYFUNCTION("""COMPUTED_VALUE"""),0.0)</f>
        <v>0</v>
      </c>
      <c r="AH17" s="28" t="str">
        <f>IFERROR(__xludf.DUMMYFUNCTION("""COMPUTED_VALUE"""),"")</f>
        <v/>
      </c>
      <c r="AI17" s="29">
        <f>IFERROR(__xludf.DUMMYFUNCTION("""COMPUTED_VALUE"""),0.0)</f>
        <v>0</v>
      </c>
      <c r="AJ17" s="29">
        <f>IFERROR(__xludf.DUMMYFUNCTION("""COMPUTED_VALUE"""),0.0)</f>
        <v>0</v>
      </c>
      <c r="AK17" s="4"/>
      <c r="AL17" s="4">
        <f>IFERROR(__xludf.DUMMYFUNCTION("""COMPUTED_VALUE"""),0.0)</f>
        <v>0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/>
      <c r="B18" s="18"/>
      <c r="C18" s="19"/>
      <c r="D18" s="20"/>
      <c r="E18" s="21"/>
      <c r="F18" s="22"/>
      <c r="G18" s="22"/>
      <c r="H18" s="23"/>
      <c r="I18" s="18"/>
      <c r="J18" s="19"/>
      <c r="K18" s="20"/>
      <c r="L18" s="21"/>
      <c r="M18" s="24"/>
      <c r="N18" s="22"/>
      <c r="O18" s="25"/>
      <c r="P18" s="18"/>
      <c r="Q18" s="19"/>
      <c r="R18" s="20"/>
      <c r="S18" s="26"/>
      <c r="T18" s="22"/>
      <c r="U18" s="22"/>
      <c r="V18" s="23"/>
      <c r="W18" s="18"/>
      <c r="X18" s="19"/>
      <c r="Y18" s="20"/>
      <c r="Z18" s="27"/>
      <c r="AA18" s="18"/>
      <c r="AB18" s="19"/>
      <c r="AC18" s="20"/>
      <c r="AD18" s="27"/>
      <c r="AE18" s="18"/>
      <c r="AF18" s="19"/>
      <c r="AG18" s="20"/>
      <c r="AH18" s="28"/>
      <c r="AI18" s="29"/>
      <c r="AJ18" s="29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/>
      <c r="B19" s="18"/>
      <c r="C19" s="19"/>
      <c r="D19" s="20"/>
      <c r="E19" s="21"/>
      <c r="F19" s="22"/>
      <c r="G19" s="22"/>
      <c r="H19" s="23"/>
      <c r="I19" s="18"/>
      <c r="J19" s="19"/>
      <c r="K19" s="20"/>
      <c r="L19" s="21"/>
      <c r="M19" s="24"/>
      <c r="N19" s="22"/>
      <c r="O19" s="25"/>
      <c r="P19" s="18"/>
      <c r="Q19" s="19"/>
      <c r="R19" s="20"/>
      <c r="S19" s="26"/>
      <c r="T19" s="22"/>
      <c r="U19" s="22"/>
      <c r="V19" s="23"/>
      <c r="W19" s="18"/>
      <c r="X19" s="19"/>
      <c r="Y19" s="20"/>
      <c r="Z19" s="27"/>
      <c r="AA19" s="18"/>
      <c r="AB19" s="19"/>
      <c r="AC19" s="20"/>
      <c r="AD19" s="27"/>
      <c r="AE19" s="18"/>
      <c r="AF19" s="19"/>
      <c r="AG19" s="20"/>
      <c r="AH19" s="28"/>
      <c r="AI19" s="29"/>
      <c r="AJ19" s="29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/>
      <c r="B20" s="18"/>
      <c r="C20" s="19"/>
      <c r="D20" s="20"/>
      <c r="E20" s="21"/>
      <c r="F20" s="22"/>
      <c r="G20" s="22"/>
      <c r="H20" s="23"/>
      <c r="I20" s="18"/>
      <c r="J20" s="19"/>
      <c r="K20" s="20"/>
      <c r="L20" s="21"/>
      <c r="M20" s="24"/>
      <c r="N20" s="22"/>
      <c r="O20" s="25"/>
      <c r="P20" s="18"/>
      <c r="Q20" s="19"/>
      <c r="R20" s="20"/>
      <c r="S20" s="26"/>
      <c r="T20" s="22"/>
      <c r="U20" s="22"/>
      <c r="V20" s="23"/>
      <c r="W20" s="18"/>
      <c r="X20" s="19"/>
      <c r="Y20" s="20"/>
      <c r="Z20" s="27"/>
      <c r="AA20" s="18"/>
      <c r="AB20" s="19"/>
      <c r="AC20" s="20"/>
      <c r="AD20" s="27"/>
      <c r="AE20" s="18"/>
      <c r="AF20" s="19"/>
      <c r="AG20" s="20"/>
      <c r="AH20" s="28"/>
      <c r="AI20" s="29"/>
      <c r="AJ20" s="29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/>
      <c r="B21" s="18"/>
      <c r="C21" s="19"/>
      <c r="D21" s="20"/>
      <c r="E21" s="21"/>
      <c r="F21" s="22"/>
      <c r="G21" s="22"/>
      <c r="H21" s="23"/>
      <c r="I21" s="18"/>
      <c r="J21" s="19"/>
      <c r="K21" s="20"/>
      <c r="L21" s="21"/>
      <c r="M21" s="24"/>
      <c r="N21" s="22"/>
      <c r="O21" s="25"/>
      <c r="P21" s="18"/>
      <c r="Q21" s="19"/>
      <c r="R21" s="20"/>
      <c r="S21" s="26"/>
      <c r="T21" s="22"/>
      <c r="U21" s="22"/>
      <c r="V21" s="23"/>
      <c r="W21" s="18"/>
      <c r="X21" s="19"/>
      <c r="Y21" s="20"/>
      <c r="Z21" s="27"/>
      <c r="AA21" s="18"/>
      <c r="AB21" s="19"/>
      <c r="AC21" s="20"/>
      <c r="AD21" s="27"/>
      <c r="AE21" s="18"/>
      <c r="AF21" s="19"/>
      <c r="AG21" s="20"/>
      <c r="AH21" s="28"/>
      <c r="AI21" s="29"/>
      <c r="AJ21" s="29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/>
      <c r="B22" s="18"/>
      <c r="C22" s="19"/>
      <c r="D22" s="20"/>
      <c r="E22" s="21"/>
      <c r="F22" s="22"/>
      <c r="G22" s="22"/>
      <c r="H22" s="23"/>
      <c r="I22" s="18"/>
      <c r="J22" s="19"/>
      <c r="K22" s="20"/>
      <c r="L22" s="21"/>
      <c r="M22" s="24"/>
      <c r="N22" s="22"/>
      <c r="O22" s="25"/>
      <c r="P22" s="18"/>
      <c r="Q22" s="19"/>
      <c r="R22" s="20"/>
      <c r="S22" s="26"/>
      <c r="T22" s="22"/>
      <c r="U22" s="22"/>
      <c r="V22" s="23"/>
      <c r="W22" s="18"/>
      <c r="X22" s="19"/>
      <c r="Y22" s="20"/>
      <c r="Z22" s="27"/>
      <c r="AA22" s="18"/>
      <c r="AB22" s="19"/>
      <c r="AC22" s="20"/>
      <c r="AD22" s="27"/>
      <c r="AE22" s="18"/>
      <c r="AF22" s="19"/>
      <c r="AG22" s="20"/>
      <c r="AH22" s="28"/>
      <c r="AI22" s="29"/>
      <c r="AJ22" s="29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/>
      <c r="B23" s="18"/>
      <c r="C23" s="19"/>
      <c r="D23" s="20"/>
      <c r="E23" s="21"/>
      <c r="F23" s="22"/>
      <c r="G23" s="22"/>
      <c r="H23" s="23"/>
      <c r="I23" s="18"/>
      <c r="J23" s="19"/>
      <c r="K23" s="20"/>
      <c r="L23" s="21"/>
      <c r="M23" s="24"/>
      <c r="N23" s="22"/>
      <c r="O23" s="25"/>
      <c r="P23" s="18"/>
      <c r="Q23" s="19"/>
      <c r="R23" s="20"/>
      <c r="S23" s="26"/>
      <c r="T23" s="22"/>
      <c r="U23" s="22"/>
      <c r="V23" s="23"/>
      <c r="W23" s="18"/>
      <c r="X23" s="19"/>
      <c r="Y23" s="20"/>
      <c r="Z23" s="27"/>
      <c r="AA23" s="18"/>
      <c r="AB23" s="19"/>
      <c r="AC23" s="20"/>
      <c r="AD23" s="27"/>
      <c r="AE23" s="18"/>
      <c r="AF23" s="19"/>
      <c r="AG23" s="20"/>
      <c r="AH23" s="28"/>
      <c r="AI23" s="29"/>
      <c r="AJ23" s="29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/>
      <c r="B24" s="18"/>
      <c r="C24" s="19"/>
      <c r="D24" s="20"/>
      <c r="E24" s="21"/>
      <c r="F24" s="22"/>
      <c r="G24" s="22"/>
      <c r="H24" s="23"/>
      <c r="I24" s="18"/>
      <c r="J24" s="19"/>
      <c r="K24" s="20"/>
      <c r="L24" s="21"/>
      <c r="M24" s="24"/>
      <c r="N24" s="22"/>
      <c r="O24" s="25"/>
      <c r="P24" s="18"/>
      <c r="Q24" s="19"/>
      <c r="R24" s="20"/>
      <c r="S24" s="26"/>
      <c r="T24" s="22"/>
      <c r="U24" s="22"/>
      <c r="V24" s="23"/>
      <c r="W24" s="18"/>
      <c r="X24" s="19"/>
      <c r="Y24" s="20"/>
      <c r="Z24" s="27"/>
      <c r="AA24" s="18"/>
      <c r="AB24" s="19"/>
      <c r="AC24" s="20"/>
      <c r="AD24" s="27"/>
      <c r="AE24" s="18"/>
      <c r="AF24" s="19"/>
      <c r="AG24" s="20"/>
      <c r="AH24" s="28"/>
      <c r="AI24" s="29"/>
      <c r="AJ24" s="29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/>
      <c r="B25" s="18"/>
      <c r="C25" s="19"/>
      <c r="D25" s="20"/>
      <c r="E25" s="21"/>
      <c r="F25" s="22"/>
      <c r="G25" s="22"/>
      <c r="H25" s="23"/>
      <c r="I25" s="18"/>
      <c r="J25" s="19"/>
      <c r="K25" s="20"/>
      <c r="L25" s="21"/>
      <c r="M25" s="24"/>
      <c r="N25" s="22"/>
      <c r="O25" s="25"/>
      <c r="P25" s="18"/>
      <c r="Q25" s="19"/>
      <c r="R25" s="20"/>
      <c r="S25" s="26"/>
      <c r="T25" s="22"/>
      <c r="U25" s="22"/>
      <c r="V25" s="23"/>
      <c r="W25" s="18"/>
      <c r="X25" s="19"/>
      <c r="Y25" s="20"/>
      <c r="Z25" s="27"/>
      <c r="AA25" s="18"/>
      <c r="AB25" s="19"/>
      <c r="AC25" s="20"/>
      <c r="AD25" s="27"/>
      <c r="AE25" s="18"/>
      <c r="AF25" s="19"/>
      <c r="AG25" s="20"/>
      <c r="AH25" s="28"/>
      <c r="AI25" s="29"/>
      <c r="AJ25" s="29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/>
      <c r="B26" s="18"/>
      <c r="C26" s="19"/>
      <c r="D26" s="20"/>
      <c r="E26" s="21"/>
      <c r="F26" s="22"/>
      <c r="G26" s="22"/>
      <c r="H26" s="23"/>
      <c r="I26" s="18"/>
      <c r="J26" s="19"/>
      <c r="K26" s="20"/>
      <c r="L26" s="21"/>
      <c r="M26" s="24"/>
      <c r="N26" s="22"/>
      <c r="O26" s="25"/>
      <c r="P26" s="18"/>
      <c r="Q26" s="19"/>
      <c r="R26" s="20"/>
      <c r="S26" s="26"/>
      <c r="T26" s="22"/>
      <c r="U26" s="22"/>
      <c r="V26" s="23"/>
      <c r="W26" s="18"/>
      <c r="X26" s="19"/>
      <c r="Y26" s="20"/>
      <c r="Z26" s="27"/>
      <c r="AA26" s="18"/>
      <c r="AB26" s="19"/>
      <c r="AC26" s="20"/>
      <c r="AD26" s="27"/>
      <c r="AE26" s="18"/>
      <c r="AF26" s="19"/>
      <c r="AG26" s="20"/>
      <c r="AH26" s="28"/>
      <c r="AI26" s="29"/>
      <c r="AJ26" s="29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/>
      <c r="B27" s="18"/>
      <c r="C27" s="19"/>
      <c r="D27" s="20"/>
      <c r="E27" s="21"/>
      <c r="F27" s="22"/>
      <c r="G27" s="22"/>
      <c r="H27" s="23"/>
      <c r="I27" s="18"/>
      <c r="J27" s="19"/>
      <c r="K27" s="20"/>
      <c r="L27" s="21"/>
      <c r="M27" s="24"/>
      <c r="N27" s="22"/>
      <c r="O27" s="25"/>
      <c r="P27" s="18"/>
      <c r="Q27" s="19"/>
      <c r="R27" s="20"/>
      <c r="S27" s="26"/>
      <c r="T27" s="22"/>
      <c r="U27" s="22"/>
      <c r="V27" s="23"/>
      <c r="W27" s="18"/>
      <c r="X27" s="19"/>
      <c r="Y27" s="20"/>
      <c r="Z27" s="27"/>
      <c r="AA27" s="18"/>
      <c r="AB27" s="19"/>
      <c r="AC27" s="20"/>
      <c r="AD27" s="27"/>
      <c r="AE27" s="18"/>
      <c r="AF27" s="19"/>
      <c r="AG27" s="20"/>
      <c r="AH27" s="28"/>
      <c r="AI27" s="29"/>
      <c r="AJ27" s="29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/>
      <c r="B28" s="18"/>
      <c r="C28" s="19"/>
      <c r="D28" s="20"/>
      <c r="E28" s="21"/>
      <c r="F28" s="22"/>
      <c r="G28" s="22"/>
      <c r="H28" s="23"/>
      <c r="I28" s="18"/>
      <c r="J28" s="19"/>
      <c r="K28" s="20"/>
      <c r="L28" s="21"/>
      <c r="M28" s="24"/>
      <c r="N28" s="22"/>
      <c r="O28" s="25"/>
      <c r="P28" s="18"/>
      <c r="Q28" s="19"/>
      <c r="R28" s="20"/>
      <c r="S28" s="26"/>
      <c r="T28" s="22"/>
      <c r="U28" s="22"/>
      <c r="V28" s="23"/>
      <c r="W28" s="18"/>
      <c r="X28" s="19"/>
      <c r="Y28" s="20"/>
      <c r="Z28" s="27"/>
      <c r="AA28" s="18"/>
      <c r="AB28" s="19"/>
      <c r="AC28" s="20"/>
      <c r="AD28" s="27"/>
      <c r="AE28" s="18"/>
      <c r="AF28" s="19"/>
      <c r="AG28" s="20"/>
      <c r="AH28" s="28"/>
      <c r="AI28" s="29"/>
      <c r="AJ28" s="29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/>
      <c r="B29" s="18"/>
      <c r="C29" s="19"/>
      <c r="D29" s="20"/>
      <c r="E29" s="21"/>
      <c r="F29" s="22"/>
      <c r="G29" s="22"/>
      <c r="H29" s="23"/>
      <c r="I29" s="18"/>
      <c r="J29" s="19"/>
      <c r="K29" s="20"/>
      <c r="L29" s="21"/>
      <c r="M29" s="24"/>
      <c r="N29" s="22"/>
      <c r="O29" s="25"/>
      <c r="P29" s="18"/>
      <c r="Q29" s="19"/>
      <c r="R29" s="20"/>
      <c r="S29" s="26"/>
      <c r="T29" s="22"/>
      <c r="U29" s="22"/>
      <c r="V29" s="23"/>
      <c r="W29" s="18"/>
      <c r="X29" s="19"/>
      <c r="Y29" s="20"/>
      <c r="Z29" s="27"/>
      <c r="AA29" s="18"/>
      <c r="AB29" s="19"/>
      <c r="AC29" s="20"/>
      <c r="AD29" s="27"/>
      <c r="AE29" s="18"/>
      <c r="AF29" s="19"/>
      <c r="AG29" s="20"/>
      <c r="AH29" s="28"/>
      <c r="AI29" s="29"/>
      <c r="AJ29" s="29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/>
      <c r="B30" s="18"/>
      <c r="C30" s="19"/>
      <c r="D30" s="20"/>
      <c r="E30" s="21"/>
      <c r="F30" s="22"/>
      <c r="G30" s="22"/>
      <c r="H30" s="23"/>
      <c r="I30" s="18"/>
      <c r="J30" s="19"/>
      <c r="K30" s="20"/>
      <c r="L30" s="21"/>
      <c r="M30" s="24"/>
      <c r="N30" s="22"/>
      <c r="O30" s="25"/>
      <c r="P30" s="18"/>
      <c r="Q30" s="19"/>
      <c r="R30" s="20"/>
      <c r="S30" s="26"/>
      <c r="T30" s="22"/>
      <c r="U30" s="22"/>
      <c r="V30" s="23"/>
      <c r="W30" s="18"/>
      <c r="X30" s="19"/>
      <c r="Y30" s="20"/>
      <c r="Z30" s="27"/>
      <c r="AA30" s="18"/>
      <c r="AB30" s="19"/>
      <c r="AC30" s="20"/>
      <c r="AD30" s="27"/>
      <c r="AE30" s="18"/>
      <c r="AF30" s="19"/>
      <c r="AG30" s="20"/>
      <c r="AH30" s="28"/>
      <c r="AI30" s="29"/>
      <c r="AJ30" s="29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/>
      <c r="B31" s="18"/>
      <c r="C31" s="19"/>
      <c r="D31" s="20"/>
      <c r="E31" s="21"/>
      <c r="F31" s="22"/>
      <c r="G31" s="22"/>
      <c r="H31" s="23"/>
      <c r="I31" s="18"/>
      <c r="J31" s="19"/>
      <c r="K31" s="20"/>
      <c r="L31" s="21"/>
      <c r="M31" s="24"/>
      <c r="N31" s="22"/>
      <c r="O31" s="25"/>
      <c r="P31" s="18"/>
      <c r="Q31" s="19"/>
      <c r="R31" s="20"/>
      <c r="S31" s="26"/>
      <c r="T31" s="22"/>
      <c r="U31" s="22"/>
      <c r="V31" s="23"/>
      <c r="W31" s="18"/>
      <c r="X31" s="19"/>
      <c r="Y31" s="20"/>
      <c r="Z31" s="27"/>
      <c r="AA31" s="18"/>
      <c r="AB31" s="19"/>
      <c r="AC31" s="20"/>
      <c r="AD31" s="27"/>
      <c r="AE31" s="18"/>
      <c r="AF31" s="19"/>
      <c r="AG31" s="20"/>
      <c r="AH31" s="28"/>
      <c r="AI31" s="29"/>
      <c r="AJ31" s="29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/>
      <c r="B32" s="18"/>
      <c r="C32" s="19"/>
      <c r="D32" s="20"/>
      <c r="E32" s="21"/>
      <c r="F32" s="22"/>
      <c r="G32" s="22"/>
      <c r="H32" s="23"/>
      <c r="I32" s="18"/>
      <c r="J32" s="19"/>
      <c r="K32" s="20"/>
      <c r="L32" s="21"/>
      <c r="M32" s="24"/>
      <c r="N32" s="22"/>
      <c r="O32" s="25"/>
      <c r="P32" s="18"/>
      <c r="Q32" s="19"/>
      <c r="R32" s="20"/>
      <c r="S32" s="26"/>
      <c r="T32" s="22"/>
      <c r="U32" s="22"/>
      <c r="V32" s="23"/>
      <c r="W32" s="18"/>
      <c r="X32" s="19"/>
      <c r="Y32" s="20"/>
      <c r="Z32" s="27"/>
      <c r="AA32" s="18"/>
      <c r="AB32" s="19"/>
      <c r="AC32" s="20"/>
      <c r="AD32" s="27"/>
      <c r="AE32" s="18"/>
      <c r="AF32" s="19"/>
      <c r="AG32" s="20"/>
      <c r="AH32" s="28"/>
      <c r="AI32" s="29"/>
      <c r="AJ32" s="29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/>
      <c r="B33" s="18"/>
      <c r="C33" s="19"/>
      <c r="D33" s="20"/>
      <c r="E33" s="21"/>
      <c r="F33" s="22"/>
      <c r="G33" s="22"/>
      <c r="H33" s="23"/>
      <c r="I33" s="18"/>
      <c r="J33" s="19"/>
      <c r="K33" s="20"/>
      <c r="L33" s="21"/>
      <c r="M33" s="24"/>
      <c r="N33" s="22"/>
      <c r="O33" s="25"/>
      <c r="P33" s="18"/>
      <c r="Q33" s="19"/>
      <c r="R33" s="20"/>
      <c r="S33" s="26"/>
      <c r="T33" s="22"/>
      <c r="U33" s="22"/>
      <c r="V33" s="23"/>
      <c r="W33" s="18"/>
      <c r="X33" s="19"/>
      <c r="Y33" s="20"/>
      <c r="Z33" s="27"/>
      <c r="AA33" s="18"/>
      <c r="AB33" s="19"/>
      <c r="AC33" s="20"/>
      <c r="AD33" s="27"/>
      <c r="AE33" s="18"/>
      <c r="AF33" s="19"/>
      <c r="AG33" s="20"/>
      <c r="AH33" s="28"/>
      <c r="AI33" s="29"/>
      <c r="AJ33" s="29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/>
      <c r="B34" s="18"/>
      <c r="C34" s="19"/>
      <c r="D34" s="20"/>
      <c r="E34" s="21"/>
      <c r="F34" s="22"/>
      <c r="G34" s="22"/>
      <c r="H34" s="23"/>
      <c r="I34" s="18"/>
      <c r="J34" s="19"/>
      <c r="K34" s="20"/>
      <c r="L34" s="21"/>
      <c r="M34" s="24"/>
      <c r="N34" s="22"/>
      <c r="O34" s="25"/>
      <c r="P34" s="18"/>
      <c r="Q34" s="19"/>
      <c r="R34" s="20"/>
      <c r="S34" s="26"/>
      <c r="T34" s="22"/>
      <c r="U34" s="22"/>
      <c r="V34" s="23"/>
      <c r="W34" s="18"/>
      <c r="X34" s="19"/>
      <c r="Y34" s="20"/>
      <c r="Z34" s="27"/>
      <c r="AA34" s="18"/>
      <c r="AB34" s="19"/>
      <c r="AC34" s="20"/>
      <c r="AD34" s="27"/>
      <c r="AE34" s="18"/>
      <c r="AF34" s="19"/>
      <c r="AG34" s="20"/>
      <c r="AH34" s="28"/>
      <c r="AI34" s="29"/>
      <c r="AJ34" s="29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/>
      <c r="B35" s="18"/>
      <c r="C35" s="19"/>
      <c r="D35" s="20"/>
      <c r="E35" s="21"/>
      <c r="F35" s="22"/>
      <c r="G35" s="22"/>
      <c r="H35" s="23"/>
      <c r="I35" s="18"/>
      <c r="J35" s="19"/>
      <c r="K35" s="20"/>
      <c r="L35" s="21"/>
      <c r="M35" s="24"/>
      <c r="N35" s="22"/>
      <c r="O35" s="25"/>
      <c r="P35" s="18"/>
      <c r="Q35" s="19"/>
      <c r="R35" s="20"/>
      <c r="S35" s="26"/>
      <c r="T35" s="22"/>
      <c r="U35" s="22"/>
      <c r="V35" s="23"/>
      <c r="W35" s="18"/>
      <c r="X35" s="19"/>
      <c r="Y35" s="20"/>
      <c r="Z35" s="27"/>
      <c r="AA35" s="18"/>
      <c r="AB35" s="19"/>
      <c r="AC35" s="20"/>
      <c r="AD35" s="27"/>
      <c r="AE35" s="18"/>
      <c r="AF35" s="19"/>
      <c r="AG35" s="20"/>
      <c r="AH35" s="28"/>
      <c r="AI35" s="29"/>
      <c r="AJ35" s="29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/>
      <c r="B36" s="18"/>
      <c r="C36" s="19"/>
      <c r="D36" s="20"/>
      <c r="E36" s="21"/>
      <c r="F36" s="22"/>
      <c r="G36" s="22"/>
      <c r="H36" s="23"/>
      <c r="I36" s="18"/>
      <c r="J36" s="19"/>
      <c r="K36" s="20"/>
      <c r="L36" s="21"/>
      <c r="M36" s="24"/>
      <c r="N36" s="22"/>
      <c r="O36" s="25"/>
      <c r="P36" s="18"/>
      <c r="Q36" s="19"/>
      <c r="R36" s="20"/>
      <c r="S36" s="26"/>
      <c r="T36" s="22"/>
      <c r="U36" s="22"/>
      <c r="V36" s="23"/>
      <c r="W36" s="18"/>
      <c r="X36" s="19"/>
      <c r="Y36" s="20"/>
      <c r="Z36" s="27"/>
      <c r="AA36" s="18"/>
      <c r="AB36" s="19"/>
      <c r="AC36" s="20"/>
      <c r="AD36" s="27"/>
      <c r="AE36" s="18"/>
      <c r="AF36" s="19"/>
      <c r="AG36" s="20"/>
      <c r="AH36" s="28"/>
      <c r="AI36" s="29"/>
      <c r="AJ36" s="29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/>
      <c r="B37" s="18"/>
      <c r="C37" s="19"/>
      <c r="D37" s="20"/>
      <c r="E37" s="21"/>
      <c r="F37" s="22"/>
      <c r="G37" s="22"/>
      <c r="H37" s="23"/>
      <c r="I37" s="18"/>
      <c r="J37" s="19"/>
      <c r="K37" s="20"/>
      <c r="L37" s="21"/>
      <c r="M37" s="24"/>
      <c r="N37" s="22"/>
      <c r="O37" s="25"/>
      <c r="P37" s="18"/>
      <c r="Q37" s="19"/>
      <c r="R37" s="20"/>
      <c r="S37" s="26"/>
      <c r="T37" s="22"/>
      <c r="U37" s="22"/>
      <c r="V37" s="23"/>
      <c r="W37" s="18"/>
      <c r="X37" s="19"/>
      <c r="Y37" s="20"/>
      <c r="Z37" s="27"/>
      <c r="AA37" s="18"/>
      <c r="AB37" s="19"/>
      <c r="AC37" s="20"/>
      <c r="AD37" s="27"/>
      <c r="AE37" s="18"/>
      <c r="AF37" s="19"/>
      <c r="AG37" s="20"/>
      <c r="AH37" s="28"/>
      <c r="AI37" s="29"/>
      <c r="AJ37" s="29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18"/>
      <c r="C38" s="19"/>
      <c r="D38" s="20"/>
      <c r="E38" s="21"/>
      <c r="F38" s="22"/>
      <c r="G38" s="22"/>
      <c r="H38" s="23"/>
      <c r="I38" s="18"/>
      <c r="J38" s="19"/>
      <c r="K38" s="20"/>
      <c r="L38" s="21"/>
      <c r="M38" s="24"/>
      <c r="N38" s="22"/>
      <c r="O38" s="25"/>
      <c r="P38" s="18"/>
      <c r="Q38" s="19"/>
      <c r="R38" s="20"/>
      <c r="S38" s="26"/>
      <c r="T38" s="22"/>
      <c r="U38" s="22"/>
      <c r="V38" s="23"/>
      <c r="W38" s="18"/>
      <c r="X38" s="19"/>
      <c r="Y38" s="20"/>
      <c r="Z38" s="27"/>
      <c r="AA38" s="18"/>
      <c r="AB38" s="19"/>
      <c r="AC38" s="20"/>
      <c r="AD38" s="27"/>
      <c r="AE38" s="18"/>
      <c r="AF38" s="19"/>
      <c r="AG38" s="20"/>
      <c r="AH38" s="28"/>
      <c r="AI38" s="29"/>
      <c r="AJ38" s="29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18"/>
      <c r="C39" s="19"/>
      <c r="D39" s="20"/>
      <c r="E39" s="21"/>
      <c r="F39" s="22"/>
      <c r="G39" s="22"/>
      <c r="H39" s="23"/>
      <c r="I39" s="18"/>
      <c r="J39" s="19"/>
      <c r="K39" s="20"/>
      <c r="L39" s="21"/>
      <c r="M39" s="24"/>
      <c r="N39" s="22"/>
      <c r="O39" s="25"/>
      <c r="P39" s="18"/>
      <c r="Q39" s="19"/>
      <c r="R39" s="20"/>
      <c r="S39" s="26"/>
      <c r="T39" s="22"/>
      <c r="U39" s="22"/>
      <c r="V39" s="23"/>
      <c r="W39" s="18"/>
      <c r="X39" s="19"/>
      <c r="Y39" s="20"/>
      <c r="Z39" s="27"/>
      <c r="AA39" s="18"/>
      <c r="AB39" s="19"/>
      <c r="AC39" s="20"/>
      <c r="AD39" s="27"/>
      <c r="AE39" s="18"/>
      <c r="AF39" s="19"/>
      <c r="AG39" s="20"/>
      <c r="AH39" s="28"/>
      <c r="AI39" s="29"/>
      <c r="AJ39" s="29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18"/>
      <c r="C40" s="19"/>
      <c r="D40" s="20"/>
      <c r="E40" s="21"/>
      <c r="F40" s="22"/>
      <c r="G40" s="22"/>
      <c r="H40" s="23"/>
      <c r="I40" s="18"/>
      <c r="J40" s="19"/>
      <c r="K40" s="20"/>
      <c r="L40" s="21"/>
      <c r="M40" s="24"/>
      <c r="N40" s="22"/>
      <c r="O40" s="25"/>
      <c r="P40" s="18"/>
      <c r="Q40" s="19"/>
      <c r="R40" s="20"/>
      <c r="S40" s="26"/>
      <c r="T40" s="22"/>
      <c r="U40" s="22"/>
      <c r="V40" s="23"/>
      <c r="W40" s="18"/>
      <c r="X40" s="19"/>
      <c r="Y40" s="20"/>
      <c r="Z40" s="27"/>
      <c r="AA40" s="18"/>
      <c r="AB40" s="19"/>
      <c r="AC40" s="20"/>
      <c r="AD40" s="27"/>
      <c r="AE40" s="18"/>
      <c r="AF40" s="19"/>
      <c r="AG40" s="20"/>
      <c r="AH40" s="28"/>
      <c r="AI40" s="29"/>
      <c r="AJ40" s="29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18"/>
      <c r="C41" s="19"/>
      <c r="D41" s="20"/>
      <c r="E41" s="21"/>
      <c r="F41" s="22"/>
      <c r="G41" s="22"/>
      <c r="H41" s="23"/>
      <c r="I41" s="18"/>
      <c r="J41" s="19"/>
      <c r="K41" s="20"/>
      <c r="L41" s="21"/>
      <c r="M41" s="24"/>
      <c r="N41" s="22"/>
      <c r="O41" s="25"/>
      <c r="P41" s="18"/>
      <c r="Q41" s="19"/>
      <c r="R41" s="20"/>
      <c r="S41" s="26"/>
      <c r="T41" s="22"/>
      <c r="U41" s="22"/>
      <c r="V41" s="23"/>
      <c r="W41" s="18"/>
      <c r="X41" s="19"/>
      <c r="Y41" s="20"/>
      <c r="Z41" s="27"/>
      <c r="AA41" s="18"/>
      <c r="AB41" s="19"/>
      <c r="AC41" s="20"/>
      <c r="AD41" s="27"/>
      <c r="AE41" s="18"/>
      <c r="AF41" s="19"/>
      <c r="AG41" s="20"/>
      <c r="AH41" s="28"/>
      <c r="AI41" s="29"/>
      <c r="AJ41" s="29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18"/>
      <c r="C42" s="19"/>
      <c r="D42" s="20"/>
      <c r="E42" s="21"/>
      <c r="F42" s="22"/>
      <c r="G42" s="22"/>
      <c r="H42" s="23"/>
      <c r="I42" s="18"/>
      <c r="J42" s="19"/>
      <c r="K42" s="20"/>
      <c r="L42" s="21"/>
      <c r="M42" s="24"/>
      <c r="N42" s="22"/>
      <c r="O42" s="25"/>
      <c r="P42" s="18"/>
      <c r="Q42" s="19"/>
      <c r="R42" s="20"/>
      <c r="S42" s="26"/>
      <c r="T42" s="22"/>
      <c r="U42" s="22"/>
      <c r="V42" s="23"/>
      <c r="W42" s="18"/>
      <c r="X42" s="19"/>
      <c r="Y42" s="20"/>
      <c r="Z42" s="27"/>
      <c r="AA42" s="18"/>
      <c r="AB42" s="19"/>
      <c r="AC42" s="20"/>
      <c r="AD42" s="27"/>
      <c r="AE42" s="18"/>
      <c r="AF42" s="19"/>
      <c r="AG42" s="20"/>
      <c r="AH42" s="28"/>
      <c r="AI42" s="29"/>
      <c r="AJ42" s="29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18"/>
      <c r="C43" s="19"/>
      <c r="D43" s="20"/>
      <c r="E43" s="21"/>
      <c r="F43" s="22"/>
      <c r="G43" s="22"/>
      <c r="H43" s="23"/>
      <c r="I43" s="18"/>
      <c r="J43" s="19"/>
      <c r="K43" s="20"/>
      <c r="L43" s="21"/>
      <c r="M43" s="24"/>
      <c r="N43" s="22"/>
      <c r="O43" s="25"/>
      <c r="P43" s="18"/>
      <c r="Q43" s="19"/>
      <c r="R43" s="20"/>
      <c r="S43" s="26"/>
      <c r="T43" s="22"/>
      <c r="U43" s="22"/>
      <c r="V43" s="23"/>
      <c r="W43" s="18"/>
      <c r="X43" s="19"/>
      <c r="Y43" s="20"/>
      <c r="Z43" s="27"/>
      <c r="AA43" s="18"/>
      <c r="AB43" s="19"/>
      <c r="AC43" s="20"/>
      <c r="AD43" s="27"/>
      <c r="AE43" s="18"/>
      <c r="AF43" s="19"/>
      <c r="AG43" s="20"/>
      <c r="AH43" s="28"/>
      <c r="AI43" s="29"/>
      <c r="AJ43" s="29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18"/>
      <c r="C44" s="19"/>
      <c r="D44" s="20"/>
      <c r="E44" s="21"/>
      <c r="F44" s="22"/>
      <c r="G44" s="22"/>
      <c r="H44" s="23"/>
      <c r="I44" s="18"/>
      <c r="J44" s="19"/>
      <c r="K44" s="20"/>
      <c r="L44" s="21"/>
      <c r="M44" s="24"/>
      <c r="N44" s="22"/>
      <c r="O44" s="25"/>
      <c r="P44" s="18"/>
      <c r="Q44" s="19"/>
      <c r="R44" s="20"/>
      <c r="S44" s="26"/>
      <c r="T44" s="22"/>
      <c r="U44" s="22"/>
      <c r="V44" s="23"/>
      <c r="W44" s="18"/>
      <c r="X44" s="19"/>
      <c r="Y44" s="20"/>
      <c r="Z44" s="27"/>
      <c r="AA44" s="18"/>
      <c r="AB44" s="19"/>
      <c r="AC44" s="20"/>
      <c r="AD44" s="27"/>
      <c r="AE44" s="18"/>
      <c r="AF44" s="19"/>
      <c r="AG44" s="20"/>
      <c r="AH44" s="28"/>
      <c r="AI44" s="29"/>
      <c r="AJ44" s="29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18"/>
      <c r="C45" s="19"/>
      <c r="D45" s="20"/>
      <c r="E45" s="21"/>
      <c r="F45" s="22"/>
      <c r="G45" s="22"/>
      <c r="H45" s="23"/>
      <c r="I45" s="18"/>
      <c r="J45" s="19"/>
      <c r="K45" s="20"/>
      <c r="L45" s="21"/>
      <c r="M45" s="24"/>
      <c r="N45" s="22"/>
      <c r="O45" s="25"/>
      <c r="P45" s="18"/>
      <c r="Q45" s="19"/>
      <c r="R45" s="20"/>
      <c r="S45" s="26"/>
      <c r="T45" s="22"/>
      <c r="U45" s="22"/>
      <c r="V45" s="23"/>
      <c r="W45" s="18"/>
      <c r="X45" s="19"/>
      <c r="Y45" s="20"/>
      <c r="Z45" s="27"/>
      <c r="AA45" s="18"/>
      <c r="AB45" s="19"/>
      <c r="AC45" s="20"/>
      <c r="AD45" s="27"/>
      <c r="AE45" s="18"/>
      <c r="AF45" s="19"/>
      <c r="AG45" s="20"/>
      <c r="AH45" s="28"/>
      <c r="AI45" s="29"/>
      <c r="AJ45" s="29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18"/>
      <c r="C46" s="19"/>
      <c r="D46" s="20"/>
      <c r="E46" s="21"/>
      <c r="F46" s="22"/>
      <c r="G46" s="22"/>
      <c r="H46" s="23"/>
      <c r="I46" s="18"/>
      <c r="J46" s="19"/>
      <c r="K46" s="20"/>
      <c r="L46" s="21"/>
      <c r="M46" s="24"/>
      <c r="N46" s="22"/>
      <c r="O46" s="25"/>
      <c r="P46" s="18"/>
      <c r="Q46" s="19"/>
      <c r="R46" s="20"/>
      <c r="S46" s="26"/>
      <c r="T46" s="22"/>
      <c r="U46" s="22"/>
      <c r="V46" s="23"/>
      <c r="W46" s="18"/>
      <c r="X46" s="19"/>
      <c r="Y46" s="20"/>
      <c r="Z46" s="27"/>
      <c r="AA46" s="18"/>
      <c r="AB46" s="19"/>
      <c r="AC46" s="20"/>
      <c r="AD46" s="27"/>
      <c r="AE46" s="18"/>
      <c r="AF46" s="19"/>
      <c r="AG46" s="20"/>
      <c r="AH46" s="28"/>
      <c r="AI46" s="29"/>
      <c r="AJ46" s="29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18"/>
      <c r="C47" s="19"/>
      <c r="D47" s="20"/>
      <c r="E47" s="21"/>
      <c r="F47" s="22"/>
      <c r="G47" s="22"/>
      <c r="H47" s="23"/>
      <c r="I47" s="18"/>
      <c r="J47" s="19"/>
      <c r="K47" s="20"/>
      <c r="L47" s="21"/>
      <c r="M47" s="24"/>
      <c r="N47" s="22"/>
      <c r="O47" s="25"/>
      <c r="P47" s="18"/>
      <c r="Q47" s="19"/>
      <c r="R47" s="20"/>
      <c r="S47" s="26"/>
      <c r="T47" s="22"/>
      <c r="U47" s="22"/>
      <c r="V47" s="23"/>
      <c r="W47" s="18"/>
      <c r="X47" s="19"/>
      <c r="Y47" s="20"/>
      <c r="Z47" s="27"/>
      <c r="AA47" s="18"/>
      <c r="AB47" s="19"/>
      <c r="AC47" s="20"/>
      <c r="AD47" s="27"/>
      <c r="AE47" s="18"/>
      <c r="AF47" s="19"/>
      <c r="AG47" s="20"/>
      <c r="AH47" s="28"/>
      <c r="AI47" s="29"/>
      <c r="AJ47" s="29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18"/>
      <c r="C48" s="19"/>
      <c r="D48" s="20"/>
      <c r="E48" s="21"/>
      <c r="F48" s="22"/>
      <c r="G48" s="22"/>
      <c r="H48" s="23"/>
      <c r="I48" s="18"/>
      <c r="J48" s="19"/>
      <c r="K48" s="20"/>
      <c r="L48" s="21"/>
      <c r="M48" s="24"/>
      <c r="N48" s="22"/>
      <c r="O48" s="25"/>
      <c r="P48" s="18"/>
      <c r="Q48" s="19"/>
      <c r="R48" s="20"/>
      <c r="S48" s="26"/>
      <c r="T48" s="22"/>
      <c r="U48" s="22"/>
      <c r="V48" s="23"/>
      <c r="W48" s="18"/>
      <c r="X48" s="19"/>
      <c r="Y48" s="20"/>
      <c r="Z48" s="27"/>
      <c r="AA48" s="18"/>
      <c r="AB48" s="19"/>
      <c r="AC48" s="20"/>
      <c r="AD48" s="27"/>
      <c r="AE48" s="18"/>
      <c r="AF48" s="19"/>
      <c r="AG48" s="20"/>
      <c r="AH48" s="28"/>
      <c r="AI48" s="29"/>
      <c r="AJ48" s="29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18"/>
      <c r="C49" s="19"/>
      <c r="D49" s="20"/>
      <c r="E49" s="21"/>
      <c r="F49" s="22"/>
      <c r="G49" s="22"/>
      <c r="H49" s="23"/>
      <c r="I49" s="18"/>
      <c r="J49" s="19"/>
      <c r="K49" s="20"/>
      <c r="L49" s="21"/>
      <c r="M49" s="24"/>
      <c r="N49" s="22"/>
      <c r="O49" s="25"/>
      <c r="P49" s="18"/>
      <c r="Q49" s="19"/>
      <c r="R49" s="20"/>
      <c r="S49" s="26"/>
      <c r="T49" s="22"/>
      <c r="U49" s="22"/>
      <c r="V49" s="23"/>
      <c r="W49" s="18"/>
      <c r="X49" s="19"/>
      <c r="Y49" s="20"/>
      <c r="Z49" s="27"/>
      <c r="AA49" s="18"/>
      <c r="AB49" s="19"/>
      <c r="AC49" s="20"/>
      <c r="AD49" s="27"/>
      <c r="AE49" s="18"/>
      <c r="AF49" s="19"/>
      <c r="AG49" s="20"/>
      <c r="AH49" s="28"/>
      <c r="AI49" s="29"/>
      <c r="AJ49" s="29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18"/>
      <c r="C50" s="19"/>
      <c r="D50" s="20"/>
      <c r="E50" s="21"/>
      <c r="F50" s="22"/>
      <c r="G50" s="22"/>
      <c r="H50" s="23"/>
      <c r="I50" s="18"/>
      <c r="J50" s="19"/>
      <c r="K50" s="20"/>
      <c r="L50" s="21"/>
      <c r="M50" s="24"/>
      <c r="N50" s="22"/>
      <c r="O50" s="25"/>
      <c r="P50" s="18"/>
      <c r="Q50" s="19"/>
      <c r="R50" s="20"/>
      <c r="S50" s="26"/>
      <c r="T50" s="22"/>
      <c r="U50" s="22"/>
      <c r="V50" s="23"/>
      <c r="W50" s="18"/>
      <c r="X50" s="19"/>
      <c r="Y50" s="20"/>
      <c r="Z50" s="27"/>
      <c r="AA50" s="18"/>
      <c r="AB50" s="19"/>
      <c r="AC50" s="20"/>
      <c r="AD50" s="27"/>
      <c r="AE50" s="18"/>
      <c r="AF50" s="19"/>
      <c r="AG50" s="20"/>
      <c r="AH50" s="28"/>
      <c r="AI50" s="29"/>
      <c r="AJ50" s="29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18"/>
      <c r="C51" s="19"/>
      <c r="D51" s="20"/>
      <c r="E51" s="21"/>
      <c r="F51" s="22"/>
      <c r="G51" s="22"/>
      <c r="H51" s="23"/>
      <c r="I51" s="18"/>
      <c r="J51" s="19"/>
      <c r="K51" s="20"/>
      <c r="L51" s="21"/>
      <c r="M51" s="24"/>
      <c r="N51" s="22"/>
      <c r="O51" s="25"/>
      <c r="P51" s="18"/>
      <c r="Q51" s="19"/>
      <c r="R51" s="20"/>
      <c r="S51" s="26"/>
      <c r="T51" s="22"/>
      <c r="U51" s="22"/>
      <c r="V51" s="23"/>
      <c r="W51" s="18"/>
      <c r="X51" s="19"/>
      <c r="Y51" s="20"/>
      <c r="Z51" s="27"/>
      <c r="AA51" s="18"/>
      <c r="AB51" s="19"/>
      <c r="AC51" s="20"/>
      <c r="AD51" s="27"/>
      <c r="AE51" s="18"/>
      <c r="AF51" s="19"/>
      <c r="AG51" s="20"/>
      <c r="AH51" s="28"/>
      <c r="AI51" s="29"/>
      <c r="AJ51" s="29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18"/>
      <c r="C52" s="19"/>
      <c r="D52" s="20"/>
      <c r="E52" s="21"/>
      <c r="F52" s="22"/>
      <c r="G52" s="22"/>
      <c r="H52" s="23"/>
      <c r="I52" s="18"/>
      <c r="J52" s="19"/>
      <c r="K52" s="20"/>
      <c r="L52" s="21"/>
      <c r="M52" s="24"/>
      <c r="N52" s="22"/>
      <c r="O52" s="25"/>
      <c r="P52" s="18"/>
      <c r="Q52" s="19"/>
      <c r="R52" s="20"/>
      <c r="S52" s="26"/>
      <c r="T52" s="22"/>
      <c r="U52" s="22"/>
      <c r="V52" s="23"/>
      <c r="W52" s="18"/>
      <c r="X52" s="19"/>
      <c r="Y52" s="20"/>
      <c r="Z52" s="27"/>
      <c r="AA52" s="18"/>
      <c r="AB52" s="19"/>
      <c r="AC52" s="20"/>
      <c r="AD52" s="27"/>
      <c r="AE52" s="18"/>
      <c r="AF52" s="19"/>
      <c r="AG52" s="20"/>
      <c r="AH52" s="28"/>
      <c r="AI52" s="29"/>
      <c r="AJ52" s="29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18"/>
      <c r="C53" s="19"/>
      <c r="D53" s="20"/>
      <c r="E53" s="21"/>
      <c r="F53" s="22"/>
      <c r="G53" s="22"/>
      <c r="H53" s="23"/>
      <c r="I53" s="18"/>
      <c r="J53" s="19"/>
      <c r="K53" s="20"/>
      <c r="L53" s="21"/>
      <c r="M53" s="24"/>
      <c r="N53" s="22"/>
      <c r="O53" s="25"/>
      <c r="P53" s="18"/>
      <c r="Q53" s="19"/>
      <c r="R53" s="20"/>
      <c r="S53" s="26"/>
      <c r="T53" s="22"/>
      <c r="U53" s="22"/>
      <c r="V53" s="23"/>
      <c r="W53" s="18"/>
      <c r="X53" s="19"/>
      <c r="Y53" s="20"/>
      <c r="Z53" s="27"/>
      <c r="AA53" s="18"/>
      <c r="AB53" s="19"/>
      <c r="AC53" s="20"/>
      <c r="AD53" s="27"/>
      <c r="AE53" s="18"/>
      <c r="AF53" s="19"/>
      <c r="AG53" s="20"/>
      <c r="AH53" s="28"/>
      <c r="AI53" s="29"/>
      <c r="AJ53" s="29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18"/>
      <c r="C54" s="19"/>
      <c r="D54" s="20"/>
      <c r="E54" s="21"/>
      <c r="F54" s="22"/>
      <c r="G54" s="22"/>
      <c r="H54" s="23"/>
      <c r="I54" s="18"/>
      <c r="J54" s="19"/>
      <c r="K54" s="20"/>
      <c r="L54" s="21"/>
      <c r="M54" s="24"/>
      <c r="N54" s="22"/>
      <c r="O54" s="25"/>
      <c r="P54" s="18"/>
      <c r="Q54" s="19"/>
      <c r="R54" s="20"/>
      <c r="S54" s="26"/>
      <c r="T54" s="22"/>
      <c r="U54" s="22"/>
      <c r="V54" s="23"/>
      <c r="W54" s="18"/>
      <c r="X54" s="19"/>
      <c r="Y54" s="20"/>
      <c r="Z54" s="27"/>
      <c r="AA54" s="18"/>
      <c r="AB54" s="19"/>
      <c r="AC54" s="20"/>
      <c r="AD54" s="27"/>
      <c r="AE54" s="18"/>
      <c r="AF54" s="19"/>
      <c r="AG54" s="20"/>
      <c r="AH54" s="28"/>
      <c r="AI54" s="29"/>
      <c r="AJ54" s="29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18"/>
      <c r="C55" s="19"/>
      <c r="D55" s="20"/>
      <c r="E55" s="21"/>
      <c r="F55" s="22"/>
      <c r="G55" s="22"/>
      <c r="H55" s="23"/>
      <c r="I55" s="18"/>
      <c r="J55" s="19"/>
      <c r="K55" s="20"/>
      <c r="L55" s="21"/>
      <c r="M55" s="24"/>
      <c r="N55" s="22"/>
      <c r="O55" s="25"/>
      <c r="P55" s="18"/>
      <c r="Q55" s="19"/>
      <c r="R55" s="20"/>
      <c r="S55" s="26"/>
      <c r="T55" s="22"/>
      <c r="U55" s="22"/>
      <c r="V55" s="23"/>
      <c r="W55" s="18"/>
      <c r="X55" s="19"/>
      <c r="Y55" s="20"/>
      <c r="Z55" s="27"/>
      <c r="AA55" s="18"/>
      <c r="AB55" s="19"/>
      <c r="AC55" s="20"/>
      <c r="AD55" s="27"/>
      <c r="AE55" s="18"/>
      <c r="AF55" s="19"/>
      <c r="AG55" s="20"/>
      <c r="AH55" s="28"/>
      <c r="AI55" s="29"/>
      <c r="AJ55" s="29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18"/>
      <c r="C56" s="19"/>
      <c r="D56" s="20"/>
      <c r="E56" s="21"/>
      <c r="F56" s="22"/>
      <c r="G56" s="22"/>
      <c r="H56" s="23"/>
      <c r="I56" s="18"/>
      <c r="J56" s="19"/>
      <c r="K56" s="20"/>
      <c r="L56" s="21"/>
      <c r="M56" s="24"/>
      <c r="N56" s="22"/>
      <c r="O56" s="25"/>
      <c r="P56" s="18"/>
      <c r="Q56" s="19"/>
      <c r="R56" s="20"/>
      <c r="S56" s="26"/>
      <c r="T56" s="22"/>
      <c r="U56" s="22"/>
      <c r="V56" s="23"/>
      <c r="W56" s="18"/>
      <c r="X56" s="19"/>
      <c r="Y56" s="20"/>
      <c r="Z56" s="27"/>
      <c r="AA56" s="18"/>
      <c r="AB56" s="19"/>
      <c r="AC56" s="20"/>
      <c r="AD56" s="27"/>
      <c r="AE56" s="18"/>
      <c r="AF56" s="19"/>
      <c r="AG56" s="20"/>
      <c r="AH56" s="28"/>
      <c r="AI56" s="29"/>
      <c r="AJ56" s="29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18"/>
      <c r="C57" s="19"/>
      <c r="D57" s="20"/>
      <c r="E57" s="21"/>
      <c r="F57" s="22"/>
      <c r="G57" s="22"/>
      <c r="H57" s="23"/>
      <c r="I57" s="18"/>
      <c r="J57" s="19"/>
      <c r="K57" s="20"/>
      <c r="L57" s="21"/>
      <c r="M57" s="24"/>
      <c r="N57" s="22"/>
      <c r="O57" s="25"/>
      <c r="P57" s="18"/>
      <c r="Q57" s="19"/>
      <c r="R57" s="20"/>
      <c r="S57" s="26"/>
      <c r="T57" s="22"/>
      <c r="U57" s="22"/>
      <c r="V57" s="23"/>
      <c r="W57" s="18"/>
      <c r="X57" s="19"/>
      <c r="Y57" s="20"/>
      <c r="Z57" s="27"/>
      <c r="AA57" s="18"/>
      <c r="AB57" s="19"/>
      <c r="AC57" s="20"/>
      <c r="AD57" s="27"/>
      <c r="AE57" s="18"/>
      <c r="AF57" s="19"/>
      <c r="AG57" s="20"/>
      <c r="AH57" s="28"/>
      <c r="AI57" s="29"/>
      <c r="AJ57" s="29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18"/>
      <c r="C58" s="19"/>
      <c r="D58" s="20"/>
      <c r="E58" s="21"/>
      <c r="F58" s="22"/>
      <c r="G58" s="22"/>
      <c r="H58" s="23"/>
      <c r="I58" s="18"/>
      <c r="J58" s="19"/>
      <c r="K58" s="20"/>
      <c r="L58" s="21"/>
      <c r="M58" s="24"/>
      <c r="N58" s="22"/>
      <c r="O58" s="25"/>
      <c r="P58" s="18"/>
      <c r="Q58" s="19"/>
      <c r="R58" s="20"/>
      <c r="S58" s="26"/>
      <c r="T58" s="22"/>
      <c r="U58" s="22"/>
      <c r="V58" s="23"/>
      <c r="W58" s="18"/>
      <c r="X58" s="19"/>
      <c r="Y58" s="20"/>
      <c r="Z58" s="27"/>
      <c r="AA58" s="18"/>
      <c r="AB58" s="19"/>
      <c r="AC58" s="20"/>
      <c r="AD58" s="27"/>
      <c r="AE58" s="18"/>
      <c r="AF58" s="19"/>
      <c r="AG58" s="20"/>
      <c r="AH58" s="28"/>
      <c r="AI58" s="29"/>
      <c r="AJ58" s="29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18"/>
      <c r="C59" s="19"/>
      <c r="D59" s="20"/>
      <c r="E59" s="21"/>
      <c r="F59" s="22"/>
      <c r="G59" s="22"/>
      <c r="H59" s="23"/>
      <c r="I59" s="18"/>
      <c r="J59" s="19"/>
      <c r="K59" s="20"/>
      <c r="L59" s="21"/>
      <c r="M59" s="24"/>
      <c r="N59" s="22"/>
      <c r="O59" s="25"/>
      <c r="P59" s="18"/>
      <c r="Q59" s="19"/>
      <c r="R59" s="20"/>
      <c r="S59" s="26"/>
      <c r="T59" s="22"/>
      <c r="U59" s="22"/>
      <c r="V59" s="23"/>
      <c r="W59" s="18"/>
      <c r="X59" s="19"/>
      <c r="Y59" s="20"/>
      <c r="Z59" s="27"/>
      <c r="AA59" s="18"/>
      <c r="AB59" s="19"/>
      <c r="AC59" s="20"/>
      <c r="AD59" s="27"/>
      <c r="AE59" s="18"/>
      <c r="AF59" s="19"/>
      <c r="AG59" s="20"/>
      <c r="AH59" s="28"/>
      <c r="AI59" s="29"/>
      <c r="AJ59" s="29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18"/>
      <c r="C60" s="19"/>
      <c r="D60" s="20"/>
      <c r="E60" s="21"/>
      <c r="F60" s="22"/>
      <c r="G60" s="22"/>
      <c r="H60" s="23"/>
      <c r="I60" s="18"/>
      <c r="J60" s="19"/>
      <c r="K60" s="20"/>
      <c r="L60" s="21"/>
      <c r="M60" s="24"/>
      <c r="N60" s="22"/>
      <c r="O60" s="25"/>
      <c r="P60" s="18"/>
      <c r="Q60" s="19"/>
      <c r="R60" s="20"/>
      <c r="S60" s="26"/>
      <c r="T60" s="22"/>
      <c r="U60" s="22"/>
      <c r="V60" s="23"/>
      <c r="W60" s="18"/>
      <c r="X60" s="19"/>
      <c r="Y60" s="20"/>
      <c r="Z60" s="27"/>
      <c r="AA60" s="18"/>
      <c r="AB60" s="19"/>
      <c r="AC60" s="20"/>
      <c r="AD60" s="27"/>
      <c r="AE60" s="18"/>
      <c r="AF60" s="19"/>
      <c r="AG60" s="20"/>
      <c r="AH60" s="28"/>
      <c r="AI60" s="29"/>
      <c r="AJ60" s="29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18"/>
      <c r="C61" s="19"/>
      <c r="D61" s="20"/>
      <c r="E61" s="21"/>
      <c r="F61" s="22"/>
      <c r="G61" s="22"/>
      <c r="H61" s="23"/>
      <c r="I61" s="18"/>
      <c r="J61" s="19"/>
      <c r="K61" s="20"/>
      <c r="L61" s="21"/>
      <c r="M61" s="24"/>
      <c r="N61" s="22"/>
      <c r="O61" s="25"/>
      <c r="P61" s="18"/>
      <c r="Q61" s="19"/>
      <c r="R61" s="20"/>
      <c r="S61" s="26"/>
      <c r="T61" s="22"/>
      <c r="U61" s="22"/>
      <c r="V61" s="23"/>
      <c r="W61" s="18"/>
      <c r="X61" s="19"/>
      <c r="Y61" s="20"/>
      <c r="Z61" s="27"/>
      <c r="AA61" s="18"/>
      <c r="AB61" s="19"/>
      <c r="AC61" s="20"/>
      <c r="AD61" s="27"/>
      <c r="AE61" s="18"/>
      <c r="AF61" s="19"/>
      <c r="AG61" s="20"/>
      <c r="AH61" s="28"/>
      <c r="AI61" s="29"/>
      <c r="AJ61" s="29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18"/>
      <c r="C62" s="19"/>
      <c r="D62" s="20"/>
      <c r="E62" s="21"/>
      <c r="F62" s="22"/>
      <c r="G62" s="22"/>
      <c r="H62" s="23"/>
      <c r="I62" s="18"/>
      <c r="J62" s="19"/>
      <c r="K62" s="20"/>
      <c r="L62" s="21"/>
      <c r="M62" s="24"/>
      <c r="N62" s="22"/>
      <c r="O62" s="25"/>
      <c r="P62" s="18"/>
      <c r="Q62" s="19"/>
      <c r="R62" s="20"/>
      <c r="S62" s="26"/>
      <c r="T62" s="22"/>
      <c r="U62" s="22"/>
      <c r="V62" s="23"/>
      <c r="W62" s="18"/>
      <c r="X62" s="19"/>
      <c r="Y62" s="20"/>
      <c r="Z62" s="27"/>
      <c r="AA62" s="18"/>
      <c r="AB62" s="19"/>
      <c r="AC62" s="20"/>
      <c r="AD62" s="27"/>
      <c r="AE62" s="18"/>
      <c r="AF62" s="19"/>
      <c r="AG62" s="20"/>
      <c r="AH62" s="28"/>
      <c r="AI62" s="29"/>
      <c r="AJ62" s="29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18"/>
      <c r="C63" s="19"/>
      <c r="D63" s="20"/>
      <c r="E63" s="21"/>
      <c r="F63" s="22"/>
      <c r="G63" s="22"/>
      <c r="H63" s="23"/>
      <c r="I63" s="18"/>
      <c r="J63" s="19"/>
      <c r="K63" s="20"/>
      <c r="L63" s="21"/>
      <c r="M63" s="24"/>
      <c r="N63" s="22"/>
      <c r="O63" s="25"/>
      <c r="P63" s="18"/>
      <c r="Q63" s="19"/>
      <c r="R63" s="20"/>
      <c r="S63" s="26"/>
      <c r="T63" s="22"/>
      <c r="U63" s="22"/>
      <c r="V63" s="23"/>
      <c r="W63" s="18"/>
      <c r="X63" s="19"/>
      <c r="Y63" s="20"/>
      <c r="Z63" s="27"/>
      <c r="AA63" s="18"/>
      <c r="AB63" s="19"/>
      <c r="AC63" s="20"/>
      <c r="AD63" s="27"/>
      <c r="AE63" s="18"/>
      <c r="AF63" s="19"/>
      <c r="AG63" s="20"/>
      <c r="AH63" s="28"/>
      <c r="AI63" s="29"/>
      <c r="AJ63" s="29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18"/>
      <c r="C64" s="19"/>
      <c r="D64" s="20"/>
      <c r="E64" s="21"/>
      <c r="F64" s="22"/>
      <c r="G64" s="22"/>
      <c r="H64" s="23"/>
      <c r="I64" s="18"/>
      <c r="J64" s="19"/>
      <c r="K64" s="20"/>
      <c r="L64" s="21"/>
      <c r="M64" s="24"/>
      <c r="N64" s="22"/>
      <c r="O64" s="25"/>
      <c r="P64" s="18"/>
      <c r="Q64" s="19"/>
      <c r="R64" s="20"/>
      <c r="S64" s="26"/>
      <c r="T64" s="22"/>
      <c r="U64" s="22"/>
      <c r="V64" s="23"/>
      <c r="W64" s="18"/>
      <c r="X64" s="19"/>
      <c r="Y64" s="20"/>
      <c r="Z64" s="27"/>
      <c r="AA64" s="18"/>
      <c r="AB64" s="19"/>
      <c r="AC64" s="20"/>
      <c r="AD64" s="27"/>
      <c r="AE64" s="18"/>
      <c r="AF64" s="19"/>
      <c r="AG64" s="20"/>
      <c r="AH64" s="28"/>
      <c r="AI64" s="29"/>
      <c r="AJ64" s="29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18"/>
      <c r="C65" s="19"/>
      <c r="D65" s="20"/>
      <c r="E65" s="21"/>
      <c r="F65" s="22"/>
      <c r="G65" s="22"/>
      <c r="H65" s="23"/>
      <c r="I65" s="18"/>
      <c r="J65" s="19"/>
      <c r="K65" s="20"/>
      <c r="L65" s="21"/>
      <c r="M65" s="24"/>
      <c r="N65" s="22"/>
      <c r="O65" s="25"/>
      <c r="P65" s="18"/>
      <c r="Q65" s="19"/>
      <c r="R65" s="20"/>
      <c r="S65" s="26"/>
      <c r="T65" s="22"/>
      <c r="U65" s="22"/>
      <c r="V65" s="23"/>
      <c r="W65" s="18"/>
      <c r="X65" s="19"/>
      <c r="Y65" s="20"/>
      <c r="Z65" s="27"/>
      <c r="AA65" s="18"/>
      <c r="AB65" s="19"/>
      <c r="AC65" s="20"/>
      <c r="AD65" s="27"/>
      <c r="AE65" s="18"/>
      <c r="AF65" s="19"/>
      <c r="AG65" s="20"/>
      <c r="AH65" s="28"/>
      <c r="AI65" s="29"/>
      <c r="AJ65" s="29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18"/>
      <c r="C66" s="19"/>
      <c r="D66" s="20"/>
      <c r="E66" s="21"/>
      <c r="F66" s="22"/>
      <c r="G66" s="22"/>
      <c r="H66" s="23"/>
      <c r="I66" s="18"/>
      <c r="J66" s="19"/>
      <c r="K66" s="20"/>
      <c r="L66" s="21"/>
      <c r="M66" s="24"/>
      <c r="N66" s="22"/>
      <c r="O66" s="25"/>
      <c r="P66" s="18"/>
      <c r="Q66" s="19"/>
      <c r="R66" s="20"/>
      <c r="S66" s="26"/>
      <c r="T66" s="22"/>
      <c r="U66" s="22"/>
      <c r="V66" s="23"/>
      <c r="W66" s="18"/>
      <c r="X66" s="19"/>
      <c r="Y66" s="20"/>
      <c r="Z66" s="27"/>
      <c r="AA66" s="18"/>
      <c r="AB66" s="19"/>
      <c r="AC66" s="20"/>
      <c r="AD66" s="27"/>
      <c r="AE66" s="18"/>
      <c r="AF66" s="19"/>
      <c r="AG66" s="20"/>
      <c r="AH66" s="28"/>
      <c r="AI66" s="29"/>
      <c r="AJ66" s="29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18"/>
      <c r="C67" s="19"/>
      <c r="D67" s="20"/>
      <c r="E67" s="21"/>
      <c r="F67" s="22"/>
      <c r="G67" s="22"/>
      <c r="H67" s="23"/>
      <c r="I67" s="18"/>
      <c r="J67" s="19"/>
      <c r="K67" s="20"/>
      <c r="L67" s="21"/>
      <c r="M67" s="24"/>
      <c r="N67" s="22"/>
      <c r="O67" s="25"/>
      <c r="P67" s="18"/>
      <c r="Q67" s="19"/>
      <c r="R67" s="20"/>
      <c r="S67" s="26"/>
      <c r="T67" s="22"/>
      <c r="U67" s="22"/>
      <c r="V67" s="23"/>
      <c r="W67" s="18"/>
      <c r="X67" s="19"/>
      <c r="Y67" s="20"/>
      <c r="Z67" s="27"/>
      <c r="AA67" s="18"/>
      <c r="AB67" s="19"/>
      <c r="AC67" s="20"/>
      <c r="AD67" s="27"/>
      <c r="AE67" s="18"/>
      <c r="AF67" s="19"/>
      <c r="AG67" s="20"/>
      <c r="AH67" s="28"/>
      <c r="AI67" s="29"/>
      <c r="AJ67" s="29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18"/>
      <c r="C68" s="19"/>
      <c r="D68" s="20"/>
      <c r="E68" s="21"/>
      <c r="F68" s="22"/>
      <c r="G68" s="22"/>
      <c r="H68" s="23"/>
      <c r="I68" s="18"/>
      <c r="J68" s="19"/>
      <c r="K68" s="20"/>
      <c r="L68" s="21"/>
      <c r="M68" s="24"/>
      <c r="N68" s="22"/>
      <c r="O68" s="25"/>
      <c r="P68" s="18"/>
      <c r="Q68" s="19"/>
      <c r="R68" s="20"/>
      <c r="S68" s="26"/>
      <c r="T68" s="22"/>
      <c r="U68" s="22"/>
      <c r="V68" s="23"/>
      <c r="W68" s="18"/>
      <c r="X68" s="19"/>
      <c r="Y68" s="20"/>
      <c r="Z68" s="27"/>
      <c r="AA68" s="18"/>
      <c r="AB68" s="19"/>
      <c r="AC68" s="20"/>
      <c r="AD68" s="27"/>
      <c r="AE68" s="18"/>
      <c r="AF68" s="19"/>
      <c r="AG68" s="20"/>
      <c r="AH68" s="28"/>
      <c r="AI68" s="29"/>
      <c r="AJ68" s="29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18"/>
      <c r="C69" s="19"/>
      <c r="D69" s="20"/>
      <c r="E69" s="21"/>
      <c r="F69" s="22"/>
      <c r="G69" s="22"/>
      <c r="H69" s="23"/>
      <c r="I69" s="18"/>
      <c r="J69" s="19"/>
      <c r="K69" s="20"/>
      <c r="L69" s="21"/>
      <c r="M69" s="24"/>
      <c r="N69" s="22"/>
      <c r="O69" s="25"/>
      <c r="P69" s="18"/>
      <c r="Q69" s="19"/>
      <c r="R69" s="20"/>
      <c r="S69" s="26"/>
      <c r="T69" s="22"/>
      <c r="U69" s="22"/>
      <c r="V69" s="23"/>
      <c r="W69" s="18"/>
      <c r="X69" s="19"/>
      <c r="Y69" s="20"/>
      <c r="Z69" s="27"/>
      <c r="AA69" s="18"/>
      <c r="AB69" s="19"/>
      <c r="AC69" s="20"/>
      <c r="AD69" s="27"/>
      <c r="AE69" s="18"/>
      <c r="AF69" s="19"/>
      <c r="AG69" s="20"/>
      <c r="AH69" s="28"/>
      <c r="AI69" s="29"/>
      <c r="AJ69" s="29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18"/>
      <c r="C70" s="19"/>
      <c r="D70" s="20"/>
      <c r="E70" s="21"/>
      <c r="F70" s="22"/>
      <c r="G70" s="22"/>
      <c r="H70" s="23"/>
      <c r="I70" s="18"/>
      <c r="J70" s="19"/>
      <c r="K70" s="20"/>
      <c r="L70" s="21"/>
      <c r="M70" s="24"/>
      <c r="N70" s="22"/>
      <c r="O70" s="25"/>
      <c r="P70" s="18"/>
      <c r="Q70" s="19"/>
      <c r="R70" s="20"/>
      <c r="S70" s="26"/>
      <c r="T70" s="22"/>
      <c r="U70" s="22"/>
      <c r="V70" s="23"/>
      <c r="W70" s="18"/>
      <c r="X70" s="19"/>
      <c r="Y70" s="20"/>
      <c r="Z70" s="27"/>
      <c r="AA70" s="18"/>
      <c r="AB70" s="19"/>
      <c r="AC70" s="20"/>
      <c r="AD70" s="27"/>
      <c r="AE70" s="18"/>
      <c r="AF70" s="19"/>
      <c r="AG70" s="20"/>
      <c r="AH70" s="28"/>
      <c r="AI70" s="29"/>
      <c r="AJ70" s="29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18"/>
      <c r="C71" s="19"/>
      <c r="D71" s="20"/>
      <c r="E71" s="21"/>
      <c r="F71" s="22"/>
      <c r="G71" s="22"/>
      <c r="H71" s="23"/>
      <c r="I71" s="18"/>
      <c r="J71" s="19"/>
      <c r="K71" s="20"/>
      <c r="L71" s="21"/>
      <c r="M71" s="24"/>
      <c r="N71" s="22"/>
      <c r="O71" s="25"/>
      <c r="P71" s="18"/>
      <c r="Q71" s="19"/>
      <c r="R71" s="20"/>
      <c r="S71" s="26"/>
      <c r="T71" s="22"/>
      <c r="U71" s="22"/>
      <c r="V71" s="23"/>
      <c r="W71" s="18"/>
      <c r="X71" s="19"/>
      <c r="Y71" s="20"/>
      <c r="Z71" s="27"/>
      <c r="AA71" s="18"/>
      <c r="AB71" s="19"/>
      <c r="AC71" s="20"/>
      <c r="AD71" s="27"/>
      <c r="AE71" s="18"/>
      <c r="AF71" s="19"/>
      <c r="AG71" s="20"/>
      <c r="AH71" s="28"/>
      <c r="AI71" s="29"/>
      <c r="AJ71" s="29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18"/>
      <c r="C72" s="19"/>
      <c r="D72" s="20"/>
      <c r="E72" s="21"/>
      <c r="F72" s="22"/>
      <c r="G72" s="22"/>
      <c r="H72" s="23"/>
      <c r="I72" s="18"/>
      <c r="J72" s="19"/>
      <c r="K72" s="20"/>
      <c r="L72" s="21"/>
      <c r="M72" s="24"/>
      <c r="N72" s="22"/>
      <c r="O72" s="25"/>
      <c r="P72" s="18"/>
      <c r="Q72" s="19"/>
      <c r="R72" s="20"/>
      <c r="S72" s="26"/>
      <c r="T72" s="22"/>
      <c r="U72" s="22"/>
      <c r="V72" s="23"/>
      <c r="W72" s="18"/>
      <c r="X72" s="19"/>
      <c r="Y72" s="20"/>
      <c r="Z72" s="27"/>
      <c r="AA72" s="18"/>
      <c r="AB72" s="19"/>
      <c r="AC72" s="20"/>
      <c r="AD72" s="27"/>
      <c r="AE72" s="18"/>
      <c r="AF72" s="19"/>
      <c r="AG72" s="20"/>
      <c r="AH72" s="28"/>
      <c r="AI72" s="29"/>
      <c r="AJ72" s="29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18"/>
      <c r="C73" s="19"/>
      <c r="D73" s="20"/>
      <c r="E73" s="21"/>
      <c r="F73" s="22"/>
      <c r="G73" s="22"/>
      <c r="H73" s="23"/>
      <c r="I73" s="18"/>
      <c r="J73" s="19"/>
      <c r="K73" s="20"/>
      <c r="L73" s="21"/>
      <c r="M73" s="24"/>
      <c r="N73" s="22"/>
      <c r="O73" s="25"/>
      <c r="P73" s="18"/>
      <c r="Q73" s="19"/>
      <c r="R73" s="20"/>
      <c r="S73" s="26"/>
      <c r="T73" s="22"/>
      <c r="U73" s="22"/>
      <c r="V73" s="23"/>
      <c r="W73" s="18"/>
      <c r="X73" s="19"/>
      <c r="Y73" s="20"/>
      <c r="Z73" s="27"/>
      <c r="AA73" s="18"/>
      <c r="AB73" s="19"/>
      <c r="AC73" s="20"/>
      <c r="AD73" s="27"/>
      <c r="AE73" s="18"/>
      <c r="AF73" s="19"/>
      <c r="AG73" s="20"/>
      <c r="AH73" s="28"/>
      <c r="AI73" s="29"/>
      <c r="AJ73" s="29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18"/>
      <c r="C74" s="19"/>
      <c r="D74" s="20"/>
      <c r="E74" s="21"/>
      <c r="F74" s="22"/>
      <c r="G74" s="22"/>
      <c r="H74" s="23"/>
      <c r="I74" s="18"/>
      <c r="J74" s="19"/>
      <c r="K74" s="20"/>
      <c r="L74" s="21"/>
      <c r="M74" s="24"/>
      <c r="N74" s="22"/>
      <c r="O74" s="25"/>
      <c r="P74" s="18"/>
      <c r="Q74" s="19"/>
      <c r="R74" s="20"/>
      <c r="S74" s="26"/>
      <c r="T74" s="22"/>
      <c r="U74" s="22"/>
      <c r="V74" s="23"/>
      <c r="W74" s="18"/>
      <c r="X74" s="19"/>
      <c r="Y74" s="20"/>
      <c r="Z74" s="27"/>
      <c r="AA74" s="18"/>
      <c r="AB74" s="19"/>
      <c r="AC74" s="20"/>
      <c r="AD74" s="27"/>
      <c r="AE74" s="18"/>
      <c r="AF74" s="19"/>
      <c r="AG74" s="20"/>
      <c r="AH74" s="28"/>
      <c r="AI74" s="29"/>
      <c r="AJ74" s="29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18"/>
      <c r="C75" s="19"/>
      <c r="D75" s="20"/>
      <c r="E75" s="21"/>
      <c r="F75" s="22"/>
      <c r="G75" s="22"/>
      <c r="H75" s="23"/>
      <c r="I75" s="18"/>
      <c r="J75" s="19"/>
      <c r="K75" s="20"/>
      <c r="L75" s="21"/>
      <c r="M75" s="24"/>
      <c r="N75" s="22"/>
      <c r="O75" s="25"/>
      <c r="P75" s="18"/>
      <c r="Q75" s="19"/>
      <c r="R75" s="20"/>
      <c r="S75" s="26"/>
      <c r="T75" s="22"/>
      <c r="U75" s="22"/>
      <c r="V75" s="23"/>
      <c r="W75" s="18"/>
      <c r="X75" s="19"/>
      <c r="Y75" s="20"/>
      <c r="Z75" s="27"/>
      <c r="AA75" s="18"/>
      <c r="AB75" s="19"/>
      <c r="AC75" s="20"/>
      <c r="AD75" s="27"/>
      <c r="AE75" s="18"/>
      <c r="AF75" s="19"/>
      <c r="AG75" s="20"/>
      <c r="AH75" s="28"/>
      <c r="AI75" s="29"/>
      <c r="AJ75" s="29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18"/>
      <c r="C76" s="19"/>
      <c r="D76" s="20"/>
      <c r="E76" s="21"/>
      <c r="F76" s="22"/>
      <c r="G76" s="22"/>
      <c r="H76" s="23"/>
      <c r="I76" s="18"/>
      <c r="J76" s="19"/>
      <c r="K76" s="20"/>
      <c r="L76" s="21"/>
      <c r="M76" s="24"/>
      <c r="N76" s="22"/>
      <c r="O76" s="25"/>
      <c r="P76" s="18"/>
      <c r="Q76" s="19"/>
      <c r="R76" s="20"/>
      <c r="S76" s="26"/>
      <c r="T76" s="22"/>
      <c r="U76" s="22"/>
      <c r="V76" s="23"/>
      <c r="W76" s="18"/>
      <c r="X76" s="19"/>
      <c r="Y76" s="20"/>
      <c r="Z76" s="27"/>
      <c r="AA76" s="18"/>
      <c r="AB76" s="19"/>
      <c r="AC76" s="20"/>
      <c r="AD76" s="27"/>
      <c r="AE76" s="18"/>
      <c r="AF76" s="19"/>
      <c r="AG76" s="20"/>
      <c r="AH76" s="28"/>
      <c r="AI76" s="29"/>
      <c r="AJ76" s="29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18"/>
      <c r="C77" s="19"/>
      <c r="D77" s="20"/>
      <c r="E77" s="21"/>
      <c r="F77" s="22"/>
      <c r="G77" s="22"/>
      <c r="H77" s="23"/>
      <c r="I77" s="18"/>
      <c r="J77" s="19"/>
      <c r="K77" s="20"/>
      <c r="L77" s="21"/>
      <c r="M77" s="24"/>
      <c r="N77" s="22"/>
      <c r="O77" s="25"/>
      <c r="P77" s="18"/>
      <c r="Q77" s="19"/>
      <c r="R77" s="20"/>
      <c r="S77" s="26"/>
      <c r="T77" s="22"/>
      <c r="U77" s="22"/>
      <c r="V77" s="23"/>
      <c r="W77" s="18"/>
      <c r="X77" s="19"/>
      <c r="Y77" s="20"/>
      <c r="Z77" s="27"/>
      <c r="AA77" s="18"/>
      <c r="AB77" s="19"/>
      <c r="AC77" s="20"/>
      <c r="AD77" s="27"/>
      <c r="AE77" s="18"/>
      <c r="AF77" s="19"/>
      <c r="AG77" s="20"/>
      <c r="AH77" s="28"/>
      <c r="AI77" s="29"/>
      <c r="AJ77" s="29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18"/>
      <c r="C78" s="19"/>
      <c r="D78" s="20"/>
      <c r="E78" s="21"/>
      <c r="F78" s="22"/>
      <c r="G78" s="22"/>
      <c r="H78" s="23"/>
      <c r="I78" s="18"/>
      <c r="J78" s="19"/>
      <c r="K78" s="20"/>
      <c r="L78" s="21"/>
      <c r="M78" s="24"/>
      <c r="N78" s="22"/>
      <c r="O78" s="25"/>
      <c r="P78" s="18"/>
      <c r="Q78" s="19"/>
      <c r="R78" s="20"/>
      <c r="S78" s="26"/>
      <c r="T78" s="22"/>
      <c r="U78" s="22"/>
      <c r="V78" s="23"/>
      <c r="W78" s="18"/>
      <c r="X78" s="19"/>
      <c r="Y78" s="20"/>
      <c r="Z78" s="27"/>
      <c r="AA78" s="18"/>
      <c r="AB78" s="19"/>
      <c r="AC78" s="20"/>
      <c r="AD78" s="27"/>
      <c r="AE78" s="18"/>
      <c r="AF78" s="19"/>
      <c r="AG78" s="20"/>
      <c r="AH78" s="28"/>
      <c r="AI78" s="29"/>
      <c r="AJ78" s="29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18"/>
      <c r="C79" s="19"/>
      <c r="D79" s="20"/>
      <c r="E79" s="21"/>
      <c r="F79" s="22"/>
      <c r="G79" s="22"/>
      <c r="H79" s="23"/>
      <c r="I79" s="18"/>
      <c r="J79" s="19"/>
      <c r="K79" s="20"/>
      <c r="L79" s="21"/>
      <c r="M79" s="24"/>
      <c r="N79" s="22"/>
      <c r="O79" s="25"/>
      <c r="P79" s="18"/>
      <c r="Q79" s="19"/>
      <c r="R79" s="20"/>
      <c r="S79" s="26"/>
      <c r="T79" s="22"/>
      <c r="U79" s="22"/>
      <c r="V79" s="23"/>
      <c r="W79" s="18"/>
      <c r="X79" s="19"/>
      <c r="Y79" s="20"/>
      <c r="Z79" s="27"/>
      <c r="AA79" s="18"/>
      <c r="AB79" s="19"/>
      <c r="AC79" s="20"/>
      <c r="AD79" s="27"/>
      <c r="AE79" s="18"/>
      <c r="AF79" s="19"/>
      <c r="AG79" s="20"/>
      <c r="AH79" s="28"/>
      <c r="AI79" s="29"/>
      <c r="AJ79" s="29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18"/>
      <c r="C80" s="19"/>
      <c r="D80" s="20"/>
      <c r="E80" s="21"/>
      <c r="F80" s="22"/>
      <c r="G80" s="22"/>
      <c r="H80" s="23"/>
      <c r="I80" s="18"/>
      <c r="J80" s="19"/>
      <c r="K80" s="20"/>
      <c r="L80" s="21"/>
      <c r="M80" s="24"/>
      <c r="N80" s="22"/>
      <c r="O80" s="25"/>
      <c r="P80" s="18"/>
      <c r="Q80" s="19"/>
      <c r="R80" s="20"/>
      <c r="S80" s="26"/>
      <c r="T80" s="22"/>
      <c r="U80" s="22"/>
      <c r="V80" s="23"/>
      <c r="W80" s="18"/>
      <c r="X80" s="19"/>
      <c r="Y80" s="20"/>
      <c r="Z80" s="27"/>
      <c r="AA80" s="18"/>
      <c r="AB80" s="19"/>
      <c r="AC80" s="20"/>
      <c r="AD80" s="27"/>
      <c r="AE80" s="18"/>
      <c r="AF80" s="19"/>
      <c r="AG80" s="20"/>
      <c r="AH80" s="28"/>
      <c r="AI80" s="29"/>
      <c r="AJ80" s="29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18"/>
      <c r="C81" s="19"/>
      <c r="D81" s="20"/>
      <c r="E81" s="21"/>
      <c r="F81" s="22"/>
      <c r="G81" s="22"/>
      <c r="H81" s="23"/>
      <c r="I81" s="18"/>
      <c r="J81" s="19"/>
      <c r="K81" s="20"/>
      <c r="L81" s="21"/>
      <c r="M81" s="24"/>
      <c r="N81" s="22"/>
      <c r="O81" s="25"/>
      <c r="P81" s="18"/>
      <c r="Q81" s="19"/>
      <c r="R81" s="20"/>
      <c r="S81" s="26"/>
      <c r="T81" s="22"/>
      <c r="U81" s="22"/>
      <c r="V81" s="23"/>
      <c r="W81" s="18"/>
      <c r="X81" s="19"/>
      <c r="Y81" s="20"/>
      <c r="Z81" s="27"/>
      <c r="AA81" s="18"/>
      <c r="AB81" s="19"/>
      <c r="AC81" s="20"/>
      <c r="AD81" s="27"/>
      <c r="AE81" s="18"/>
      <c r="AF81" s="19"/>
      <c r="AG81" s="20"/>
      <c r="AH81" s="28"/>
      <c r="AI81" s="29"/>
      <c r="AJ81" s="29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18"/>
      <c r="C82" s="19"/>
      <c r="D82" s="20"/>
      <c r="E82" s="21"/>
      <c r="F82" s="22"/>
      <c r="G82" s="22"/>
      <c r="H82" s="23"/>
      <c r="I82" s="18"/>
      <c r="J82" s="19"/>
      <c r="K82" s="20"/>
      <c r="L82" s="21"/>
      <c r="M82" s="24"/>
      <c r="N82" s="22"/>
      <c r="O82" s="25"/>
      <c r="P82" s="18"/>
      <c r="Q82" s="19"/>
      <c r="R82" s="20"/>
      <c r="S82" s="26"/>
      <c r="T82" s="22"/>
      <c r="U82" s="22"/>
      <c r="V82" s="23"/>
      <c r="W82" s="18"/>
      <c r="X82" s="19"/>
      <c r="Y82" s="20"/>
      <c r="Z82" s="27"/>
      <c r="AA82" s="18"/>
      <c r="AB82" s="19"/>
      <c r="AC82" s="20"/>
      <c r="AD82" s="27"/>
      <c r="AE82" s="18"/>
      <c r="AF82" s="19"/>
      <c r="AG82" s="20"/>
      <c r="AH82" s="28"/>
      <c r="AI82" s="29"/>
      <c r="AJ82" s="29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18"/>
      <c r="C83" s="19"/>
      <c r="D83" s="20"/>
      <c r="E83" s="21"/>
      <c r="F83" s="22"/>
      <c r="G83" s="22"/>
      <c r="H83" s="23"/>
      <c r="I83" s="18"/>
      <c r="J83" s="19"/>
      <c r="K83" s="20"/>
      <c r="L83" s="21"/>
      <c r="M83" s="24"/>
      <c r="N83" s="22"/>
      <c r="O83" s="25"/>
      <c r="P83" s="18"/>
      <c r="Q83" s="19"/>
      <c r="R83" s="20"/>
      <c r="S83" s="26"/>
      <c r="T83" s="22"/>
      <c r="U83" s="22"/>
      <c r="V83" s="23"/>
      <c r="W83" s="18"/>
      <c r="X83" s="19"/>
      <c r="Y83" s="20"/>
      <c r="Z83" s="27"/>
      <c r="AA83" s="18"/>
      <c r="AB83" s="19"/>
      <c r="AC83" s="20"/>
      <c r="AD83" s="27"/>
      <c r="AE83" s="18"/>
      <c r="AF83" s="19"/>
      <c r="AG83" s="20"/>
      <c r="AH83" s="28"/>
      <c r="AI83" s="29"/>
      <c r="AJ83" s="29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18"/>
      <c r="C84" s="19"/>
      <c r="D84" s="20"/>
      <c r="E84" s="21"/>
      <c r="F84" s="22"/>
      <c r="G84" s="22"/>
      <c r="H84" s="23"/>
      <c r="I84" s="18"/>
      <c r="J84" s="19"/>
      <c r="K84" s="20"/>
      <c r="L84" s="21"/>
      <c r="M84" s="24"/>
      <c r="N84" s="22"/>
      <c r="O84" s="25"/>
      <c r="P84" s="18"/>
      <c r="Q84" s="19"/>
      <c r="R84" s="20"/>
      <c r="S84" s="26"/>
      <c r="T84" s="22"/>
      <c r="U84" s="22"/>
      <c r="V84" s="23"/>
      <c r="W84" s="18"/>
      <c r="X84" s="19"/>
      <c r="Y84" s="20"/>
      <c r="Z84" s="27"/>
      <c r="AA84" s="18"/>
      <c r="AB84" s="19"/>
      <c r="AC84" s="20"/>
      <c r="AD84" s="27"/>
      <c r="AE84" s="18"/>
      <c r="AF84" s="19"/>
      <c r="AG84" s="20"/>
      <c r="AH84" s="28"/>
      <c r="AI84" s="29"/>
      <c r="AJ84" s="29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18"/>
      <c r="C85" s="19"/>
      <c r="D85" s="20"/>
      <c r="E85" s="21"/>
      <c r="F85" s="22"/>
      <c r="G85" s="22"/>
      <c r="H85" s="23"/>
      <c r="I85" s="18"/>
      <c r="J85" s="19"/>
      <c r="K85" s="20"/>
      <c r="L85" s="21"/>
      <c r="M85" s="24"/>
      <c r="N85" s="22"/>
      <c r="O85" s="25"/>
      <c r="P85" s="18"/>
      <c r="Q85" s="19"/>
      <c r="R85" s="20"/>
      <c r="S85" s="26"/>
      <c r="T85" s="22"/>
      <c r="U85" s="22"/>
      <c r="V85" s="23"/>
      <c r="W85" s="18"/>
      <c r="X85" s="19"/>
      <c r="Y85" s="20"/>
      <c r="Z85" s="27"/>
      <c r="AA85" s="18"/>
      <c r="AB85" s="19"/>
      <c r="AC85" s="20"/>
      <c r="AD85" s="27"/>
      <c r="AE85" s="18"/>
      <c r="AF85" s="19"/>
      <c r="AG85" s="20"/>
      <c r="AH85" s="28"/>
      <c r="AI85" s="29"/>
      <c r="AJ85" s="29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18"/>
      <c r="C86" s="19"/>
      <c r="D86" s="20"/>
      <c r="E86" s="21"/>
      <c r="F86" s="22"/>
      <c r="G86" s="22"/>
      <c r="H86" s="23"/>
      <c r="I86" s="18"/>
      <c r="J86" s="19"/>
      <c r="K86" s="20"/>
      <c r="L86" s="21"/>
      <c r="M86" s="24"/>
      <c r="N86" s="22"/>
      <c r="O86" s="25"/>
      <c r="P86" s="18"/>
      <c r="Q86" s="19"/>
      <c r="R86" s="20"/>
      <c r="S86" s="26"/>
      <c r="T86" s="22"/>
      <c r="U86" s="22"/>
      <c r="V86" s="23"/>
      <c r="W86" s="18"/>
      <c r="X86" s="19"/>
      <c r="Y86" s="20"/>
      <c r="Z86" s="27"/>
      <c r="AA86" s="18"/>
      <c r="AB86" s="19"/>
      <c r="AC86" s="20"/>
      <c r="AD86" s="27"/>
      <c r="AE86" s="18"/>
      <c r="AF86" s="19"/>
      <c r="AG86" s="20"/>
      <c r="AH86" s="28"/>
      <c r="AI86" s="29"/>
      <c r="AJ86" s="29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2"/>
      <c r="C87" s="32"/>
      <c r="D87" s="32"/>
      <c r="E87" s="5"/>
      <c r="F87" s="32"/>
      <c r="G87" s="32"/>
      <c r="H87" s="33"/>
      <c r="I87" s="32"/>
      <c r="J87" s="32"/>
      <c r="K87" s="32"/>
      <c r="L87" s="32"/>
      <c r="M87" s="5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29"/>
      <c r="AJ87" s="29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2"/>
      <c r="C88" s="32"/>
      <c r="D88" s="32"/>
      <c r="E88" s="5"/>
      <c r="F88" s="32"/>
      <c r="G88" s="32"/>
      <c r="H88" s="33"/>
      <c r="I88" s="32"/>
      <c r="J88" s="32"/>
      <c r="K88" s="32"/>
      <c r="L88" s="32"/>
      <c r="M88" s="5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29"/>
      <c r="AJ88" s="29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2"/>
      <c r="C89" s="32"/>
      <c r="D89" s="32"/>
      <c r="E89" s="5"/>
      <c r="F89" s="32"/>
      <c r="G89" s="32"/>
      <c r="H89" s="33"/>
      <c r="I89" s="32"/>
      <c r="J89" s="32"/>
      <c r="K89" s="32"/>
      <c r="L89" s="32"/>
      <c r="M89" s="5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29"/>
      <c r="AJ89" s="29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2"/>
      <c r="C90" s="32"/>
      <c r="D90" s="32"/>
      <c r="E90" s="5"/>
      <c r="F90" s="32"/>
      <c r="G90" s="32"/>
      <c r="H90" s="33"/>
      <c r="I90" s="32"/>
      <c r="J90" s="32"/>
      <c r="K90" s="32"/>
      <c r="L90" s="32"/>
      <c r="M90" s="5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29"/>
      <c r="AJ90" s="29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2"/>
      <c r="C91" s="32"/>
      <c r="D91" s="32"/>
      <c r="E91" s="5"/>
      <c r="F91" s="32"/>
      <c r="G91" s="32"/>
      <c r="H91" s="33"/>
      <c r="I91" s="32"/>
      <c r="J91" s="32"/>
      <c r="K91" s="32"/>
      <c r="L91" s="32"/>
      <c r="M91" s="5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29"/>
      <c r="AJ91" s="29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2"/>
      <c r="C92" s="32"/>
      <c r="D92" s="32"/>
      <c r="E92" s="5"/>
      <c r="F92" s="32"/>
      <c r="G92" s="32"/>
      <c r="H92" s="33"/>
      <c r="I92" s="32"/>
      <c r="J92" s="32"/>
      <c r="K92" s="32"/>
      <c r="L92" s="32"/>
      <c r="M92" s="5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29"/>
      <c r="AJ92" s="29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2"/>
      <c r="C93" s="32"/>
      <c r="D93" s="32"/>
      <c r="E93" s="5"/>
      <c r="F93" s="32"/>
      <c r="G93" s="32"/>
      <c r="H93" s="33"/>
      <c r="I93" s="32"/>
      <c r="J93" s="32"/>
      <c r="K93" s="32"/>
      <c r="L93" s="32"/>
      <c r="M93" s="5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29"/>
      <c r="AJ93" s="29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2"/>
      <c r="C94" s="32"/>
      <c r="D94" s="32"/>
      <c r="E94" s="5"/>
      <c r="F94" s="32"/>
      <c r="G94" s="32"/>
      <c r="H94" s="33"/>
      <c r="I94" s="32"/>
      <c r="J94" s="32"/>
      <c r="K94" s="32"/>
      <c r="L94" s="32"/>
      <c r="M94" s="5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29"/>
      <c r="AJ94" s="29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2"/>
      <c r="C95" s="32"/>
      <c r="D95" s="32"/>
      <c r="E95" s="5"/>
      <c r="F95" s="32"/>
      <c r="G95" s="32"/>
      <c r="H95" s="33"/>
      <c r="I95" s="32"/>
      <c r="J95" s="32"/>
      <c r="K95" s="32"/>
      <c r="L95" s="32"/>
      <c r="M95" s="5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29"/>
      <c r="AJ95" s="29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3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29"/>
      <c r="AJ96" s="29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3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29"/>
      <c r="AJ97" s="29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3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29"/>
      <c r="AJ98" s="29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3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29"/>
      <c r="AJ99" s="29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3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29"/>
      <c r="AJ100" s="29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3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29"/>
      <c r="AJ101" s="29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3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29"/>
      <c r="AJ102" s="29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3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29"/>
      <c r="AJ103" s="29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3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29"/>
      <c r="AJ104" s="29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3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29"/>
      <c r="AJ105" s="29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3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29"/>
      <c r="AJ106" s="29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3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29"/>
      <c r="AJ107" s="29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3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29"/>
      <c r="AJ108" s="29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3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29"/>
      <c r="AJ109" s="29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3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29"/>
      <c r="AJ110" s="29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3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29"/>
      <c r="AJ111" s="29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3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29"/>
      <c r="AJ112" s="29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3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29"/>
      <c r="AJ113" s="29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3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29"/>
      <c r="AJ114" s="29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3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29"/>
      <c r="AJ115" s="29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3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29"/>
      <c r="AJ116" s="29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3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29"/>
      <c r="AJ117" s="29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3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29"/>
      <c r="AJ118" s="29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3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29"/>
      <c r="AJ119" s="29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3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29"/>
      <c r="AJ120" s="29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3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29"/>
      <c r="AJ121" s="29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3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29"/>
      <c r="AJ122" s="29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3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29"/>
      <c r="AJ123" s="29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3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29"/>
      <c r="AJ124" s="29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3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29"/>
      <c r="AJ125" s="29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3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29"/>
      <c r="AJ126" s="29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3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29"/>
      <c r="AJ127" s="29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3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29"/>
      <c r="AJ128" s="29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3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29"/>
      <c r="AJ129" s="29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3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29"/>
      <c r="AJ130" s="29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3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29"/>
      <c r="AJ131" s="29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3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29"/>
      <c r="AJ132" s="29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3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29"/>
      <c r="AJ133" s="29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3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29"/>
      <c r="AJ134" s="29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3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29"/>
      <c r="AJ135" s="29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3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29"/>
      <c r="AJ136" s="29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3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29"/>
      <c r="AJ137" s="29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3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29"/>
      <c r="AJ138" s="29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3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29"/>
      <c r="AJ139" s="29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3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29"/>
      <c r="AJ140" s="29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3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29"/>
      <c r="AJ141" s="29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3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29"/>
      <c r="AJ142" s="29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3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29"/>
      <c r="AJ143" s="29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3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29"/>
      <c r="AJ144" s="29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3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29"/>
      <c r="AJ145" s="29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3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29"/>
      <c r="AJ146" s="29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3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29"/>
      <c r="AJ147" s="29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3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29"/>
      <c r="AJ148" s="29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3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29"/>
      <c r="AJ149" s="29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3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29"/>
      <c r="AJ150" s="29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3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29"/>
      <c r="AJ151" s="29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3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29"/>
      <c r="AJ152" s="29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3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29"/>
      <c r="AJ153" s="29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3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29"/>
      <c r="AJ154" s="29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3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29"/>
      <c r="AJ155" s="29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3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29"/>
      <c r="AJ156" s="29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3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29"/>
      <c r="AJ157" s="29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3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29"/>
      <c r="AJ158" s="29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3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29"/>
      <c r="AJ159" s="29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3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29"/>
      <c r="AJ160" s="29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3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29"/>
      <c r="AJ161" s="29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3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29"/>
      <c r="AJ162" s="29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3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29"/>
      <c r="AJ163" s="29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3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29"/>
      <c r="AJ164" s="29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3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29"/>
      <c r="AJ165" s="29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3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29"/>
      <c r="AJ166" s="29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3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29"/>
      <c r="AJ167" s="29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3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29"/>
      <c r="AJ168" s="29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3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29"/>
      <c r="AJ169" s="29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3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29"/>
      <c r="AJ170" s="29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3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29"/>
      <c r="AJ171" s="29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3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29"/>
      <c r="AJ172" s="29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3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29"/>
      <c r="AJ173" s="29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3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29"/>
      <c r="AJ174" s="29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3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29"/>
      <c r="AJ175" s="29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3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29"/>
      <c r="AJ176" s="29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3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29"/>
      <c r="AJ177" s="29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3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29"/>
      <c r="AJ178" s="29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3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29"/>
      <c r="AJ179" s="29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3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29"/>
      <c r="AJ180" s="29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3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29"/>
      <c r="AJ181" s="29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3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29"/>
      <c r="AJ182" s="29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3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29"/>
      <c r="AJ183" s="29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3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29"/>
      <c r="AJ184" s="29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3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29"/>
      <c r="AJ185" s="29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3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29"/>
      <c r="AJ186" s="29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3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29"/>
      <c r="AJ187" s="29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3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29"/>
      <c r="AJ188" s="29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3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29"/>
      <c r="AJ189" s="29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3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29"/>
      <c r="AJ190" s="29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3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29"/>
      <c r="AJ191" s="29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3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29"/>
      <c r="AJ192" s="29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3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29"/>
      <c r="AJ193" s="29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3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29"/>
      <c r="AJ194" s="29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3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29"/>
      <c r="AJ195" s="29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3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29"/>
      <c r="AJ196" s="29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3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29"/>
      <c r="AJ197" s="29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3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29"/>
      <c r="AJ198" s="29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3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29"/>
      <c r="AJ199" s="29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3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29"/>
      <c r="AJ200" s="29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3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29"/>
      <c r="AJ201" s="29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3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29"/>
      <c r="AJ202" s="29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3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29"/>
      <c r="AJ203" s="29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3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29"/>
      <c r="AJ204" s="29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3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29"/>
      <c r="AJ205" s="29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3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29"/>
      <c r="AJ206" s="29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3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29"/>
      <c r="AJ207" s="29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3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29"/>
      <c r="AJ208" s="29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3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29"/>
      <c r="AJ209" s="29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3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29"/>
      <c r="AJ210" s="29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3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29"/>
      <c r="AJ211" s="29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3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29"/>
      <c r="AJ212" s="29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3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29"/>
      <c r="AJ213" s="29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3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29"/>
      <c r="AJ214" s="29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3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29"/>
      <c r="AJ215" s="29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3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29"/>
      <c r="AJ216" s="29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3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29"/>
      <c r="AJ217" s="29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3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29"/>
      <c r="AJ218" s="29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3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29"/>
      <c r="AJ219" s="29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3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29"/>
      <c r="AJ220" s="29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3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29"/>
      <c r="AJ221" s="29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3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29"/>
      <c r="AJ222" s="29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3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29"/>
      <c r="AJ223" s="29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3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29"/>
      <c r="AJ224" s="29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3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29"/>
      <c r="AJ225" s="29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3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29"/>
      <c r="AJ226" s="29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3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29"/>
      <c r="AJ227" s="29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3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29"/>
      <c r="AJ228" s="29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3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29"/>
      <c r="AJ229" s="29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3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29"/>
      <c r="AJ230" s="29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3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29"/>
      <c r="AJ231" s="29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3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29"/>
      <c r="AJ232" s="29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3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29"/>
      <c r="AJ233" s="29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3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29"/>
      <c r="AJ234" s="29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3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29"/>
      <c r="AJ235" s="29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3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29"/>
      <c r="AJ236" s="29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3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29"/>
      <c r="AJ237" s="29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3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29"/>
      <c r="AJ238" s="29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3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29"/>
      <c r="AJ239" s="29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3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29"/>
      <c r="AJ240" s="29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3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29"/>
      <c r="AJ241" s="29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3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29"/>
      <c r="AJ242" s="29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3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29"/>
      <c r="AJ243" s="29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3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29"/>
      <c r="AJ244" s="29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3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29"/>
      <c r="AJ245" s="29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3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29"/>
      <c r="AJ246" s="29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3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29"/>
      <c r="AJ247" s="29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3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29"/>
      <c r="AJ248" s="29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3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29"/>
      <c r="AJ249" s="29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3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29"/>
      <c r="AJ250" s="29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3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29"/>
      <c r="AJ251" s="29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3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29"/>
      <c r="AJ252" s="29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3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29"/>
      <c r="AJ253" s="29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3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29"/>
      <c r="AJ254" s="29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3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29"/>
      <c r="AJ255" s="29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3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29"/>
      <c r="AJ256" s="29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3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29"/>
      <c r="AJ257" s="29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3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29"/>
      <c r="AJ258" s="29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3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29"/>
      <c r="AJ259" s="29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3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29"/>
      <c r="AJ260" s="29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3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29"/>
      <c r="AJ261" s="29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3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29"/>
      <c r="AJ262" s="29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3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29"/>
      <c r="AJ263" s="29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3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29"/>
      <c r="AJ264" s="29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3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29"/>
      <c r="AJ265" s="29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3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29"/>
      <c r="AJ266" s="29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3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29"/>
      <c r="AJ267" s="29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3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29"/>
      <c r="AJ268" s="29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3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29"/>
      <c r="AJ269" s="29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3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29"/>
      <c r="AJ270" s="29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3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29"/>
      <c r="AJ271" s="29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3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29"/>
      <c r="AJ272" s="29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3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29"/>
      <c r="AJ273" s="29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3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29"/>
      <c r="AJ274" s="29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3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29"/>
      <c r="AJ275" s="29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3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29"/>
      <c r="AJ276" s="29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3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29"/>
      <c r="AJ277" s="29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3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29"/>
      <c r="AJ278" s="29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3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29"/>
      <c r="AJ279" s="29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3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29"/>
      <c r="AJ280" s="29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3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29"/>
      <c r="AJ281" s="29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3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29"/>
      <c r="AJ282" s="29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3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29"/>
      <c r="AJ283" s="29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3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29"/>
      <c r="AJ284" s="29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3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29"/>
      <c r="AJ285" s="29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3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29"/>
      <c r="AJ286" s="29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3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29"/>
      <c r="AJ287" s="29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3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29"/>
      <c r="AJ288" s="29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3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29"/>
      <c r="AJ289" s="29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3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29"/>
      <c r="AJ290" s="29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3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29"/>
      <c r="AJ291" s="29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3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29"/>
      <c r="AJ292" s="29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3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29"/>
      <c r="AJ293" s="29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3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29"/>
      <c r="AJ294" s="29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3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29"/>
      <c r="AJ295" s="29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3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29"/>
      <c r="AJ296" s="29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3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29"/>
      <c r="AJ297" s="29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3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29"/>
      <c r="AJ298" s="29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3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29"/>
      <c r="AJ299" s="29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3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29"/>
      <c r="AJ300" s="29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3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29"/>
      <c r="AJ301" s="29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3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29"/>
      <c r="AJ302" s="29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3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29"/>
      <c r="AJ303" s="29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3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29"/>
      <c r="AJ304" s="29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3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29"/>
      <c r="AJ305" s="29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3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29"/>
      <c r="AJ306" s="29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3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29"/>
      <c r="AJ307" s="29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3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29"/>
      <c r="AJ308" s="29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3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29"/>
      <c r="AJ309" s="29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3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29"/>
      <c r="AJ310" s="29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3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29"/>
      <c r="AJ311" s="29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3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29"/>
      <c r="AJ312" s="29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3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29"/>
      <c r="AJ313" s="29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3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29"/>
      <c r="AJ314" s="29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3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29"/>
      <c r="AJ315" s="29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3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29"/>
      <c r="AJ316" s="29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3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29"/>
      <c r="AJ317" s="29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3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29"/>
      <c r="AJ318" s="29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3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29"/>
      <c r="AJ319" s="29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3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29"/>
      <c r="AJ320" s="29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3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29"/>
      <c r="AJ321" s="29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3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29"/>
      <c r="AJ322" s="29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3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29"/>
      <c r="AJ323" s="29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3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29"/>
      <c r="AJ324" s="29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3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29"/>
      <c r="AJ325" s="29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3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29"/>
      <c r="AJ326" s="29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3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29"/>
      <c r="AJ327" s="29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3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29"/>
      <c r="AJ328" s="29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3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29"/>
      <c r="AJ329" s="29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3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29"/>
      <c r="AJ330" s="29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3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29"/>
      <c r="AJ331" s="29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3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29"/>
      <c r="AJ332" s="29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3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29"/>
      <c r="AJ333" s="29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3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29"/>
      <c r="AJ334" s="29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3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29"/>
      <c r="AJ335" s="29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3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29"/>
      <c r="AJ336" s="29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3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29"/>
      <c r="AJ337" s="29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3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29"/>
      <c r="AJ338" s="29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3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29"/>
      <c r="AJ339" s="29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3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29"/>
      <c r="AJ340" s="29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3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29"/>
      <c r="AJ341" s="29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3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29"/>
      <c r="AJ342" s="29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3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29"/>
      <c r="AJ343" s="29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3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29"/>
      <c r="AJ344" s="29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3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29"/>
      <c r="AJ345" s="29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3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29"/>
      <c r="AJ346" s="29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3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29"/>
      <c r="AJ347" s="29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3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29"/>
      <c r="AJ348" s="29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3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29"/>
      <c r="AJ349" s="29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3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29"/>
      <c r="AJ350" s="29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3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29"/>
      <c r="AJ351" s="29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3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29"/>
      <c r="AJ352" s="29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3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29"/>
      <c r="AJ353" s="29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3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29"/>
      <c r="AJ354" s="29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3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29"/>
      <c r="AJ355" s="29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3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29"/>
      <c r="AJ356" s="29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3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29"/>
      <c r="AJ357" s="29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3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29"/>
      <c r="AJ358" s="29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3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29"/>
      <c r="AJ359" s="29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3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29"/>
      <c r="AJ360" s="29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3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29"/>
      <c r="AJ361" s="29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3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29"/>
      <c r="AJ362" s="29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3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29"/>
      <c r="AJ363" s="29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3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29"/>
      <c r="AJ364" s="29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3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29"/>
      <c r="AJ365" s="29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3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29"/>
      <c r="AJ366" s="29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3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29"/>
      <c r="AJ367" s="29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3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29"/>
      <c r="AJ368" s="29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3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29"/>
      <c r="AJ369" s="29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3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29"/>
      <c r="AJ370" s="29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3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29"/>
      <c r="AJ371" s="29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3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29"/>
      <c r="AJ372" s="29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3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29"/>
      <c r="AJ373" s="29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3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29"/>
      <c r="AJ374" s="29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3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29"/>
      <c r="AJ375" s="29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3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29"/>
      <c r="AJ376" s="29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3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29"/>
      <c r="AJ377" s="29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3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29"/>
      <c r="AJ378" s="29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3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29"/>
      <c r="AJ379" s="29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3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29"/>
      <c r="AJ380" s="29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3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29"/>
      <c r="AJ381" s="29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3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29"/>
      <c r="AJ382" s="29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3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29"/>
      <c r="AJ383" s="29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3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29"/>
      <c r="AJ384" s="29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3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29"/>
      <c r="AJ385" s="29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3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29"/>
      <c r="AJ386" s="29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3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29"/>
      <c r="AJ387" s="29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3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29"/>
      <c r="AJ388" s="29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3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29"/>
      <c r="AJ389" s="29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3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29"/>
      <c r="AJ390" s="29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3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29"/>
      <c r="AJ391" s="29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3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29"/>
      <c r="AJ392" s="29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3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29"/>
      <c r="AJ393" s="29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3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29"/>
      <c r="AJ394" s="29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3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29"/>
      <c r="AJ395" s="29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3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29"/>
      <c r="AJ396" s="29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3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29"/>
      <c r="AJ397" s="29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3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29"/>
      <c r="AJ398" s="29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3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29"/>
      <c r="AJ399" s="29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3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29"/>
      <c r="AJ400" s="29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3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29"/>
      <c r="AJ401" s="29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3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29"/>
      <c r="AJ402" s="29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3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29"/>
      <c r="AJ403" s="29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3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9"/>
      <c r="AJ404" s="29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3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9"/>
      <c r="AJ405" s="29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3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9"/>
      <c r="AJ406" s="29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3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29"/>
      <c r="AJ407" s="29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3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9"/>
      <c r="AJ408" s="29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3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9"/>
      <c r="AJ409" s="29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3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9"/>
      <c r="AJ410" s="29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3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9"/>
      <c r="AJ411" s="29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3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9"/>
      <c r="AJ412" s="29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3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9"/>
      <c r="AJ413" s="29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3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9"/>
      <c r="AJ414" s="29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3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9"/>
      <c r="AJ415" s="29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3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9"/>
      <c r="AJ416" s="29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3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9"/>
      <c r="AJ417" s="29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3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9"/>
      <c r="AJ418" s="29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3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9"/>
      <c r="AJ419" s="29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3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9"/>
      <c r="AJ420" s="29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3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9"/>
      <c r="AJ421" s="29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3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9"/>
      <c r="AJ422" s="29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3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9"/>
      <c r="AJ423" s="29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3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9"/>
      <c r="AJ424" s="29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3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9"/>
      <c r="AJ425" s="29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3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9"/>
      <c r="AJ426" s="29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3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9"/>
      <c r="AJ427" s="29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3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9"/>
      <c r="AJ428" s="29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3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9"/>
      <c r="AJ429" s="29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3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9"/>
      <c r="AJ430" s="29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3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9"/>
      <c r="AJ431" s="29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3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9"/>
      <c r="AJ432" s="29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3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9"/>
      <c r="AJ433" s="29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3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9"/>
      <c r="AJ434" s="29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3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9"/>
      <c r="AJ435" s="29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3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9"/>
      <c r="AJ436" s="29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3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9"/>
      <c r="AJ437" s="29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3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9"/>
      <c r="AJ438" s="29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3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9"/>
      <c r="AJ439" s="29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3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9"/>
      <c r="AJ440" s="29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3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9"/>
      <c r="AJ441" s="29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3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9"/>
      <c r="AJ442" s="29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3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9"/>
      <c r="AJ443" s="29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3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9"/>
      <c r="AJ444" s="29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3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9"/>
      <c r="AJ445" s="29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3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9"/>
      <c r="AJ446" s="29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3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9"/>
      <c r="AJ447" s="29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3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9"/>
      <c r="AJ448" s="29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3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9"/>
      <c r="AJ449" s="29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3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9"/>
      <c r="AJ450" s="29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3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9"/>
      <c r="AJ451" s="29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3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9"/>
      <c r="AJ452" s="29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3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9"/>
      <c r="AJ453" s="29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3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29"/>
      <c r="AJ454" s="29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3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9"/>
      <c r="AJ455" s="29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3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9"/>
      <c r="AJ456" s="29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3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9"/>
      <c r="AJ457" s="29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3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9"/>
      <c r="AJ458" s="29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3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9"/>
      <c r="AJ459" s="29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3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9"/>
      <c r="AJ460" s="29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3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9"/>
      <c r="AJ461" s="29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3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9"/>
      <c r="AJ462" s="29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3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9"/>
      <c r="AJ463" s="29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3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9"/>
      <c r="AJ464" s="29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3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9"/>
      <c r="AJ465" s="29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3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9"/>
      <c r="AJ466" s="29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3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9"/>
      <c r="AJ467" s="29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3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9"/>
      <c r="AJ468" s="29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3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9"/>
      <c r="AJ469" s="29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3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9"/>
      <c r="AJ470" s="29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3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9"/>
      <c r="AJ471" s="29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3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9"/>
      <c r="AJ472" s="29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3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9"/>
      <c r="AJ473" s="29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3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9"/>
      <c r="AJ474" s="29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3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9"/>
      <c r="AJ475" s="29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3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9"/>
      <c r="AJ476" s="29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3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9"/>
      <c r="AJ477" s="29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3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9"/>
      <c r="AJ478" s="29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3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9"/>
      <c r="AJ479" s="29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3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9"/>
      <c r="AJ480" s="29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3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9"/>
      <c r="AJ481" s="29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3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9"/>
      <c r="AJ482" s="29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3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9"/>
      <c r="AJ483" s="29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3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9"/>
      <c r="AJ484" s="29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3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9"/>
      <c r="AJ485" s="29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3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9"/>
      <c r="AJ486" s="29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3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9"/>
      <c r="AJ487" s="29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3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9"/>
      <c r="AJ488" s="29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3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9"/>
      <c r="AJ489" s="29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3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29"/>
      <c r="AJ490" s="29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3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9"/>
      <c r="AJ491" s="29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3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9"/>
      <c r="AJ492" s="29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3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9"/>
      <c r="AJ493" s="29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3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9"/>
      <c r="AJ494" s="29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3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9"/>
      <c r="AJ495" s="29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3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9"/>
      <c r="AJ496" s="29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3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9"/>
      <c r="AJ497" s="29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3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9"/>
      <c r="AJ498" s="29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3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9"/>
      <c r="AJ499" s="29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3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9"/>
      <c r="AJ500" s="29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3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9"/>
      <c r="AJ501" s="29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3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9"/>
      <c r="AJ502" s="29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3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9"/>
      <c r="AJ503" s="29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3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9"/>
      <c r="AJ504" s="29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3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9"/>
      <c r="AJ505" s="29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3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9"/>
      <c r="AJ506" s="29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3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29"/>
      <c r="AJ507" s="29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3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9"/>
      <c r="AJ508" s="29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3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9"/>
      <c r="AJ509" s="29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3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9"/>
      <c r="AJ510" s="29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3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9"/>
      <c r="AJ511" s="29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3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9"/>
      <c r="AJ512" s="29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3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29"/>
      <c r="AJ513" s="29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3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9"/>
      <c r="AJ514" s="29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3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9"/>
      <c r="AJ515" s="29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3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9"/>
      <c r="AJ516" s="29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3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9"/>
      <c r="AJ517" s="29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3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9"/>
      <c r="AJ518" s="29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3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9"/>
      <c r="AJ519" s="29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3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9"/>
      <c r="AJ520" s="29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3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9"/>
      <c r="AJ521" s="29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3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29"/>
      <c r="AJ522" s="29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3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9"/>
      <c r="AJ523" s="29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3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9"/>
      <c r="AJ524" s="29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3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9"/>
      <c r="AJ525" s="29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3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9"/>
      <c r="AJ526" s="29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3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9"/>
      <c r="AJ527" s="29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3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9"/>
      <c r="AJ528" s="29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3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9"/>
      <c r="AJ529" s="29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3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9"/>
      <c r="AJ530" s="29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3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9"/>
      <c r="AJ531" s="29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3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9"/>
      <c r="AJ532" s="29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3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9"/>
      <c r="AJ533" s="29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3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9"/>
      <c r="AJ534" s="29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3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9"/>
      <c r="AJ535" s="29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3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9"/>
      <c r="AJ536" s="29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3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9"/>
      <c r="AJ537" s="29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3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9"/>
      <c r="AJ538" s="29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3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29"/>
      <c r="AJ539" s="29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3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29"/>
      <c r="AJ540" s="29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3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29"/>
      <c r="AJ541" s="29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3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29"/>
      <c r="AJ542" s="29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3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29"/>
      <c r="AJ543" s="29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3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29"/>
      <c r="AJ544" s="29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3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29"/>
      <c r="AJ545" s="29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3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29"/>
      <c r="AJ546" s="29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3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29"/>
      <c r="AJ547" s="29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3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29"/>
      <c r="AJ548" s="29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3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29"/>
      <c r="AJ549" s="29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3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29"/>
      <c r="AJ550" s="29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3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29"/>
      <c r="AJ551" s="29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3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29"/>
      <c r="AJ552" s="29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3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29"/>
      <c r="AJ553" s="29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3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29"/>
      <c r="AJ554" s="29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3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29"/>
      <c r="AJ555" s="29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3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29"/>
      <c r="AJ556" s="29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3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29"/>
      <c r="AJ557" s="29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3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29"/>
      <c r="AJ558" s="29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3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29"/>
      <c r="AJ559" s="29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3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29"/>
      <c r="AJ560" s="29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3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29"/>
      <c r="AJ561" s="29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3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29"/>
      <c r="AJ562" s="29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3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29"/>
      <c r="AJ563" s="29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3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29"/>
      <c r="AJ564" s="29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3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29"/>
      <c r="AJ565" s="29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3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29"/>
      <c r="AJ566" s="29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3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29"/>
      <c r="AJ567" s="29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3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29"/>
      <c r="AJ568" s="29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3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29"/>
      <c r="AJ569" s="29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3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29"/>
      <c r="AJ570" s="29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3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29"/>
      <c r="AJ571" s="29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3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29"/>
      <c r="AJ572" s="29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3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29"/>
      <c r="AJ573" s="29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3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29"/>
      <c r="AJ574" s="29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3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29"/>
      <c r="AJ575" s="29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3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29"/>
      <c r="AJ576" s="29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3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29"/>
      <c r="AJ577" s="29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3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29"/>
      <c r="AJ578" s="29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3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29"/>
      <c r="AJ579" s="29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3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29"/>
      <c r="AJ580" s="29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3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29"/>
      <c r="AJ581" s="29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3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29"/>
      <c r="AJ582" s="29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3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29"/>
      <c r="AJ583" s="29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3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29"/>
      <c r="AJ584" s="29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3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29"/>
      <c r="AJ585" s="29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3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29"/>
      <c r="AJ586" s="29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3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29"/>
      <c r="AJ587" s="29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3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29"/>
      <c r="AJ588" s="29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3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29"/>
      <c r="AJ589" s="29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3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29"/>
      <c r="AJ590" s="29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3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29"/>
      <c r="AJ591" s="29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3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29"/>
      <c r="AJ592" s="29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3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29"/>
      <c r="AJ593" s="29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3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29"/>
      <c r="AJ594" s="29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3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29"/>
      <c r="AJ595" s="29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3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29"/>
      <c r="AJ596" s="29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3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29"/>
      <c r="AJ597" s="29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3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29"/>
      <c r="AJ598" s="29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3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29"/>
      <c r="AJ599" s="29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3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29"/>
      <c r="AJ600" s="29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3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29"/>
      <c r="AJ601" s="29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3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29"/>
      <c r="AJ602" s="29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3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29"/>
      <c r="AJ603" s="29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3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29"/>
      <c r="AJ604" s="29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3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29"/>
      <c r="AJ605" s="29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3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29"/>
      <c r="AJ606" s="29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3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29"/>
      <c r="AJ607" s="29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3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29"/>
      <c r="AJ608" s="29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3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29"/>
      <c r="AJ609" s="29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3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29"/>
      <c r="AJ610" s="29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3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29"/>
      <c r="AJ611" s="29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3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29"/>
      <c r="AJ612" s="29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3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29"/>
      <c r="AJ613" s="29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3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29"/>
      <c r="AJ614" s="29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3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29"/>
      <c r="AJ615" s="29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3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29"/>
      <c r="AJ616" s="29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3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29"/>
      <c r="AJ617" s="29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3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29"/>
      <c r="AJ618" s="29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3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29"/>
      <c r="AJ619" s="29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3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29"/>
      <c r="AJ620" s="29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3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29"/>
      <c r="AJ621" s="29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3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29"/>
      <c r="AJ622" s="29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3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29"/>
      <c r="AJ623" s="29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3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29"/>
      <c r="AJ624" s="29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3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29"/>
      <c r="AJ625" s="29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3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29"/>
      <c r="AJ626" s="29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3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29"/>
      <c r="AJ627" s="29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3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29"/>
      <c r="AJ628" s="29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3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29"/>
      <c r="AJ629" s="29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3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29"/>
      <c r="AJ630" s="29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3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29"/>
      <c r="AJ631" s="29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3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29"/>
      <c r="AJ632" s="29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3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29"/>
      <c r="AJ633" s="29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3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29"/>
      <c r="AJ634" s="29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3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29"/>
      <c r="AJ635" s="29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3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29"/>
      <c r="AJ636" s="29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3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29"/>
      <c r="AJ637" s="29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3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29"/>
      <c r="AJ638" s="29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3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29"/>
      <c r="AJ639" s="29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3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29"/>
      <c r="AJ640" s="29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3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29"/>
      <c r="AJ641" s="29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3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29"/>
      <c r="AJ642" s="29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3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29"/>
      <c r="AJ643" s="29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3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29"/>
      <c r="AJ644" s="29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3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29"/>
      <c r="AJ645" s="29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3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29"/>
      <c r="AJ646" s="29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3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29"/>
      <c r="AJ647" s="29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3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29"/>
      <c r="AJ648" s="29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3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29"/>
      <c r="AJ649" s="29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3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29"/>
      <c r="AJ650" s="29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3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29"/>
      <c r="AJ651" s="29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3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29"/>
      <c r="AJ652" s="29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3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29"/>
      <c r="AJ653" s="29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3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29"/>
      <c r="AJ654" s="29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3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29"/>
      <c r="AJ655" s="29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3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29"/>
      <c r="AJ656" s="29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3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29"/>
      <c r="AJ657" s="29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3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29"/>
      <c r="AJ658" s="29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3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29"/>
      <c r="AJ659" s="29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3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29"/>
      <c r="AJ660" s="29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3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29"/>
      <c r="AJ661" s="29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3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29"/>
      <c r="AJ662" s="29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3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29"/>
      <c r="AJ663" s="29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3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29"/>
      <c r="AJ664" s="29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3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29"/>
      <c r="AJ665" s="29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3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29"/>
      <c r="AJ666" s="29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3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29"/>
      <c r="AJ667" s="29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3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29"/>
      <c r="AJ668" s="29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3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29"/>
      <c r="AJ669" s="29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3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29"/>
      <c r="AJ670" s="29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3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29"/>
      <c r="AJ671" s="29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3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29"/>
      <c r="AJ672" s="29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3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29"/>
      <c r="AJ673" s="29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3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29"/>
      <c r="AJ674" s="29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3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29"/>
      <c r="AJ675" s="29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3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29"/>
      <c r="AJ676" s="29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3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29"/>
      <c r="AJ677" s="29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3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29"/>
      <c r="AJ678" s="29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3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29"/>
      <c r="AJ679" s="29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3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29"/>
      <c r="AJ680" s="29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3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29"/>
      <c r="AJ681" s="29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3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29"/>
      <c r="AJ682" s="29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3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29"/>
      <c r="AJ683" s="29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3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29"/>
      <c r="AJ684" s="29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3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29"/>
      <c r="AJ685" s="29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3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29"/>
      <c r="AJ686" s="29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3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29"/>
      <c r="AJ687" s="29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3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29"/>
      <c r="AJ688" s="29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3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29"/>
      <c r="AJ689" s="29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3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29"/>
      <c r="AJ690" s="29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3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29"/>
      <c r="AJ691" s="29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3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29"/>
      <c r="AJ692" s="29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3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29"/>
      <c r="AJ693" s="29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3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29"/>
      <c r="AJ694" s="29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3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29"/>
      <c r="AJ695" s="29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3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29"/>
      <c r="AJ696" s="29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3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29"/>
      <c r="AJ697" s="29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3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29"/>
      <c r="AJ698" s="29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3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29"/>
      <c r="AJ699" s="29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3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29"/>
      <c r="AJ700" s="29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3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29"/>
      <c r="AJ701" s="29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3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29"/>
      <c r="AJ702" s="29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3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29"/>
      <c r="AJ703" s="29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3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29"/>
      <c r="AJ704" s="29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3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29"/>
      <c r="AJ705" s="29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3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29"/>
      <c r="AJ706" s="29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3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29"/>
      <c r="AJ707" s="29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3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29"/>
      <c r="AJ708" s="29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3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29"/>
      <c r="AJ709" s="29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3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29"/>
      <c r="AJ710" s="29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3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29"/>
      <c r="AJ711" s="29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3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29"/>
      <c r="AJ712" s="29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3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29"/>
      <c r="AJ713" s="29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3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29"/>
      <c r="AJ714" s="29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3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29"/>
      <c r="AJ715" s="29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3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29"/>
      <c r="AJ716" s="29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3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29"/>
      <c r="AJ717" s="29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3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29"/>
      <c r="AJ718" s="29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3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29"/>
      <c r="AJ719" s="29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3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29"/>
      <c r="AJ720" s="29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3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29"/>
      <c r="AJ721" s="29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3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29"/>
      <c r="AJ722" s="29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3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29"/>
      <c r="AJ723" s="29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3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29"/>
      <c r="AJ724" s="29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3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29"/>
      <c r="AJ725" s="29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3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29"/>
      <c r="AJ726" s="29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3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29"/>
      <c r="AJ727" s="29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3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29"/>
      <c r="AJ728" s="29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3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29"/>
      <c r="AJ729" s="29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3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29"/>
      <c r="AJ730" s="29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3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29"/>
      <c r="AJ731" s="29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3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29"/>
      <c r="AJ732" s="29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3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29"/>
      <c r="AJ733" s="29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3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29"/>
      <c r="AJ734" s="29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3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29"/>
      <c r="AJ735" s="29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3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29"/>
      <c r="AJ736" s="29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3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29"/>
      <c r="AJ737" s="29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3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29"/>
      <c r="AJ738" s="29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3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29"/>
      <c r="AJ739" s="29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3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29"/>
      <c r="AJ740" s="29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3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29"/>
      <c r="AJ741" s="29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3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29"/>
      <c r="AJ742" s="29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3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29"/>
      <c r="AJ743" s="29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3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29"/>
      <c r="AJ744" s="29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3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29"/>
      <c r="AJ745" s="29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3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29"/>
      <c r="AJ746" s="29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3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29"/>
      <c r="AJ747" s="29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3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29"/>
      <c r="AJ748" s="29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3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29"/>
      <c r="AJ749" s="29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3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29"/>
      <c r="AJ750" s="29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3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29"/>
      <c r="AJ751" s="29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3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29"/>
      <c r="AJ752" s="29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3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29"/>
      <c r="AJ753" s="29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3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29"/>
      <c r="AJ754" s="29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3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29"/>
      <c r="AJ755" s="29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3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29"/>
      <c r="AJ756" s="29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3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29"/>
      <c r="AJ757" s="29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3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29"/>
      <c r="AJ758" s="29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3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29"/>
      <c r="AJ759" s="29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3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29"/>
      <c r="AJ760" s="29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3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29"/>
      <c r="AJ761" s="29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3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29"/>
      <c r="AJ762" s="29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3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29"/>
      <c r="AJ763" s="29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3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29"/>
      <c r="AJ764" s="29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3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29"/>
      <c r="AJ765" s="29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3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29"/>
      <c r="AJ766" s="29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3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29"/>
      <c r="AJ767" s="29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3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29"/>
      <c r="AJ768" s="29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3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29"/>
      <c r="AJ769" s="29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3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29"/>
      <c r="AJ770" s="29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3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29"/>
      <c r="AJ771" s="29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3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29"/>
      <c r="AJ772" s="29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3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29"/>
      <c r="AJ773" s="29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3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29"/>
      <c r="AJ774" s="29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3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29"/>
      <c r="AJ775" s="29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3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29"/>
      <c r="AJ776" s="29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3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29"/>
      <c r="AJ777" s="29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3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29"/>
      <c r="AJ778" s="29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3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29"/>
      <c r="AJ779" s="29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3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29"/>
      <c r="AJ780" s="29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3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29"/>
      <c r="AJ781" s="29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3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29"/>
      <c r="AJ782" s="29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3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29"/>
      <c r="AJ783" s="29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3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29"/>
      <c r="AJ784" s="29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3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29"/>
      <c r="AJ785" s="29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3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29"/>
      <c r="AJ786" s="29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3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29"/>
      <c r="AJ787" s="29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3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29"/>
      <c r="AJ788" s="29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3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29"/>
      <c r="AJ789" s="29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3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29"/>
      <c r="AJ790" s="29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3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29"/>
      <c r="AJ791" s="29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3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29"/>
      <c r="AJ792" s="29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3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29"/>
      <c r="AJ793" s="29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3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29"/>
      <c r="AJ794" s="29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3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29"/>
      <c r="AJ795" s="29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3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29"/>
      <c r="AJ796" s="29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3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29"/>
      <c r="AJ797" s="29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3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29"/>
      <c r="AJ798" s="29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3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29"/>
      <c r="AJ799" s="29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3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29"/>
      <c r="AJ800" s="29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3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29"/>
      <c r="AJ801" s="29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3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29"/>
      <c r="AJ802" s="29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3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29"/>
      <c r="AJ803" s="29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3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29"/>
      <c r="AJ804" s="29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3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29"/>
      <c r="AJ805" s="29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3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29"/>
      <c r="AJ806" s="29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3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29"/>
      <c r="AJ807" s="29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3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29"/>
      <c r="AJ808" s="29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3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29"/>
      <c r="AJ809" s="29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3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29"/>
      <c r="AJ810" s="29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3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29"/>
      <c r="AJ811" s="29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3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29"/>
      <c r="AJ812" s="29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3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29"/>
      <c r="AJ813" s="29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3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29"/>
      <c r="AJ814" s="29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3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29"/>
      <c r="AJ815" s="29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3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29"/>
      <c r="AJ816" s="29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3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29"/>
      <c r="AJ817" s="29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3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29"/>
      <c r="AJ818" s="29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3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29"/>
      <c r="AJ819" s="29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3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29"/>
      <c r="AJ820" s="29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3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29"/>
      <c r="AJ821" s="29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3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29"/>
      <c r="AJ822" s="29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3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29"/>
      <c r="AJ823" s="29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3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29"/>
      <c r="AJ824" s="29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3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29"/>
      <c r="AJ825" s="29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3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29"/>
      <c r="AJ826" s="29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3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29"/>
      <c r="AJ827" s="29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3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29"/>
      <c r="AJ828" s="29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3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29"/>
      <c r="AJ829" s="29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3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29"/>
      <c r="AJ830" s="29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3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29"/>
      <c r="AJ831" s="29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3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29"/>
      <c r="AJ832" s="29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3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29"/>
      <c r="AJ833" s="29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3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29"/>
      <c r="AJ834" s="29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3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29"/>
      <c r="AJ835" s="29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3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29"/>
      <c r="AJ836" s="29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3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29"/>
      <c r="AJ837" s="29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3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29"/>
      <c r="AJ838" s="29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3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29"/>
      <c r="AJ839" s="29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3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29"/>
      <c r="AJ840" s="29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3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29"/>
      <c r="AJ841" s="29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3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29"/>
      <c r="AJ842" s="29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3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29"/>
      <c r="AJ843" s="29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3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29"/>
      <c r="AJ844" s="29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3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29"/>
      <c r="AJ845" s="29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3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29"/>
      <c r="AJ846" s="29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3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29"/>
      <c r="AJ847" s="29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3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29"/>
      <c r="AJ848" s="29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3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29"/>
      <c r="AJ849" s="29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3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29"/>
      <c r="AJ850" s="29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3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29"/>
      <c r="AJ851" s="29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3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29"/>
      <c r="AJ852" s="29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3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29"/>
      <c r="AJ853" s="29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3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29"/>
      <c r="AJ854" s="29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3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29"/>
      <c r="AJ855" s="29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3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29"/>
      <c r="AJ856" s="29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3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29"/>
      <c r="AJ857" s="29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3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29"/>
      <c r="AJ858" s="29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3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29"/>
      <c r="AJ859" s="29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3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29"/>
      <c r="AJ860" s="29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3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29"/>
      <c r="AJ861" s="29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3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29"/>
      <c r="AJ862" s="29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3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29"/>
      <c r="AJ863" s="29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3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29"/>
      <c r="AJ864" s="29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3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29"/>
      <c r="AJ865" s="29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3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29"/>
      <c r="AJ866" s="29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3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29"/>
      <c r="AJ867" s="29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3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29"/>
      <c r="AJ868" s="29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3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29"/>
      <c r="AJ869" s="29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3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29"/>
      <c r="AJ870" s="29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3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29"/>
      <c r="AJ871" s="29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3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29"/>
      <c r="AJ872" s="29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3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29"/>
      <c r="AJ873" s="29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3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29"/>
      <c r="AJ874" s="29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3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29"/>
      <c r="AJ875" s="29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3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29"/>
      <c r="AJ876" s="29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3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29"/>
      <c r="AJ877" s="29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3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29"/>
      <c r="AJ878" s="29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3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29"/>
      <c r="AJ879" s="29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3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29"/>
      <c r="AJ880" s="29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3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29"/>
      <c r="AJ881" s="29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3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29"/>
      <c r="AJ882" s="29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3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29"/>
      <c r="AJ883" s="29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3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29"/>
      <c r="AJ884" s="29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3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29"/>
      <c r="AJ885" s="29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3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29"/>
      <c r="AJ886" s="29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3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29"/>
      <c r="AJ887" s="29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3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29"/>
      <c r="AJ888" s="29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3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29"/>
      <c r="AJ889" s="29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3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29"/>
      <c r="AJ890" s="29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3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29"/>
      <c r="AJ891" s="29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3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29"/>
      <c r="AJ892" s="29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3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29"/>
      <c r="AJ893" s="29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3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29"/>
      <c r="AJ894" s="29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3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29"/>
      <c r="AJ895" s="29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3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29"/>
      <c r="AJ896" s="29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3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29"/>
      <c r="AJ897" s="29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3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29"/>
      <c r="AJ898" s="29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3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29"/>
      <c r="AJ899" s="29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3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29"/>
      <c r="AJ900" s="29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3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29"/>
      <c r="AJ901" s="29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3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29"/>
      <c r="AJ902" s="29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3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29"/>
      <c r="AJ903" s="29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3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29"/>
      <c r="AJ904" s="29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3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29"/>
      <c r="AJ905" s="29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3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29"/>
      <c r="AJ906" s="29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3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29"/>
      <c r="AJ907" s="29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3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29"/>
      <c r="AJ908" s="29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3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29"/>
      <c r="AJ909" s="29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3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29"/>
      <c r="AJ910" s="29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3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29"/>
      <c r="AJ911" s="29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3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29"/>
      <c r="AJ912" s="29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3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29"/>
      <c r="AJ913" s="29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3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29"/>
      <c r="AJ914" s="29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3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29"/>
      <c r="AJ915" s="29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3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29"/>
      <c r="AJ916" s="29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3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29"/>
      <c r="AJ917" s="29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3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29"/>
      <c r="AJ918" s="29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3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29"/>
      <c r="AJ919" s="29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3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29"/>
      <c r="AJ920" s="29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3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29"/>
      <c r="AJ921" s="29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3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29"/>
      <c r="AJ922" s="29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3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29"/>
      <c r="AJ923" s="29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3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29"/>
      <c r="AJ924" s="29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3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29"/>
      <c r="AJ925" s="29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3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29"/>
      <c r="AJ926" s="29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3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29"/>
      <c r="AJ927" s="29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3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29"/>
      <c r="AJ928" s="29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3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29"/>
      <c r="AJ929" s="29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3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29"/>
      <c r="AJ930" s="29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3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29"/>
      <c r="AJ931" s="29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3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29"/>
      <c r="AJ932" s="29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3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29"/>
      <c r="AJ933" s="29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3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29"/>
      <c r="AJ934" s="29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3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29"/>
      <c r="AJ935" s="29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3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29"/>
      <c r="AJ936" s="29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3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29"/>
      <c r="AJ937" s="29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3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29"/>
      <c r="AJ938" s="29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3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29"/>
      <c r="AJ939" s="29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3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29"/>
      <c r="AJ940" s="29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3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29"/>
      <c r="AJ941" s="29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3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29"/>
      <c r="AJ942" s="29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3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29"/>
      <c r="AJ943" s="29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3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29"/>
      <c r="AJ944" s="29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3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29"/>
      <c r="AJ945" s="29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3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29"/>
      <c r="AJ946" s="29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3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29"/>
      <c r="AJ947" s="29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3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29"/>
      <c r="AJ948" s="29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3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29"/>
      <c r="AJ949" s="29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3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29"/>
      <c r="AJ950" s="29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3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29"/>
      <c r="AJ951" s="29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3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29"/>
      <c r="AJ952" s="29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3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29"/>
      <c r="AJ953" s="29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3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29"/>
      <c r="AJ954" s="29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3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29"/>
      <c r="AJ955" s="29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3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29"/>
      <c r="AJ956" s="29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3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29"/>
      <c r="AJ957" s="29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3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29"/>
      <c r="AJ958" s="29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3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29"/>
      <c r="AJ959" s="29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3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29"/>
      <c r="AJ960" s="29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3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29"/>
      <c r="AJ961" s="29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3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29"/>
      <c r="AJ962" s="29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3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29"/>
      <c r="AJ963" s="29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3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29"/>
      <c r="AJ964" s="29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3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29"/>
      <c r="AJ965" s="29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3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29"/>
      <c r="AJ966" s="29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3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29"/>
      <c r="AJ967" s="29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3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29"/>
      <c r="AJ968" s="29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3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29"/>
      <c r="AJ969" s="29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3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29"/>
      <c r="AJ970" s="29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3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29"/>
      <c r="AJ971" s="29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3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29"/>
      <c r="AJ972" s="29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3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29"/>
      <c r="AJ973" s="29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3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29"/>
      <c r="AJ974" s="29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3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29"/>
      <c r="AJ975" s="29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3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29"/>
      <c r="AJ976" s="29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3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29"/>
      <c r="AJ977" s="29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3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29"/>
      <c r="AJ978" s="29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3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29"/>
      <c r="AJ979" s="29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3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29"/>
      <c r="AJ980" s="29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3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29"/>
      <c r="AJ981" s="29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3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29"/>
      <c r="AJ982" s="29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3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29"/>
      <c r="AJ983" s="29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3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29"/>
      <c r="AJ984" s="29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3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29"/>
      <c r="AJ985" s="29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3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29"/>
      <c r="AJ986" s="29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3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29"/>
      <c r="AJ987" s="29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3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29"/>
      <c r="AJ988" s="29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3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29"/>
      <c r="AJ989" s="29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3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29"/>
      <c r="AJ990" s="29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3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29"/>
      <c r="AJ991" s="29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3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29"/>
      <c r="AJ992" s="29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3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29"/>
      <c r="AJ993" s="29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3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29"/>
      <c r="AJ994" s="29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3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29"/>
      <c r="AJ995" s="29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3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29"/>
      <c r="AJ996" s="29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3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29"/>
      <c r="AJ997" s="29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3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29"/>
      <c r="AJ998" s="29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3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29"/>
      <c r="AJ999" s="29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3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29"/>
      <c r="AJ1000" s="29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3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29"/>
      <c r="AJ1001" s="29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3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29"/>
      <c r="AJ1002" s="29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3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29"/>
      <c r="AJ1003" s="29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3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29"/>
      <c r="AJ1004" s="29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3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29"/>
      <c r="AJ1005" s="29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3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29"/>
      <c r="AJ1006" s="29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3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29"/>
      <c r="AJ1007" s="29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3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29"/>
      <c r="AJ1008" s="29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3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29"/>
      <c r="AJ1009" s="29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3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29"/>
      <c r="AJ1010" s="29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3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29"/>
      <c r="AJ1011" s="29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3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29"/>
      <c r="AJ1012" s="29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3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29"/>
      <c r="AJ1013" s="29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3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29"/>
      <c r="AJ1014" s="29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3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29"/>
      <c r="AJ1015" s="29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3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29"/>
      <c r="AJ1016" s="29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3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29"/>
      <c r="AJ1017" s="29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3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29"/>
      <c r="AJ1018" s="29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3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29"/>
      <c r="AJ1019" s="29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3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29"/>
      <c r="AJ1020" s="29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3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29"/>
      <c r="AJ1021" s="29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3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29"/>
      <c r="AJ1022" s="29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3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29"/>
      <c r="AJ1023" s="29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3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29"/>
      <c r="AJ1024" s="29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3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29"/>
      <c r="AJ1025" s="29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3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29"/>
      <c r="AJ1026" s="29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3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29"/>
      <c r="AJ1027" s="29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3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29"/>
      <c r="AJ1028" s="29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3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29"/>
      <c r="AJ1029" s="29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3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29"/>
      <c r="AJ1030" s="29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3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29"/>
      <c r="AJ1031" s="29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3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29"/>
      <c r="AJ1032" s="29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3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29"/>
      <c r="AJ1033" s="29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3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29"/>
      <c r="AJ1034" s="29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3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29"/>
      <c r="AJ1035" s="29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3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29"/>
      <c r="AJ1036" s="29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3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29"/>
      <c r="AJ1037" s="29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3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29"/>
      <c r="AJ1038" s="29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3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29"/>
      <c r="AJ1039" s="29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3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29"/>
      <c r="AJ1040" s="29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3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29"/>
      <c r="AJ1041" s="29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3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29"/>
      <c r="AJ1042" s="29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3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29"/>
      <c r="AJ1043" s="29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3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29"/>
      <c r="AJ1044" s="29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3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29"/>
      <c r="AJ1045" s="29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3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29"/>
      <c r="AJ1046" s="29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3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29"/>
      <c r="AJ1047" s="29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3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29"/>
      <c r="AJ1048" s="29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3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29"/>
      <c r="AJ1049" s="29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3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29"/>
      <c r="AJ1050" s="29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3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29"/>
      <c r="AJ1051" s="29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3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29"/>
      <c r="AJ1052" s="29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3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29"/>
      <c r="AJ1053" s="29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3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29"/>
      <c r="AJ1054" s="29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3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29"/>
      <c r="AJ1055" s="29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3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29"/>
      <c r="AJ1056" s="29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3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29"/>
      <c r="AJ1057" s="29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3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29"/>
      <c r="AJ1058" s="29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3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29"/>
      <c r="AJ1059" s="29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3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29"/>
      <c r="AJ1060" s="29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3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29"/>
      <c r="AJ1061" s="29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3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29"/>
      <c r="AJ1062" s="29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3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29"/>
      <c r="AJ1063" s="29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3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29"/>
      <c r="AJ1064" s="29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3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29"/>
      <c r="AJ1065" s="29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3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29"/>
      <c r="AJ1066" s="29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3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29"/>
      <c r="AJ1067" s="29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3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29"/>
      <c r="AJ1068" s="29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3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29"/>
      <c r="AJ1069" s="29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3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29"/>
      <c r="AJ1070" s="29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3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29"/>
      <c r="AJ1071" s="29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3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29"/>
      <c r="AJ1072" s="29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3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29"/>
      <c r="AJ1073" s="29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3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29"/>
      <c r="AJ1074" s="29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3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29"/>
      <c r="AJ1075" s="29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3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29"/>
      <c r="AJ1076" s="29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3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29"/>
      <c r="AJ1077" s="29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3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29"/>
      <c r="AJ1078" s="29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3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29"/>
      <c r="AJ1079" s="29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3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29"/>
      <c r="AJ1080" s="29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3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29"/>
      <c r="AJ1081" s="29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3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29"/>
      <c r="AJ1082" s="29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3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29"/>
      <c r="AJ1083" s="29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3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29"/>
      <c r="AJ1084" s="29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3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29"/>
      <c r="AJ1085" s="29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3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29"/>
      <c r="AJ1086" s="29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3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29"/>
      <c r="AJ1087" s="29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3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29"/>
      <c r="AJ1088" s="29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3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29"/>
      <c r="AJ1089" s="29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3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29"/>
      <c r="AJ1090" s="29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3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29"/>
      <c r="AJ1091" s="29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3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29"/>
      <c r="AJ1092" s="29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3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29"/>
      <c r="AJ1093" s="29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3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29"/>
      <c r="AJ1094" s="29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3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29"/>
      <c r="AJ1095" s="29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3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29"/>
      <c r="AJ1096" s="29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3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29"/>
      <c r="AJ1097" s="29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3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29"/>
      <c r="AJ1098" s="29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3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29"/>
      <c r="AJ1099" s="29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3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29"/>
      <c r="AJ1100" s="29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3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29"/>
      <c r="AJ1101" s="29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3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29"/>
      <c r="AJ1102" s="29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3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29"/>
      <c r="AJ1103" s="29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3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29"/>
      <c r="AJ1104" s="29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3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29"/>
      <c r="AJ1105" s="29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3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29"/>
      <c r="AJ1106" s="29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3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29"/>
      <c r="AJ1107" s="29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3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29"/>
      <c r="AJ1108" s="29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3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29"/>
      <c r="AJ1109" s="29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3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29"/>
      <c r="AJ1110" s="29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3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29"/>
      <c r="AJ1111" s="29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3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29"/>
      <c r="AJ1112" s="29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3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29"/>
      <c r="AJ1113" s="29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3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29"/>
      <c r="AJ1114" s="29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3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29"/>
      <c r="AJ1115" s="29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3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29"/>
      <c r="AJ1116" s="29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3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29"/>
      <c r="AJ1117" s="29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3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29"/>
      <c r="AJ1118" s="29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3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29"/>
      <c r="AJ1119" s="29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3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29"/>
      <c r="AJ1120" s="29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3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29"/>
      <c r="AJ1121" s="29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3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29"/>
      <c r="AJ1122" s="29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3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29"/>
      <c r="AJ1123" s="29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3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29"/>
      <c r="AJ1124" s="29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3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29"/>
      <c r="AJ1125" s="29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3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29"/>
      <c r="AJ1126" s="29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3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29"/>
      <c r="AJ1127" s="29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3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29"/>
      <c r="AJ1128" s="29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3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29"/>
      <c r="AJ1129" s="29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3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29"/>
      <c r="AJ1130" s="29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3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29"/>
      <c r="AJ1131" s="29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3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29"/>
      <c r="AJ1132" s="29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3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29"/>
      <c r="AJ1133" s="29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3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29"/>
      <c r="AJ1134" s="29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3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29"/>
      <c r="AJ1135" s="29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3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29"/>
      <c r="AJ1136" s="29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3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29"/>
      <c r="AJ1137" s="29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3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29"/>
      <c r="AJ1138" s="29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3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29"/>
      <c r="AJ1139" s="29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3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29"/>
      <c r="AJ1140" s="29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3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29"/>
      <c r="AJ1141" s="29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3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29"/>
      <c r="AJ1142" s="29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3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29"/>
      <c r="AJ1143" s="29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3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29"/>
      <c r="AJ1144" s="29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3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29"/>
      <c r="AJ1145" s="29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3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29"/>
      <c r="AJ1146" s="29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3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29"/>
      <c r="AJ1147" s="29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3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29"/>
      <c r="AJ1148" s="29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3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29"/>
      <c r="AJ1149" s="29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3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29"/>
      <c r="AJ1150" s="29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3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29"/>
      <c r="AJ1151" s="29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3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29"/>
      <c r="AJ1152" s="29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3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29"/>
      <c r="AJ1153" s="29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3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29"/>
      <c r="AJ1154" s="29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3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29"/>
      <c r="AJ1155" s="29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3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29"/>
      <c r="AJ1156" s="29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3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29"/>
      <c r="AJ1157" s="29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3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29"/>
      <c r="AJ1158" s="29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3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29"/>
      <c r="AJ1159" s="29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3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29"/>
      <c r="AJ1160" s="29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3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29"/>
      <c r="AJ1161" s="29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3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29"/>
      <c r="AJ1162" s="29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3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29"/>
      <c r="AJ1163" s="29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3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29"/>
      <c r="AJ1164" s="29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3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29"/>
      <c r="AJ1165" s="29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3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29"/>
      <c r="AJ1166" s="29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3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29"/>
      <c r="AJ1167" s="29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3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29"/>
      <c r="AJ1168" s="29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3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29"/>
      <c r="AJ1169" s="29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3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29"/>
      <c r="AJ1170" s="29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3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29"/>
      <c r="AJ1171" s="29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3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29"/>
      <c r="AJ1172" s="29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3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29"/>
      <c r="AJ1173" s="29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3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29"/>
      <c r="AJ1174" s="29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3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29"/>
      <c r="AJ1175" s="29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3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29"/>
      <c r="AJ1176" s="29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3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29"/>
      <c r="AJ1177" s="29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3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29"/>
      <c r="AJ1178" s="29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3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29"/>
      <c r="AJ1179" s="29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3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29"/>
      <c r="AJ1180" s="29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3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29"/>
      <c r="AJ1181" s="29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3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29"/>
      <c r="AJ1182" s="29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3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29"/>
      <c r="AJ1183" s="29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3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29"/>
      <c r="AJ1184" s="29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3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29"/>
      <c r="AJ1185" s="29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3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29"/>
      <c r="AJ1186" s="29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3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29"/>
      <c r="AJ1187" s="29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3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29"/>
      <c r="AJ1188" s="29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3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29"/>
      <c r="AJ1189" s="29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3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29"/>
      <c r="AJ1190" s="29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3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29"/>
      <c r="AJ1191" s="29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3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29"/>
      <c r="AJ1192" s="29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3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29"/>
      <c r="AJ1193" s="29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3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29"/>
      <c r="AJ1194" s="29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3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29"/>
      <c r="AJ1195" s="29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3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29"/>
      <c r="AJ1196" s="29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3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29"/>
      <c r="AJ1197" s="29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3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29"/>
      <c r="AJ1198" s="29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3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29"/>
      <c r="AJ1199" s="29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3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29"/>
      <c r="AJ1200" s="29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3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29"/>
      <c r="AJ1201" s="29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3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29"/>
      <c r="AJ1202" s="29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3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29"/>
      <c r="AJ1203" s="29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3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29"/>
      <c r="AJ1204" s="29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3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29"/>
      <c r="AJ1205" s="29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3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29"/>
      <c r="AJ1206" s="29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3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29"/>
      <c r="AJ1207" s="29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3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29"/>
      <c r="AJ1208" s="29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3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29"/>
      <c r="AJ1209" s="29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3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29"/>
      <c r="AJ1210" s="29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3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29"/>
      <c r="AJ1211" s="29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3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29"/>
      <c r="AJ1212" s="29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3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29"/>
      <c r="AJ1213" s="29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3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29"/>
      <c r="AJ1214" s="29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3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29"/>
      <c r="AJ1215" s="29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3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29"/>
      <c r="AJ1216" s="29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3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29"/>
      <c r="AJ1217" s="29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3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29"/>
      <c r="AJ1218" s="29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3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29"/>
      <c r="AJ1219" s="29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3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29"/>
      <c r="AJ1220" s="29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3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29"/>
      <c r="AJ1221" s="29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3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29"/>
      <c r="AJ1222" s="29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3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29"/>
      <c r="AJ1223" s="29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3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29"/>
      <c r="AJ1224" s="29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3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29"/>
      <c r="AJ1225" s="29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3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29"/>
      <c r="AJ1226" s="29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3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29"/>
      <c r="AJ1227" s="29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3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29"/>
      <c r="AJ1228" s="29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3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29"/>
      <c r="AJ1229" s="29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3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29"/>
      <c r="AJ1230" s="29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3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29"/>
      <c r="AJ1231" s="29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3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29"/>
      <c r="AJ1232" s="29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3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29"/>
      <c r="AJ1233" s="29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3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29"/>
      <c r="AJ1234" s="29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3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29"/>
      <c r="AJ1235" s="29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3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29"/>
      <c r="AJ1236" s="29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3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29"/>
      <c r="AJ1237" s="29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3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29"/>
      <c r="AJ1238" s="29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3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29"/>
      <c r="AJ1239" s="29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3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29"/>
      <c r="AJ1240" s="29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3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29"/>
      <c r="AJ1241" s="29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3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29"/>
      <c r="AJ1242" s="29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3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29"/>
      <c r="AJ1243" s="29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3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29"/>
      <c r="AJ1244" s="29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3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29"/>
      <c r="AJ1245" s="29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3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29"/>
      <c r="AJ1246" s="29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3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29"/>
      <c r="AJ1247" s="29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3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29"/>
      <c r="AJ1248" s="29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3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29"/>
      <c r="AJ1249" s="29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3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29"/>
      <c r="AJ1250" s="29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3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29"/>
      <c r="AJ1251" s="29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3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29"/>
      <c r="AJ1252" s="29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3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29"/>
      <c r="AJ1253" s="29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3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29"/>
      <c r="AJ1254" s="29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3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29"/>
      <c r="AJ1255" s="29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3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29"/>
      <c r="AJ1256" s="29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3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29"/>
      <c r="AJ1257" s="29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3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29"/>
      <c r="AJ1258" s="29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3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29"/>
      <c r="AJ1259" s="29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3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29"/>
      <c r="AJ1260" s="29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3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29"/>
      <c r="AJ1261" s="29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3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29"/>
      <c r="AJ1262" s="29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3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29"/>
      <c r="AJ1263" s="29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3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29"/>
      <c r="AJ1264" s="29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3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29"/>
      <c r="AJ1265" s="29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3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29"/>
      <c r="AJ1266" s="29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3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29"/>
      <c r="AJ1267" s="29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3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29"/>
      <c r="AJ1268" s="29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3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29"/>
      <c r="AJ1269" s="29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3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29"/>
      <c r="AJ1270" s="29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3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29"/>
      <c r="AJ1271" s="29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3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29"/>
      <c r="AJ1272" s="29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3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29"/>
      <c r="AJ1273" s="29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3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29"/>
      <c r="AJ1274" s="29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3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29"/>
      <c r="AJ1275" s="29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3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29"/>
      <c r="AJ1276" s="29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3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29"/>
      <c r="AJ1277" s="29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3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29"/>
      <c r="AJ1278" s="29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3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29"/>
      <c r="AJ1279" s="29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3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29"/>
      <c r="AJ1280" s="29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3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29"/>
      <c r="AJ1281" s="29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3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29"/>
      <c r="AJ1282" s="29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3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29"/>
      <c r="AJ1283" s="29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3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29"/>
      <c r="AJ1284" s="29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3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29"/>
      <c r="AJ1285" s="29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3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29"/>
      <c r="AJ1286" s="29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3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29"/>
      <c r="AJ1287" s="29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3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29"/>
      <c r="AJ1288" s="29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3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29"/>
      <c r="AJ1289" s="29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3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29"/>
      <c r="AJ1290" s="29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3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29"/>
      <c r="AJ1291" s="29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3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29"/>
      <c r="AJ1292" s="29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3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29"/>
      <c r="AJ1293" s="29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3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29"/>
      <c r="AJ1294" s="29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3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29"/>
      <c r="AJ1295" s="29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3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29"/>
      <c r="AJ1296" s="29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3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29"/>
      <c r="AJ1297" s="29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3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29"/>
      <c r="AJ1298" s="29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3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29"/>
      <c r="AJ1299" s="29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3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29"/>
      <c r="AJ1300" s="29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3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29"/>
      <c r="AJ1301" s="29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3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29"/>
      <c r="AJ1302" s="29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3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29"/>
      <c r="AJ1303" s="29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3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29"/>
      <c r="AJ1304" s="29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3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29"/>
      <c r="AJ1305" s="29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3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29"/>
      <c r="AJ1306" s="29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3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29"/>
      <c r="AJ1307" s="29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3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29"/>
      <c r="AJ1308" s="29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3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29"/>
      <c r="AJ1309" s="29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3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29"/>
      <c r="AJ1310" s="29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3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29"/>
      <c r="AJ1311" s="29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3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29"/>
      <c r="AJ1312" s="29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3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29"/>
      <c r="AJ1313" s="29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3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29"/>
      <c r="AJ1314" s="29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3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29"/>
      <c r="AJ1315" s="29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3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29"/>
      <c r="AJ1316" s="29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3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29"/>
      <c r="AJ1317" s="29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3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29"/>
      <c r="AJ1318" s="29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3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29"/>
      <c r="AJ1319" s="29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3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29"/>
      <c r="AJ1320" s="29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3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29"/>
      <c r="AJ1321" s="29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3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29"/>
      <c r="AJ1322" s="29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3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29"/>
      <c r="AJ1323" s="29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3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29"/>
      <c r="AJ1324" s="29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3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29"/>
      <c r="AJ1325" s="29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3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29"/>
      <c r="AJ1326" s="29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3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29"/>
      <c r="AJ1327" s="29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3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29"/>
      <c r="AJ1328" s="29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3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29"/>
      <c r="AJ1329" s="29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3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29"/>
      <c r="AJ1330" s="29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3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29"/>
      <c r="AJ1331" s="29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3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29"/>
      <c r="AJ1332" s="29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3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29"/>
      <c r="AJ1333" s="29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3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29"/>
      <c r="AJ1334" s="29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3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29"/>
      <c r="AJ1335" s="29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3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29"/>
      <c r="AJ1336" s="29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3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29"/>
      <c r="AJ1337" s="29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3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29"/>
      <c r="AJ1338" s="29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3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29"/>
      <c r="AJ1339" s="29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3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29"/>
      <c r="AJ1340" s="29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3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29"/>
      <c r="AJ1341" s="29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3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29"/>
      <c r="AJ1342" s="29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3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29"/>
      <c r="AJ1343" s="29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3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29"/>
      <c r="AJ1344" s="29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3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29"/>
      <c r="AJ1345" s="29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3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29"/>
      <c r="AJ1346" s="29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3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29"/>
      <c r="AJ1347" s="29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3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29"/>
      <c r="AJ1348" s="29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3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29"/>
      <c r="AJ1349" s="29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3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29"/>
      <c r="AJ1350" s="29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3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29"/>
      <c r="AJ1351" s="29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3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29"/>
      <c r="AJ1352" s="29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3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29"/>
      <c r="AJ1353" s="29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3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29"/>
      <c r="AJ1354" s="29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3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29"/>
      <c r="AJ1355" s="29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3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29"/>
      <c r="AJ1356" s="29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3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29"/>
      <c r="AJ1357" s="29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3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29"/>
      <c r="AJ1358" s="29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3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29"/>
      <c r="AJ1359" s="29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3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29"/>
      <c r="AJ1360" s="29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3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29"/>
      <c r="AJ1361" s="29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3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29"/>
      <c r="AJ1362" s="29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3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29"/>
      <c r="AJ1363" s="29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3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29"/>
      <c r="AJ1364" s="29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3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29"/>
      <c r="AJ1365" s="29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3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29"/>
      <c r="AJ1366" s="29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3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29"/>
      <c r="AJ1367" s="29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3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29"/>
      <c r="AJ1368" s="29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3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29"/>
      <c r="AJ1369" s="29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3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29"/>
      <c r="AJ1370" s="29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3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29"/>
      <c r="AJ1371" s="29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3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29"/>
      <c r="AJ1372" s="29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3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29"/>
      <c r="AJ1373" s="29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3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29"/>
      <c r="AJ1374" s="29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3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29"/>
      <c r="AJ1375" s="29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3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29"/>
      <c r="AJ1376" s="29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3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29"/>
      <c r="AJ1377" s="29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3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29"/>
      <c r="AJ1378" s="29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3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29"/>
      <c r="AJ1379" s="29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3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29"/>
      <c r="AJ1380" s="29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3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29"/>
      <c r="AJ1381" s="29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3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29"/>
      <c r="AJ1382" s="29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3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29"/>
      <c r="AJ1383" s="29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3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29"/>
      <c r="AJ1384" s="29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3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29"/>
      <c r="AJ1385" s="29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3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29"/>
      <c r="AJ1386" s="29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3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29"/>
      <c r="AJ1387" s="29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3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29"/>
      <c r="AJ1388" s="29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3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29"/>
      <c r="AJ1389" s="29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3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29"/>
      <c r="AJ1390" s="29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3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29"/>
      <c r="AJ1391" s="29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3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29"/>
      <c r="AJ1392" s="29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3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29"/>
      <c r="AJ1393" s="29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3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29"/>
      <c r="AJ1394" s="29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3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29"/>
      <c r="AJ1395" s="29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3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29"/>
      <c r="AJ1396" s="29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3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29"/>
      <c r="AJ1397" s="29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3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29"/>
      <c r="AJ1398" s="29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3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29"/>
      <c r="AJ1399" s="29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3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29"/>
      <c r="AJ1400" s="29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3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29"/>
      <c r="AJ1401" s="29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3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29"/>
      <c r="AJ1402" s="29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3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29"/>
      <c r="AJ1403" s="29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3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29"/>
      <c r="AJ1404" s="29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3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29"/>
      <c r="AJ1405" s="29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3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29"/>
      <c r="AJ1406" s="29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3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29"/>
      <c r="AJ1407" s="29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3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29"/>
      <c r="AJ1408" s="29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3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29"/>
      <c r="AJ1409" s="29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3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29"/>
      <c r="AJ1410" s="29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3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29"/>
      <c r="AJ1411" s="29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3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29"/>
      <c r="AJ1412" s="29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3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29"/>
      <c r="AJ1413" s="29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3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29"/>
      <c r="AJ1414" s="29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3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29"/>
      <c r="AJ1415" s="29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3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29"/>
      <c r="AJ1416" s="29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3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29"/>
      <c r="AJ1417" s="29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3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29"/>
      <c r="AJ1418" s="29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3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29"/>
      <c r="AJ1419" s="29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3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29"/>
      <c r="AJ1420" s="29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3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29"/>
      <c r="AJ1421" s="29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3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29"/>
      <c r="AJ1422" s="29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3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29"/>
      <c r="AJ1423" s="29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3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29"/>
      <c r="AJ1424" s="29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3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29"/>
      <c r="AJ1425" s="29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3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29"/>
      <c r="AJ1426" s="29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3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29"/>
      <c r="AJ1427" s="29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3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29"/>
      <c r="AJ1428" s="29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3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29"/>
      <c r="AJ1429" s="29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3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29"/>
      <c r="AJ1430" s="29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3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29"/>
      <c r="AJ1431" s="29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3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29"/>
      <c r="AJ1432" s="29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3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29"/>
      <c r="AJ1433" s="29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3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29"/>
      <c r="AJ1434" s="29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3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29"/>
      <c r="AJ1435" s="29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3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29"/>
      <c r="AJ1436" s="29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3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29"/>
      <c r="AJ1437" s="29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3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29"/>
      <c r="AJ1438" s="29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3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29"/>
      <c r="AJ1439" s="29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3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29"/>
      <c r="AJ1440" s="29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3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29"/>
      <c r="AJ1441" s="29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3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29"/>
      <c r="AJ1442" s="29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3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29"/>
      <c r="AJ1443" s="29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3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29"/>
      <c r="AJ1444" s="29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3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29"/>
      <c r="AJ1445" s="29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3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29"/>
      <c r="AJ1446" s="29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3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29"/>
      <c r="AJ1447" s="29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3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29"/>
      <c r="AJ1448" s="29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3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29"/>
      <c r="AJ1449" s="29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3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29"/>
      <c r="AJ1450" s="29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3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29"/>
      <c r="AJ1451" s="29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3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29"/>
      <c r="AJ1452" s="29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3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29"/>
      <c r="AJ1453" s="29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3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29"/>
      <c r="AJ1454" s="29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3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29"/>
      <c r="AJ1455" s="29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3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29"/>
      <c r="AJ1456" s="29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3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29"/>
      <c r="AJ1457" s="29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3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29"/>
      <c r="AJ1458" s="29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3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29"/>
      <c r="AJ1459" s="29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3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29"/>
      <c r="AJ1460" s="29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3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29"/>
      <c r="AJ1461" s="29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3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29"/>
      <c r="AJ1462" s="29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3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29"/>
      <c r="AJ1463" s="29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3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29"/>
      <c r="AJ1464" s="29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3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29"/>
      <c r="AJ1465" s="29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3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29"/>
      <c r="AJ1466" s="29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3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29"/>
      <c r="AJ1467" s="29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3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29"/>
      <c r="AJ1468" s="29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3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29"/>
      <c r="AJ1469" s="29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3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29"/>
      <c r="AJ1470" s="29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3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29"/>
      <c r="AJ1471" s="29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3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29"/>
      <c r="AJ1472" s="29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3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29"/>
      <c r="AJ1473" s="29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3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29"/>
      <c r="AJ1474" s="29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3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29"/>
      <c r="AJ1475" s="29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3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29"/>
      <c r="AJ1476" s="29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3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29"/>
      <c r="AJ1477" s="29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3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29"/>
      <c r="AJ1478" s="29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3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29"/>
      <c r="AJ1479" s="29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3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29"/>
      <c r="AJ1480" s="29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3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29"/>
      <c r="AJ1481" s="29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3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29"/>
      <c r="AJ1482" s="29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3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29"/>
      <c r="AJ1483" s="29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3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29"/>
      <c r="AJ1484" s="29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3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29"/>
      <c r="AJ1485" s="29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3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29"/>
      <c r="AJ1486" s="29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3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29"/>
      <c r="AJ1487" s="29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3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29"/>
      <c r="AJ1488" s="29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3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29"/>
      <c r="AJ1489" s="29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3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29"/>
      <c r="AJ1490" s="29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3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29"/>
      <c r="AJ1491" s="29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3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29"/>
      <c r="AJ1492" s="29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3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29"/>
      <c r="AJ1493" s="29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3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29"/>
      <c r="AJ1494" s="29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3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29"/>
      <c r="AJ1495" s="29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3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29"/>
      <c r="AJ1496" s="29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3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29"/>
      <c r="AJ1497" s="29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3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29"/>
      <c r="AJ1498" s="29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3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29"/>
      <c r="AJ1499" s="29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3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29"/>
      <c r="AJ1500" s="29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3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29"/>
      <c r="AJ1501" s="29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3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29"/>
      <c r="AJ1502" s="29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3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29"/>
      <c r="AJ1503" s="29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3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29"/>
      <c r="AJ1504" s="29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3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29"/>
      <c r="AJ1505" s="29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3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29"/>
      <c r="AJ1506" s="29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3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29"/>
      <c r="AJ1507" s="29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3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29"/>
      <c r="AJ1508" s="29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3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29"/>
      <c r="AJ1509" s="29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3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29"/>
      <c r="AJ1510" s="29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3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29"/>
      <c r="AJ1511" s="29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3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29"/>
      <c r="AJ1512" s="29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3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29"/>
      <c r="AJ1513" s="29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3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29"/>
      <c r="AJ1514" s="29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3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29"/>
      <c r="AJ1515" s="29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3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29"/>
      <c r="AJ1516" s="29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3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29"/>
      <c r="AJ1517" s="29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3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29"/>
      <c r="AJ1518" s="29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3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29"/>
      <c r="AJ1519" s="29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3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29"/>
      <c r="AJ1520" s="29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3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29"/>
      <c r="AJ1521" s="29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3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29"/>
      <c r="AJ1522" s="29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3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29"/>
      <c r="AJ1523" s="29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3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29"/>
      <c r="AJ1524" s="29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3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29"/>
      <c r="AJ1525" s="29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3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29"/>
      <c r="AJ1526" s="29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3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29"/>
      <c r="AJ1527" s="29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3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29"/>
      <c r="AJ1528" s="29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3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29"/>
      <c r="AJ1529" s="29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3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29"/>
      <c r="AJ1530" s="29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3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29"/>
      <c r="AJ1531" s="29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3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29"/>
      <c r="AJ1532" s="29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3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29"/>
      <c r="AJ1533" s="29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3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29"/>
      <c r="AJ1534" s="29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3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29"/>
      <c r="AJ1535" s="29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3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29"/>
      <c r="AJ1536" s="29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3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29"/>
      <c r="AJ1537" s="29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3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29"/>
      <c r="AJ1538" s="29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3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29"/>
      <c r="AJ1539" s="29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3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29"/>
      <c r="AJ1540" s="29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3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29"/>
      <c r="AJ1541" s="29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3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29"/>
      <c r="AJ1542" s="29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3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29"/>
      <c r="AJ1543" s="29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3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29"/>
      <c r="AJ1544" s="29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3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29"/>
      <c r="AJ1545" s="29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3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29"/>
      <c r="AJ1546" s="29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3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29"/>
      <c r="AJ1547" s="29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3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29"/>
      <c r="AJ1548" s="29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3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29"/>
      <c r="AJ1549" s="29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3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29"/>
      <c r="AJ1550" s="29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3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29"/>
      <c r="AJ1551" s="29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3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29"/>
      <c r="AJ1552" s="29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3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29"/>
      <c r="AJ1553" s="29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3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29"/>
      <c r="AJ1554" s="29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3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29"/>
      <c r="AJ1555" s="29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3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29"/>
      <c r="AJ1556" s="29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3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29"/>
      <c r="AJ1557" s="29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3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29"/>
      <c r="AJ1558" s="29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3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29"/>
      <c r="AJ1559" s="29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3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29"/>
      <c r="AJ1560" s="29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3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29"/>
      <c r="AJ1561" s="29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3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29"/>
      <c r="AJ1562" s="29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3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29"/>
      <c r="AJ1563" s="29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3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29"/>
      <c r="AJ1564" s="29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3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29"/>
      <c r="AJ1565" s="29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3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29"/>
      <c r="AJ1566" s="29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3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29"/>
      <c r="AJ1567" s="29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3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29"/>
      <c r="AJ1568" s="29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3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29"/>
      <c r="AJ1569" s="29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3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29"/>
      <c r="AJ1570" s="29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3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29"/>
      <c r="AJ1571" s="29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3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29"/>
      <c r="AJ1572" s="29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3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29"/>
      <c r="AJ1573" s="29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3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29"/>
      <c r="AJ1574" s="29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3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29"/>
      <c r="AJ1575" s="29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3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29"/>
      <c r="AJ1576" s="29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3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29"/>
      <c r="AJ1577" s="29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3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29"/>
      <c r="AJ1578" s="29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3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29"/>
      <c r="AJ1579" s="29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3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29"/>
      <c r="AJ1580" s="29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3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29"/>
      <c r="AJ1581" s="29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3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29"/>
      <c r="AJ1582" s="29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3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29"/>
      <c r="AJ1583" s="29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3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29"/>
      <c r="AJ1584" s="29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3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29"/>
      <c r="AJ1585" s="29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3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29"/>
      <c r="AJ1586" s="29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3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29"/>
      <c r="AJ1587" s="29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3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29"/>
      <c r="AJ1588" s="29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3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29"/>
      <c r="AJ1589" s="29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3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29"/>
      <c r="AJ1590" s="29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3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29"/>
      <c r="AJ1591" s="29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3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29"/>
      <c r="AJ1592" s="29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3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29"/>
      <c r="AJ1593" s="29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3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29"/>
      <c r="AJ1594" s="29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3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29"/>
      <c r="AJ1595" s="29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3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29"/>
      <c r="AJ1596" s="29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3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29"/>
      <c r="AJ1597" s="29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3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29"/>
      <c r="AJ1598" s="29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3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29"/>
      <c r="AJ1599" s="29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3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29"/>
      <c r="AJ1600" s="29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3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29"/>
      <c r="AJ1601" s="29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3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29"/>
      <c r="AJ1602" s="29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3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29"/>
      <c r="AJ1603" s="29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3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29"/>
      <c r="AJ1604" s="29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3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29"/>
      <c r="AJ1605" s="29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3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29"/>
      <c r="AJ1606" s="29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3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29"/>
      <c r="AJ1607" s="29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3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29"/>
      <c r="AJ1608" s="29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3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29"/>
      <c r="AJ1609" s="29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3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29"/>
      <c r="AJ1610" s="29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3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29"/>
      <c r="AJ1611" s="29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3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29"/>
      <c r="AJ1612" s="29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3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29"/>
      <c r="AJ1613" s="29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3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29"/>
      <c r="AJ1614" s="29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3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29"/>
      <c r="AJ1615" s="29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3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29"/>
      <c r="AJ1616" s="29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3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29"/>
      <c r="AJ1617" s="29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3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29"/>
      <c r="AJ1618" s="29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3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29"/>
      <c r="AJ1619" s="29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3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29"/>
      <c r="AJ1620" s="29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3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29"/>
      <c r="AJ1621" s="29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3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29"/>
      <c r="AJ1622" s="29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3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29"/>
      <c r="AJ1623" s="29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3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29"/>
      <c r="AJ1624" s="29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3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29"/>
      <c r="AJ1625" s="29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3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29"/>
      <c r="AJ1626" s="29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3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29"/>
      <c r="AJ1627" s="29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3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29"/>
      <c r="AJ1628" s="29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3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29"/>
      <c r="AJ1629" s="29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3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29"/>
      <c r="AJ1630" s="29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3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29"/>
      <c r="AJ1631" s="29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3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29"/>
      <c r="AJ1632" s="29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3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29"/>
      <c r="AJ1633" s="29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3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29"/>
      <c r="AJ1634" s="29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3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29"/>
      <c r="AJ1635" s="29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3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29"/>
      <c r="AJ1636" s="29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3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29"/>
      <c r="AJ1637" s="29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3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29"/>
      <c r="AJ1638" s="29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3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29"/>
      <c r="AJ1639" s="29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3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29"/>
      <c r="AJ1640" s="29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3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29"/>
      <c r="AJ1641" s="29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3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29"/>
      <c r="AJ1642" s="29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3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29"/>
      <c r="AJ1643" s="29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3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29"/>
      <c r="AJ1644" s="29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3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29"/>
      <c r="AJ1645" s="29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3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29"/>
      <c r="AJ1646" s="29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3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29"/>
      <c r="AJ1647" s="29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3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29"/>
      <c r="AJ1648" s="29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3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29"/>
      <c r="AJ1649" s="29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3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29"/>
      <c r="AJ1650" s="29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3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29"/>
      <c r="AJ1651" s="29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3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29"/>
      <c r="AJ1652" s="29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3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29"/>
      <c r="AJ1653" s="29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0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4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Opp Meta")</f>
        <v>Receita por Opp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1">
        <f>IFERROR(__xludf.DUMMYFUNCTION("""COMPUTED_VALUE"""),679.354838709677)</f>
        <v>679.3548387</v>
      </c>
      <c r="C2" s="11">
        <f>IFERROR(__xludf.DUMMYFUNCTION("""COMPUTED_VALUE"""),726.0)</f>
        <v>726</v>
      </c>
      <c r="D2" s="11">
        <f>IFERROR(__xludf.DUMMYFUNCTION("""COMPUTED_VALUE"""),46.64516129032302)</f>
        <v>46.64516129</v>
      </c>
      <c r="E2" s="10">
        <f>IFERROR(__xludf.DUMMYFUNCTION("""COMPUTED_VALUE"""),0.06866096866096935)</f>
        <v>0.06866096866</v>
      </c>
      <c r="F2" s="10">
        <f>IFERROR(__xludf.DUMMYFUNCTION("""COMPUTED_VALUE"""),0.8603277999463558)</f>
        <v>0.8603277999</v>
      </c>
      <c r="G2" s="10">
        <f>IFERROR(__xludf.DUMMYFUNCTION("""COMPUTED_VALUE"""),0.7699724517906336)</f>
        <v>0.7699724518</v>
      </c>
      <c r="H2" s="35">
        <f>IFERROR(__xludf.DUMMYFUNCTION("""COMPUTED_VALUE"""),-9.035534815572221)</f>
        <v>-9.035534816</v>
      </c>
      <c r="I2" s="11">
        <f>IFERROR(__xludf.DUMMYFUNCTION("""COMPUTED_VALUE"""),584.4678537700078)</f>
        <v>584.4678538</v>
      </c>
      <c r="J2" s="11">
        <f>IFERROR(__xludf.DUMMYFUNCTION("""COMPUTED_VALUE"""),559.0)</f>
        <v>559</v>
      </c>
      <c r="K2" s="11">
        <f>IFERROR(__xludf.DUMMYFUNCTION("""COMPUTED_VALUE"""),-25.467853770007764)</f>
        <v>-25.46785377</v>
      </c>
      <c r="L2" s="10">
        <f>IFERROR(__xludf.DUMMYFUNCTION("""COMPUTED_VALUE"""),-0.04357443032278306)</f>
        <v>-0.04357443032</v>
      </c>
      <c r="M2" s="10">
        <f>IFERROR(__xludf.DUMMYFUNCTION("""COMPUTED_VALUE"""),0.25718518518518546)</f>
        <v>0.2571851852</v>
      </c>
      <c r="N2" s="10">
        <f>IFERROR(__xludf.DUMMYFUNCTION("""COMPUTED_VALUE"""),0.2772808586762075)</f>
        <v>0.2772808587</v>
      </c>
      <c r="O2" s="35">
        <f>IFERROR(__xludf.DUMMYFUNCTION("""COMPUTED_VALUE"""),2.0095673491022037)</f>
        <v>2.009567349</v>
      </c>
      <c r="P2" s="11">
        <f>IFERROR(__xludf.DUMMYFUNCTION("""COMPUTED_VALUE"""),150.31647320662734)</f>
        <v>150.3164732</v>
      </c>
      <c r="Q2" s="11">
        <f>IFERROR(__xludf.DUMMYFUNCTION("""COMPUTED_VALUE"""),155.0)</f>
        <v>155</v>
      </c>
      <c r="R2" s="11">
        <f>IFERROR(__xludf.DUMMYFUNCTION("""COMPUTED_VALUE"""),4.683526793372664)</f>
        <v>4.683526793</v>
      </c>
      <c r="S2" s="10">
        <f>IFERROR(__xludf.DUMMYFUNCTION("""COMPUTED_VALUE"""),0.031157774616855306)</f>
        <v>0.03115777462</v>
      </c>
      <c r="T2" s="11">
        <f>IFERROR(__xludf.DUMMYFUNCTION("""COMPUTED_VALUE"""),720750.5784225422)</f>
        <v>720750.5784</v>
      </c>
      <c r="U2" s="36">
        <f>IFERROR(__xludf.DUMMYFUNCTION("""COMPUTED_VALUE"""),4940.0)</f>
        <v>4940</v>
      </c>
      <c r="V2" s="36">
        <f>IFERROR(__xludf.DUMMYFUNCTION("""COMPUTED_VALUE"""),-125811.19762383835)</f>
        <v>-125811.1976</v>
      </c>
      <c r="W2" s="10">
        <f>IFERROR(__xludf.DUMMYFUNCTION("""COMPUTED_VALUE"""),-0.1745558052817561)</f>
        <v>-0.1745558053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1">
        <f>IFERROR(__xludf.DUMMYFUNCTION("""COMPUTED_VALUE"""),98.41935483870961)</f>
        <v>98.41935484</v>
      </c>
      <c r="C3" s="11">
        <f>IFERROR(__xludf.DUMMYFUNCTION("""COMPUTED_VALUE"""),98.0)</f>
        <v>98</v>
      </c>
      <c r="D3" s="11">
        <f>IFERROR(__xludf.DUMMYFUNCTION("""COMPUTED_VALUE"""),-0.41935483870960866)</f>
        <v>-0.4193548387</v>
      </c>
      <c r="E3" s="10">
        <f>IFERROR(__xludf.DUMMYFUNCTION("""COMPUTED_VALUE"""),-0.004260898066207105)</f>
        <v>-0.004260898066</v>
      </c>
      <c r="F3" s="10">
        <f>IFERROR(__xludf.DUMMYFUNCTION("""COMPUTED_VALUE"""),0.7720883770996892)</f>
        <v>0.7720883771</v>
      </c>
      <c r="G3" s="10">
        <f>IFERROR(__xludf.DUMMYFUNCTION("""COMPUTED_VALUE"""),0.8775510204081632)</f>
        <v>0.8775510204</v>
      </c>
      <c r="H3" s="35">
        <f>IFERROR(__xludf.DUMMYFUNCTION("""COMPUTED_VALUE"""),10.5462643308474)</f>
        <v>10.54626433</v>
      </c>
      <c r="I3" s="11">
        <f>IFERROR(__xludf.DUMMYFUNCTION("""COMPUTED_VALUE"""),75.98843995261775)</f>
        <v>75.98843995</v>
      </c>
      <c r="J3" s="11">
        <f>IFERROR(__xludf.DUMMYFUNCTION("""COMPUTED_VALUE"""),86.0)</f>
        <v>86</v>
      </c>
      <c r="K3" s="11">
        <f>IFERROR(__xludf.DUMMYFUNCTION("""COMPUTED_VALUE"""),10.011560047382247)</f>
        <v>10.01156005</v>
      </c>
      <c r="L3" s="10">
        <f>IFERROR(__xludf.DUMMYFUNCTION("""COMPUTED_VALUE"""),0.13175109337189853)</f>
        <v>0.1317510934</v>
      </c>
      <c r="M3" s="10">
        <f>IFERROR(__xludf.DUMMYFUNCTION("""COMPUTED_VALUE"""),0.261777777777778)</f>
        <v>0.2617777778</v>
      </c>
      <c r="N3" s="10">
        <f>IFERROR(__xludf.DUMMYFUNCTION("""COMPUTED_VALUE"""),0.1511627906976744)</f>
        <v>0.1511627907</v>
      </c>
      <c r="O3" s="35">
        <f>IFERROR(__xludf.DUMMYFUNCTION("""COMPUTED_VALUE"""),-11.061498708010358)</f>
        <v>-11.06149871</v>
      </c>
      <c r="P3" s="11">
        <f>IFERROR(__xludf.DUMMYFUNCTION("""COMPUTED_VALUE"""),19.8920849475964)</f>
        <v>19.89208495</v>
      </c>
      <c r="Q3" s="11">
        <f>IFERROR(__xludf.DUMMYFUNCTION("""COMPUTED_VALUE"""),13.0)</f>
        <v>13</v>
      </c>
      <c r="R3" s="11">
        <f>IFERROR(__xludf.DUMMYFUNCTION("""COMPUTED_VALUE"""),-6.892084947596398)</f>
        <v>-6.892084948</v>
      </c>
      <c r="S3" s="10">
        <f>IFERROR(__xludf.DUMMYFUNCTION("""COMPUTED_VALUE"""),-0.34647373393753694)</f>
        <v>-0.3464737339</v>
      </c>
      <c r="T3" s="11">
        <f>IFERROR(__xludf.DUMMYFUNCTION("""COMPUTED_VALUE"""),106578.80733647935)</f>
        <v>106578.8073</v>
      </c>
      <c r="U3" s="36">
        <f>IFERROR(__xludf.DUMMYFUNCTION("""COMPUTED_VALUE"""),5520.000000000001)</f>
        <v>5520</v>
      </c>
      <c r="V3" s="36">
        <f>IFERROR(__xludf.DUMMYFUNCTION("""COMPUTED_VALUE"""),55263.81146155001)</f>
        <v>55263.81146</v>
      </c>
      <c r="W3" s="10">
        <f>IFERROR(__xludf.DUMMYFUNCTION("""COMPUTED_VALUE"""),0.5185253320303814)</f>
        <v>0.518525332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1">
        <f>IFERROR(__xludf.DUMMYFUNCTION("""COMPUTED_VALUE"""),1917.6967741935473)</f>
        <v>1917.696774</v>
      </c>
      <c r="C4" s="11">
        <f>IFERROR(__xludf.DUMMYFUNCTION("""COMPUTED_VALUE"""),1670.0)</f>
        <v>1670</v>
      </c>
      <c r="D4" s="11">
        <f>IFERROR(__xludf.DUMMYFUNCTION("""COMPUTED_VALUE"""),-247.6967741935473)</f>
        <v>-247.6967742</v>
      </c>
      <c r="E4" s="10">
        <f>IFERROR(__xludf.DUMMYFUNCTION("""COMPUTED_VALUE"""),-0.1291636808940828)</f>
        <v>-0.1291636809</v>
      </c>
      <c r="F4" s="10">
        <f>IFERROR(__xludf.DUMMYFUNCTION("""COMPUTED_VALUE"""),0.8334080360633018)</f>
        <v>0.8334080361</v>
      </c>
      <c r="G4" s="10" t="str">
        <f>IFERROR(__xludf.DUMMYFUNCTION("""COMPUTED_VALUE"""),"#REF!")</f>
        <v>#REF!</v>
      </c>
      <c r="H4" s="35" t="str">
        <f>IFERROR(__xludf.DUMMYFUNCTION("""COMPUTED_VALUE"""),"#REF!")</f>
        <v>#REF!</v>
      </c>
      <c r="I4" s="11">
        <f>IFERROR(__xludf.DUMMYFUNCTION("""COMPUTED_VALUE"""),1598.2239023455734)</f>
        <v>1598.223902</v>
      </c>
      <c r="J4" s="11" t="str">
        <f>IFERROR(__xludf.DUMMYFUNCTION("""COMPUTED_VALUE"""),"#REF!")</f>
        <v>#REF!</v>
      </c>
      <c r="K4" s="9" t="str">
        <f>IFERROR(__xludf.DUMMYFUNCTION("""COMPUTED_VALUE"""),"#REF!")</f>
        <v>#REF!</v>
      </c>
      <c r="L4" s="10" t="str">
        <f>IFERROR(__xludf.DUMMYFUNCTION("""COMPUTED_VALUE"""),"#REF!")</f>
        <v>#REF!</v>
      </c>
      <c r="M4" s="10">
        <f>IFERROR(__xludf.DUMMYFUNCTION("""COMPUTED_VALUE"""),0.3056889689296697)</f>
        <v>0.3056889689</v>
      </c>
      <c r="N4" s="10" t="str">
        <f>IFERROR(__xludf.DUMMYFUNCTION("""COMPUTED_VALUE"""),"#REF!")</f>
        <v>#REF!</v>
      </c>
      <c r="O4" s="35" t="str">
        <f>IFERROR(__xludf.DUMMYFUNCTION("""COMPUTED_VALUE"""),"#REF!")</f>
        <v>#REF!</v>
      </c>
      <c r="P4" s="11">
        <f>IFERROR(__xludf.DUMMYFUNCTION("""COMPUTED_VALUE"""),488.55941682677144)</f>
        <v>488.5594168</v>
      </c>
      <c r="Q4" s="11" t="str">
        <f>IFERROR(__xludf.DUMMYFUNCTION("""COMPUTED_VALUE"""),"#REF!")</f>
        <v>#REF!</v>
      </c>
      <c r="R4" s="9" t="str">
        <f>IFERROR(__xludf.DUMMYFUNCTION("""COMPUTED_VALUE"""),"#REF!")</f>
        <v>#REF!</v>
      </c>
      <c r="S4" s="10" t="str">
        <f>IFERROR(__xludf.DUMMYFUNCTION("""COMPUTED_VALUE"""),"#REF!")</f>
        <v>#REF!</v>
      </c>
      <c r="T4" s="11">
        <f>IFERROR(__xludf.DUMMYFUNCTION("""COMPUTED_VALUE"""),2771350.7911419296)</f>
        <v>2771350.791</v>
      </c>
      <c r="U4" s="36">
        <f>IFERROR(__xludf.DUMMYFUNCTION("""COMPUTED_VALUE"""),5844.167295568762)</f>
        <v>5844.167296</v>
      </c>
      <c r="V4" s="36">
        <f>IFERROR(__xludf.DUMMYFUNCTION("""COMPUTED_VALUE"""),-1286910.2486613279)</f>
        <v>-1286910.249</v>
      </c>
      <c r="W4" s="10">
        <f>IFERROR(__xludf.DUMMYFUNCTION("""COMPUTED_VALUE"""),-0.464362091141504)</f>
        <v>-0.4643620911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1">
        <f>IFERROR(__xludf.DUMMYFUNCTION("""COMPUTED_VALUE"""),1194.9677419354832)</f>
        <v>1194.967742</v>
      </c>
      <c r="C5" s="11">
        <f>IFERROR(__xludf.DUMMYFUNCTION("""COMPUTED_VALUE"""),1228.0)</f>
        <v>1228</v>
      </c>
      <c r="D5" s="11">
        <f>IFERROR(__xludf.DUMMYFUNCTION("""COMPUTED_VALUE"""),33.03225806451678)</f>
        <v>33.03225806</v>
      </c>
      <c r="E5" s="10">
        <f>IFERROR(__xludf.DUMMYFUNCTION("""COMPUTED_VALUE"""),0.027642803153007794)</f>
        <v>0.02764280315</v>
      </c>
      <c r="F5" s="10">
        <f>IFERROR(__xludf.DUMMYFUNCTION("""COMPUTED_VALUE"""),0.8426624896062616)</f>
        <v>0.8426624896</v>
      </c>
      <c r="G5" s="10">
        <f>IFERROR(__xludf.DUMMYFUNCTION("""COMPUTED_VALUE"""),0.7785016286644951)</f>
        <v>0.7785016287</v>
      </c>
      <c r="H5" s="35">
        <f>IFERROR(__xludf.DUMMYFUNCTION("""COMPUTED_VALUE"""),-6.416086094176643)</f>
        <v>-6.416086094</v>
      </c>
      <c r="I5" s="11">
        <f>IFERROR(__xludf.DUMMYFUNCTION("""COMPUTED_VALUE"""),1006.954492418527)</f>
        <v>1006.954492</v>
      </c>
      <c r="J5" s="11">
        <f>IFERROR(__xludf.DUMMYFUNCTION("""COMPUTED_VALUE"""),956.0)</f>
        <v>956</v>
      </c>
      <c r="K5" s="11">
        <f>IFERROR(__xludf.DUMMYFUNCTION("""COMPUTED_VALUE"""),-50.954492418527025)</f>
        <v>-50.95449242</v>
      </c>
      <c r="L5" s="10">
        <f>IFERROR(__xludf.DUMMYFUNCTION("""COMPUTED_VALUE"""),-0.05060257717917651)</f>
        <v>-0.05060257718</v>
      </c>
      <c r="M5" s="10">
        <f>IFERROR(__xludf.DUMMYFUNCTION("""COMPUTED_VALUE"""),0.31229629629629657)</f>
        <v>0.3122962963</v>
      </c>
      <c r="N5" s="10">
        <f>IFERROR(__xludf.DUMMYFUNCTION("""COMPUTED_VALUE"""),0.32217573221757323)</f>
        <v>0.3221757322</v>
      </c>
      <c r="O5" s="35">
        <f>IFERROR(__xludf.DUMMYFUNCTION("""COMPUTED_VALUE"""),0.9879435921276658)</f>
        <v>0.9879435921</v>
      </c>
      <c r="P5" s="11">
        <f>IFERROR(__xludf.DUMMYFUNCTION("""COMPUTED_VALUE"""),314.46815852122324)</f>
        <v>314.4681585</v>
      </c>
      <c r="Q5" s="11">
        <f>IFERROR(__xludf.DUMMYFUNCTION("""COMPUTED_VALUE"""),308.0)</f>
        <v>308</v>
      </c>
      <c r="R5" s="11">
        <f>IFERROR(__xludf.DUMMYFUNCTION("""COMPUTED_VALUE"""),-6.468158521223245)</f>
        <v>-6.468158521</v>
      </c>
      <c r="S5" s="10">
        <f>IFERROR(__xludf.DUMMYFUNCTION("""COMPUTED_VALUE"""),-0.02056856424395894)</f>
        <v>-0.02056856424</v>
      </c>
      <c r="T5" s="11">
        <f>IFERROR(__xludf.DUMMYFUNCTION("""COMPUTED_VALUE"""),1855802.3906971465)</f>
        <v>1855802.391</v>
      </c>
      <c r="U5" s="36">
        <f>IFERROR(__xludf.DUMMYFUNCTION("""COMPUTED_VALUE"""),6080.000000000001)</f>
        <v>6080</v>
      </c>
      <c r="V5" s="36">
        <f>IFERROR(__xludf.DUMMYFUNCTION("""COMPUTED_VALUE"""),-309803.31390464434)</f>
        <v>-309803.3139</v>
      </c>
      <c r="W5" s="10">
        <f>IFERROR(__xludf.DUMMYFUNCTION("""COMPUTED_VALUE"""),-0.16693766289861514)</f>
        <v>-0.1669376629</v>
      </c>
      <c r="X5" s="9"/>
      <c r="Y5" s="9"/>
      <c r="Z5" s="9"/>
    </row>
    <row r="6">
      <c r="A6" s="9" t="str">
        <f>IFERROR(__xludf.DUMMYFUNCTION("""COMPUTED_VALUE"""),"Christian Lopes")</f>
        <v>Christian Lopes</v>
      </c>
      <c r="B6" s="9"/>
      <c r="C6" s="11">
        <f>IFERROR(__xludf.DUMMYFUNCTION("""COMPUTED_VALUE"""),131.0)</f>
        <v>131</v>
      </c>
      <c r="D6" s="9"/>
      <c r="E6" s="9"/>
      <c r="F6" s="9"/>
      <c r="G6" s="10">
        <f>IFERROR(__xludf.DUMMYFUNCTION("""COMPUTED_VALUE"""),0.8015267175572519)</f>
        <v>0.8015267176</v>
      </c>
      <c r="H6" s="9"/>
      <c r="I6" s="9"/>
      <c r="J6" s="11">
        <f>IFERROR(__xludf.DUMMYFUNCTION("""COMPUTED_VALUE"""),105.0)</f>
        <v>105</v>
      </c>
      <c r="K6" s="9"/>
      <c r="L6" s="9"/>
      <c r="M6" s="10">
        <f>IFERROR(__xludf.DUMMYFUNCTION("""COMPUTED_VALUE"""),0.31229629629629657)</f>
        <v>0.3122962963</v>
      </c>
      <c r="N6" s="10">
        <f>IFERROR(__xludf.DUMMYFUNCTION("""COMPUTED_VALUE"""),0.3904761904761905)</f>
        <v>0.3904761905</v>
      </c>
      <c r="O6" s="35">
        <f>IFERROR(__xludf.DUMMYFUNCTION("""COMPUTED_VALUE"""),7.8179894179893905)</f>
        <v>7.817989418</v>
      </c>
      <c r="P6" s="9"/>
      <c r="Q6" s="11">
        <f>IFERROR(__xludf.DUMMYFUNCTION("""COMPUTED_VALUE"""),41.0)</f>
        <v>41</v>
      </c>
      <c r="R6" s="9"/>
      <c r="S6" s="9"/>
      <c r="T6" s="9"/>
      <c r="U6" s="9"/>
      <c r="V6" s="9"/>
      <c r="W6" s="9"/>
      <c r="X6" s="9"/>
      <c r="Y6" s="9"/>
      <c r="Z6" s="9"/>
    </row>
    <row r="7">
      <c r="A7" s="9" t="str">
        <f>IFERROR(__xludf.DUMMYFUNCTION("""COMPUTED_VALUE"""),"Luiz Felipe")</f>
        <v>Luiz Felipe</v>
      </c>
      <c r="B7" s="9"/>
      <c r="C7" s="11">
        <f>IFERROR(__xludf.DUMMYFUNCTION("""COMPUTED_VALUE"""),127.0)</f>
        <v>127</v>
      </c>
      <c r="D7" s="9"/>
      <c r="E7" s="9"/>
      <c r="F7" s="9"/>
      <c r="G7" s="10">
        <f>IFERROR(__xludf.DUMMYFUNCTION("""COMPUTED_VALUE"""),0.7637795275590551)</f>
        <v>0.7637795276</v>
      </c>
      <c r="H7" s="9"/>
      <c r="I7" s="9"/>
      <c r="J7" s="11">
        <f>IFERROR(__xludf.DUMMYFUNCTION("""COMPUTED_VALUE"""),97.0)</f>
        <v>97</v>
      </c>
      <c r="K7" s="9"/>
      <c r="L7" s="9"/>
      <c r="M7" s="10">
        <f>IFERROR(__xludf.DUMMYFUNCTION("""COMPUTED_VALUE"""),0.31229629629629657)</f>
        <v>0.3122962963</v>
      </c>
      <c r="N7" s="10">
        <f>IFERROR(__xludf.DUMMYFUNCTION("""COMPUTED_VALUE"""),0.36082474226804123)</f>
        <v>0.3608247423</v>
      </c>
      <c r="O7" s="35">
        <f>IFERROR(__xludf.DUMMYFUNCTION("""COMPUTED_VALUE"""),4.852844597174466)</f>
        <v>4.852844597</v>
      </c>
      <c r="P7" s="9"/>
      <c r="Q7" s="11">
        <f>IFERROR(__xludf.DUMMYFUNCTION("""COMPUTED_VALUE"""),35.0)</f>
        <v>35</v>
      </c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IFERROR(__xludf.DUMMYFUNCTION("""COMPUTED_VALUE"""),"Pablo Maia")</f>
        <v>Pablo Maia</v>
      </c>
      <c r="B8" s="9"/>
      <c r="C8" s="11">
        <f>IFERROR(__xludf.DUMMYFUNCTION("""COMPUTED_VALUE"""),123.0)</f>
        <v>123</v>
      </c>
      <c r="D8" s="9"/>
      <c r="E8" s="9"/>
      <c r="F8" s="9"/>
      <c r="G8" s="10">
        <f>IFERROR(__xludf.DUMMYFUNCTION("""COMPUTED_VALUE"""),0.8292682926829268)</f>
        <v>0.8292682927</v>
      </c>
      <c r="H8" s="9"/>
      <c r="I8" s="9"/>
      <c r="J8" s="11">
        <f>IFERROR(__xludf.DUMMYFUNCTION("""COMPUTED_VALUE"""),102.0)</f>
        <v>102</v>
      </c>
      <c r="K8" s="9"/>
      <c r="L8" s="9"/>
      <c r="M8" s="10">
        <f>IFERROR(__xludf.DUMMYFUNCTION("""COMPUTED_VALUE"""),0.31229629629629657)</f>
        <v>0.3122962963</v>
      </c>
      <c r="N8" s="10">
        <f>IFERROR(__xludf.DUMMYFUNCTION("""COMPUTED_VALUE"""),0.3431372549019608)</f>
        <v>0.3431372549</v>
      </c>
      <c r="O8" s="35">
        <f>IFERROR(__xludf.DUMMYFUNCTION("""COMPUTED_VALUE"""),3.0840958605664213)</f>
        <v>3.084095861</v>
      </c>
      <c r="P8" s="9"/>
      <c r="Q8" s="11">
        <f>IFERROR(__xludf.DUMMYFUNCTION("""COMPUTED_VALUE"""),35.0)</f>
        <v>35</v>
      </c>
      <c r="R8" s="9"/>
      <c r="S8" s="9"/>
      <c r="T8" s="9"/>
      <c r="U8" s="9"/>
      <c r="V8" s="9"/>
      <c r="W8" s="9"/>
      <c r="X8" s="9"/>
      <c r="Y8" s="9"/>
      <c r="Z8" s="9"/>
    </row>
    <row r="9">
      <c r="A9" s="9" t="str">
        <f>IFERROR(__xludf.DUMMYFUNCTION("""COMPUTED_VALUE"""),"Nicolas Miranda")</f>
        <v>Nicolas Miranda</v>
      </c>
      <c r="B9" s="9"/>
      <c r="C9" s="11">
        <f>IFERROR(__xludf.DUMMYFUNCTION("""COMPUTED_VALUE"""),118.0)</f>
        <v>118</v>
      </c>
      <c r="D9" s="9"/>
      <c r="E9" s="9"/>
      <c r="F9" s="9"/>
      <c r="G9" s="10">
        <f>IFERROR(__xludf.DUMMYFUNCTION("""COMPUTED_VALUE"""),0.7966101694915254)</f>
        <v>0.7966101695</v>
      </c>
      <c r="H9" s="9"/>
      <c r="I9" s="9"/>
      <c r="J9" s="11">
        <f>IFERROR(__xludf.DUMMYFUNCTION("""COMPUTED_VALUE"""),94.0)</f>
        <v>94</v>
      </c>
      <c r="K9" s="9"/>
      <c r="L9" s="9"/>
      <c r="M9" s="10">
        <f>IFERROR(__xludf.DUMMYFUNCTION("""COMPUTED_VALUE"""),0.31229629629629657)</f>
        <v>0.3122962963</v>
      </c>
      <c r="N9" s="10">
        <f>IFERROR(__xludf.DUMMYFUNCTION("""COMPUTED_VALUE"""),0.35106382978723405)</f>
        <v>0.3510638298</v>
      </c>
      <c r="O9" s="35">
        <f>IFERROR(__xludf.DUMMYFUNCTION("""COMPUTED_VALUE"""),3.8767533490937476)</f>
        <v>3.876753349</v>
      </c>
      <c r="P9" s="9"/>
      <c r="Q9" s="11">
        <f>IFERROR(__xludf.DUMMYFUNCTION("""COMPUTED_VALUE"""),33.0)</f>
        <v>33</v>
      </c>
      <c r="R9" s="9"/>
      <c r="S9" s="9"/>
      <c r="T9" s="9"/>
      <c r="U9" s="9"/>
      <c r="V9" s="9"/>
      <c r="W9" s="9"/>
      <c r="X9" s="9"/>
      <c r="Y9" s="9"/>
      <c r="Z9" s="9"/>
    </row>
    <row r="10">
      <c r="A10" s="9" t="str">
        <f>IFERROR(__xludf.DUMMYFUNCTION("""COMPUTED_VALUE"""),"Matheus Mariano")</f>
        <v>Matheus Mariano</v>
      </c>
      <c r="B10" s="9"/>
      <c r="C10" s="11">
        <f>IFERROR(__xludf.DUMMYFUNCTION("""COMPUTED_VALUE"""),128.0)</f>
        <v>128</v>
      </c>
      <c r="D10" s="9"/>
      <c r="E10" s="9"/>
      <c r="F10" s="9"/>
      <c r="G10" s="10">
        <f>IFERROR(__xludf.DUMMYFUNCTION("""COMPUTED_VALUE"""),0.734375)</f>
        <v>0.734375</v>
      </c>
      <c r="H10" s="9"/>
      <c r="I10" s="9"/>
      <c r="J10" s="11">
        <f>IFERROR(__xludf.DUMMYFUNCTION("""COMPUTED_VALUE"""),94.0)</f>
        <v>94</v>
      </c>
      <c r="K10" s="9"/>
      <c r="L10" s="9"/>
      <c r="M10" s="10">
        <f>IFERROR(__xludf.DUMMYFUNCTION("""COMPUTED_VALUE"""),0.31229629629629657)</f>
        <v>0.3122962963</v>
      </c>
      <c r="N10" s="10">
        <f>IFERROR(__xludf.DUMMYFUNCTION("""COMPUTED_VALUE"""),0.32978723404255317)</f>
        <v>0.329787234</v>
      </c>
      <c r="O10" s="35">
        <f>IFERROR(__xludf.DUMMYFUNCTION("""COMPUTED_VALUE"""),1.7490937746256596)</f>
        <v>1.749093775</v>
      </c>
      <c r="P10" s="9"/>
      <c r="Q10" s="11">
        <f>IFERROR(__xludf.DUMMYFUNCTION("""COMPUTED_VALUE"""),31.0)</f>
        <v>31</v>
      </c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tr">
        <f>IFERROR(__xludf.DUMMYFUNCTION("""COMPUTED_VALUE"""),"Leonardo Alencar")</f>
        <v>Leonardo Alencar</v>
      </c>
      <c r="B11" s="9"/>
      <c r="C11" s="11">
        <f>IFERROR(__xludf.DUMMYFUNCTION("""COMPUTED_VALUE"""),127.0)</f>
        <v>127</v>
      </c>
      <c r="D11" s="9"/>
      <c r="E11" s="9"/>
      <c r="F11" s="9"/>
      <c r="G11" s="10">
        <f>IFERROR(__xludf.DUMMYFUNCTION("""COMPUTED_VALUE"""),0.8110236220472441)</f>
        <v>0.811023622</v>
      </c>
      <c r="H11" s="9"/>
      <c r="I11" s="9"/>
      <c r="J11" s="11">
        <f>IFERROR(__xludf.DUMMYFUNCTION("""COMPUTED_VALUE"""),103.0)</f>
        <v>103</v>
      </c>
      <c r="K11" s="9"/>
      <c r="L11" s="9"/>
      <c r="M11" s="10">
        <f>IFERROR(__xludf.DUMMYFUNCTION("""COMPUTED_VALUE"""),0.31229629629629657)</f>
        <v>0.3122962963</v>
      </c>
      <c r="N11" s="10">
        <f>IFERROR(__xludf.DUMMYFUNCTION("""COMPUTED_VALUE"""),0.30097087378640774)</f>
        <v>0.3009708738</v>
      </c>
      <c r="O11" s="35">
        <f>IFERROR(__xludf.DUMMYFUNCTION("""COMPUTED_VALUE"""),-1.1325422509888827)</f>
        <v>-1.132542251</v>
      </c>
      <c r="P11" s="9"/>
      <c r="Q11" s="11">
        <f>IFERROR(__xludf.DUMMYFUNCTION("""COMPUTED_VALUE"""),31.0)</f>
        <v>31</v>
      </c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tr">
        <f>IFERROR(__xludf.DUMMYFUNCTION("""COMPUTED_VALUE"""),"Lucca Giovanni")</f>
        <v>Lucca Giovanni</v>
      </c>
      <c r="B12" s="9"/>
      <c r="C12" s="11">
        <f>IFERROR(__xludf.DUMMYFUNCTION("""COMPUTED_VALUE"""),95.0)</f>
        <v>95</v>
      </c>
      <c r="D12" s="9"/>
      <c r="E12" s="9"/>
      <c r="F12" s="9"/>
      <c r="G12" s="10">
        <f>IFERROR(__xludf.DUMMYFUNCTION("""COMPUTED_VALUE"""),0.8105263157894737)</f>
        <v>0.8105263158</v>
      </c>
      <c r="H12" s="9"/>
      <c r="I12" s="9"/>
      <c r="J12" s="11">
        <f>IFERROR(__xludf.DUMMYFUNCTION("""COMPUTED_VALUE"""),77.0)</f>
        <v>77</v>
      </c>
      <c r="K12" s="9"/>
      <c r="L12" s="9"/>
      <c r="M12" s="10">
        <f>IFERROR(__xludf.DUMMYFUNCTION("""COMPUTED_VALUE"""),0.31229629629629657)</f>
        <v>0.3122962963</v>
      </c>
      <c r="N12" s="10">
        <f>IFERROR(__xludf.DUMMYFUNCTION("""COMPUTED_VALUE"""),0.2727272727272727)</f>
        <v>0.2727272727</v>
      </c>
      <c r="O12" s="35">
        <f>IFERROR(__xludf.DUMMYFUNCTION("""COMPUTED_VALUE"""),-3.9569023569023862)</f>
        <v>-3.956902357</v>
      </c>
      <c r="P12" s="9"/>
      <c r="Q12" s="11">
        <f>IFERROR(__xludf.DUMMYFUNCTION("""COMPUTED_VALUE"""),21.0)</f>
        <v>21</v>
      </c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tr">
        <f>IFERROR(__xludf.DUMMYFUNCTION("""COMPUTED_VALUE"""),"Nathan Nascimento")</f>
        <v>Nathan Nascimento</v>
      </c>
      <c r="B13" s="9"/>
      <c r="C13" s="11">
        <f>IFERROR(__xludf.DUMMYFUNCTION("""COMPUTED_VALUE"""),121.0)</f>
        <v>121</v>
      </c>
      <c r="D13" s="9"/>
      <c r="E13" s="9"/>
      <c r="F13" s="9"/>
      <c r="G13" s="10">
        <f>IFERROR(__xludf.DUMMYFUNCTION("""COMPUTED_VALUE"""),0.768595041322314)</f>
        <v>0.7685950413</v>
      </c>
      <c r="H13" s="9"/>
      <c r="I13" s="9"/>
      <c r="J13" s="11">
        <f>IFERROR(__xludf.DUMMYFUNCTION("""COMPUTED_VALUE"""),93.0)</f>
        <v>93</v>
      </c>
      <c r="K13" s="9"/>
      <c r="L13" s="9"/>
      <c r="M13" s="10">
        <f>IFERROR(__xludf.DUMMYFUNCTION("""COMPUTED_VALUE"""),0.31229629629629657)</f>
        <v>0.3122962963</v>
      </c>
      <c r="N13" s="10">
        <f>IFERROR(__xludf.DUMMYFUNCTION("""COMPUTED_VALUE"""),0.20430107526881722)</f>
        <v>0.2043010753</v>
      </c>
      <c r="O13" s="35">
        <f>IFERROR(__xludf.DUMMYFUNCTION("""COMPUTED_VALUE"""),-10.799522102747936)</f>
        <v>-10.7995221</v>
      </c>
      <c r="P13" s="9"/>
      <c r="Q13" s="11">
        <f>IFERROR(__xludf.DUMMYFUNCTION("""COMPUTED_VALUE"""),19.0)</f>
        <v>19</v>
      </c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tr">
        <f>IFERROR(__xludf.DUMMYFUNCTION("""COMPUTED_VALUE"""),"Bruno Xavier")</f>
        <v>Bruno Xavier</v>
      </c>
      <c r="B14" s="9"/>
      <c r="C14" s="11">
        <f>IFERROR(__xludf.DUMMYFUNCTION("""COMPUTED_VALUE"""),109.0)</f>
        <v>109</v>
      </c>
      <c r="D14" s="9"/>
      <c r="E14" s="9"/>
      <c r="F14" s="9"/>
      <c r="G14" s="10">
        <f>IFERROR(__xludf.DUMMYFUNCTION("""COMPUTED_VALUE"""),0.6513761467889908)</f>
        <v>0.6513761468</v>
      </c>
      <c r="H14" s="9"/>
      <c r="I14" s="9"/>
      <c r="J14" s="11">
        <f>IFERROR(__xludf.DUMMYFUNCTION("""COMPUTED_VALUE"""),71.0)</f>
        <v>71</v>
      </c>
      <c r="K14" s="9"/>
      <c r="L14" s="9"/>
      <c r="M14" s="10">
        <f>IFERROR(__xludf.DUMMYFUNCTION("""COMPUTED_VALUE"""),0.31229629629629657)</f>
        <v>0.3122962963</v>
      </c>
      <c r="N14" s="10">
        <f>IFERROR(__xludf.DUMMYFUNCTION("""COMPUTED_VALUE"""),0.23943661971830985)</f>
        <v>0.2394366197</v>
      </c>
      <c r="O14" s="35">
        <f>IFERROR(__xludf.DUMMYFUNCTION("""COMPUTED_VALUE"""),-7.285967657798673)</f>
        <v>-7.285967658</v>
      </c>
      <c r="P14" s="9"/>
      <c r="Q14" s="11">
        <f>IFERROR(__xludf.DUMMYFUNCTION("""COMPUTED_VALUE"""),17.0)</f>
        <v>17</v>
      </c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tr">
        <f>IFERROR(__xludf.DUMMYFUNCTION("""COMPUTED_VALUE"""),"João Vitor Nascimento")</f>
        <v>João Vitor Nascimento</v>
      </c>
      <c r="B15" s="9"/>
      <c r="C15" s="11">
        <f>IFERROR(__xludf.DUMMYFUNCTION("""COMPUTED_VALUE"""),72.0)</f>
        <v>72</v>
      </c>
      <c r="D15" s="9"/>
      <c r="E15" s="9"/>
      <c r="F15" s="9"/>
      <c r="G15" s="10">
        <f>IFERROR(__xludf.DUMMYFUNCTION("""COMPUTED_VALUE"""),0.7916666666666666)</f>
        <v>0.7916666667</v>
      </c>
      <c r="H15" s="9"/>
      <c r="I15" s="9"/>
      <c r="J15" s="11">
        <f>IFERROR(__xludf.DUMMYFUNCTION("""COMPUTED_VALUE"""),57.0)</f>
        <v>57</v>
      </c>
      <c r="K15" s="9"/>
      <c r="L15" s="9"/>
      <c r="M15" s="10">
        <f>IFERROR(__xludf.DUMMYFUNCTION("""COMPUTED_VALUE"""),0.31229629629629657)</f>
        <v>0.3122962963</v>
      </c>
      <c r="N15" s="10">
        <f>IFERROR(__xludf.DUMMYFUNCTION("""COMPUTED_VALUE"""),0.2807017543859649)</f>
        <v>0.2807017544</v>
      </c>
      <c r="O15" s="35">
        <f>IFERROR(__xludf.DUMMYFUNCTION("""COMPUTED_VALUE"""),-3.1594541910331673)</f>
        <v>-3.159454191</v>
      </c>
      <c r="P15" s="9"/>
      <c r="Q15" s="11">
        <f>IFERROR(__xludf.DUMMYFUNCTION("""COMPUTED_VALUE"""),16.0)</f>
        <v>16</v>
      </c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tr">
        <f>IFERROR(__xludf.DUMMYFUNCTION("""COMPUTED_VALUE"""),"Gustavo Pereira")</f>
        <v>Gustavo Pereira</v>
      </c>
      <c r="B16" s="9"/>
      <c r="C16" s="11">
        <f>IFERROR(__xludf.DUMMYFUNCTION("""COMPUTED_VALUE"""),8.0)</f>
        <v>8</v>
      </c>
      <c r="D16" s="9"/>
      <c r="E16" s="9"/>
      <c r="F16" s="9"/>
      <c r="G16" s="10">
        <f>IFERROR(__xludf.DUMMYFUNCTION("""COMPUTED_VALUE"""),1.125)</f>
        <v>1.125</v>
      </c>
      <c r="H16" s="9"/>
      <c r="I16" s="9"/>
      <c r="J16" s="11">
        <f>IFERROR(__xludf.DUMMYFUNCTION("""COMPUTED_VALUE"""),9.0)</f>
        <v>9</v>
      </c>
      <c r="K16" s="9"/>
      <c r="L16" s="9"/>
      <c r="M16" s="10">
        <f>IFERROR(__xludf.DUMMYFUNCTION("""COMPUTED_VALUE"""),0.31229629629629657)</f>
        <v>0.3122962963</v>
      </c>
      <c r="N16" s="10">
        <f>IFERROR(__xludf.DUMMYFUNCTION("""COMPUTED_VALUE"""),0.8888888888888888)</f>
        <v>0.8888888889</v>
      </c>
      <c r="O16" s="35">
        <f>IFERROR(__xludf.DUMMYFUNCTION("""COMPUTED_VALUE"""),57.65925925925923)</f>
        <v>57.65925926</v>
      </c>
      <c r="P16" s="9"/>
      <c r="Q16" s="11">
        <f>IFERROR(__xludf.DUMMYFUNCTION("""COMPUTED_VALUE"""),8.0)</f>
        <v>8</v>
      </c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tr">
        <f>IFERROR(__xludf.DUMMYFUNCTION("""COMPUTED_VALUE"""),"Marcio Lucas")</f>
        <v>Marcio Lucas</v>
      </c>
      <c r="B17" s="9"/>
      <c r="C17" s="11">
        <f>IFERROR(__xludf.DUMMYFUNCTION("""COMPUTED_VALUE"""),9.0)</f>
        <v>9</v>
      </c>
      <c r="D17" s="9"/>
      <c r="E17" s="9"/>
      <c r="F17" s="9"/>
      <c r="G17" s="10">
        <f>IFERROR(__xludf.DUMMYFUNCTION("""COMPUTED_VALUE"""),1.0)</f>
        <v>1</v>
      </c>
      <c r="H17" s="9"/>
      <c r="I17" s="9"/>
      <c r="J17" s="11">
        <f>IFERROR(__xludf.DUMMYFUNCTION("""COMPUTED_VALUE"""),9.0)</f>
        <v>9</v>
      </c>
      <c r="K17" s="9"/>
      <c r="L17" s="9"/>
      <c r="M17" s="10">
        <f>IFERROR(__xludf.DUMMYFUNCTION("""COMPUTED_VALUE"""),0.31229629629629657)</f>
        <v>0.3122962963</v>
      </c>
      <c r="N17" s="10">
        <f>IFERROR(__xludf.DUMMYFUNCTION("""COMPUTED_VALUE"""),0.6666666666666666)</f>
        <v>0.6666666667</v>
      </c>
      <c r="O17" s="35">
        <f>IFERROR(__xludf.DUMMYFUNCTION("""COMPUTED_VALUE"""),35.43703703703701)</f>
        <v>35.43703704</v>
      </c>
      <c r="P17" s="9"/>
      <c r="Q17" s="11">
        <f>IFERROR(__xludf.DUMMYFUNCTION("""COMPUTED_VALUE"""),6.0)</f>
        <v>6</v>
      </c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tr">
        <f>IFERROR(__xludf.DUMMYFUNCTION("""COMPUTED_VALUE"""),"Ilson Costa Lima")</f>
        <v>Ilson Costa Lima</v>
      </c>
      <c r="B18" s="9"/>
      <c r="C18" s="11">
        <f>IFERROR(__xludf.DUMMYFUNCTION("""COMPUTED_VALUE"""),9.0)</f>
        <v>9</v>
      </c>
      <c r="D18" s="9"/>
      <c r="E18" s="9"/>
      <c r="F18" s="9"/>
      <c r="G18" s="10">
        <f>IFERROR(__xludf.DUMMYFUNCTION("""COMPUTED_VALUE"""),1.0)</f>
        <v>1</v>
      </c>
      <c r="H18" s="9"/>
      <c r="I18" s="9"/>
      <c r="J18" s="11">
        <f>IFERROR(__xludf.DUMMYFUNCTION("""COMPUTED_VALUE"""),9.0)</f>
        <v>9</v>
      </c>
      <c r="K18" s="9"/>
      <c r="L18" s="9"/>
      <c r="M18" s="10">
        <f>IFERROR(__xludf.DUMMYFUNCTION("""COMPUTED_VALUE"""),0.31229629629629657)</f>
        <v>0.3122962963</v>
      </c>
      <c r="N18" s="10">
        <f>IFERROR(__xludf.DUMMYFUNCTION("""COMPUTED_VALUE"""),0.5555555555555556)</f>
        <v>0.5555555556</v>
      </c>
      <c r="O18" s="35">
        <f>IFERROR(__xludf.DUMMYFUNCTION("""COMPUTED_VALUE"""),24.3259259259259)</f>
        <v>24.32592593</v>
      </c>
      <c r="P18" s="9"/>
      <c r="Q18" s="11">
        <f>IFERROR(__xludf.DUMMYFUNCTION("""COMPUTED_VALUE"""),5.0)</f>
        <v>5</v>
      </c>
      <c r="R18" s="9"/>
      <c r="S18" s="9"/>
      <c r="T18" s="9"/>
      <c r="U18" s="9"/>
      <c r="V18" s="9"/>
      <c r="W18" s="9"/>
      <c r="X18" s="9"/>
      <c r="Y18" s="9"/>
      <c r="Z18" s="9"/>
    </row>
    <row r="19">
      <c r="A19" s="9" t="str">
        <f>IFERROR(__xludf.DUMMYFUNCTION("""COMPUTED_VALUE"""),"Jefferson Da Silva Santos")</f>
        <v>Jefferson Da Silva Santos</v>
      </c>
      <c r="B19" s="9"/>
      <c r="C19" s="11">
        <f>IFERROR(__xludf.DUMMYFUNCTION("""COMPUTED_VALUE"""),42.0)</f>
        <v>42</v>
      </c>
      <c r="D19" s="9"/>
      <c r="E19" s="9"/>
      <c r="F19" s="9"/>
      <c r="G19" s="10">
        <f>IFERROR(__xludf.DUMMYFUNCTION("""COMPUTED_VALUE"""),0.5476190476190477)</f>
        <v>0.5476190476</v>
      </c>
      <c r="H19" s="9"/>
      <c r="I19" s="9"/>
      <c r="J19" s="11">
        <f>IFERROR(__xludf.DUMMYFUNCTION("""COMPUTED_VALUE"""),23.0)</f>
        <v>23</v>
      </c>
      <c r="K19" s="9"/>
      <c r="L19" s="9"/>
      <c r="M19" s="10">
        <f>IFERROR(__xludf.DUMMYFUNCTION("""COMPUTED_VALUE"""),0.31229629629629657)</f>
        <v>0.3122962963</v>
      </c>
      <c r="N19" s="10">
        <f>IFERROR(__xludf.DUMMYFUNCTION("""COMPUTED_VALUE"""),0.13043478260869565)</f>
        <v>0.1304347826</v>
      </c>
      <c r="O19" s="35">
        <f>IFERROR(__xludf.DUMMYFUNCTION("""COMPUTED_VALUE"""),-18.186151368760093)</f>
        <v>-18.18615137</v>
      </c>
      <c r="P19" s="9"/>
      <c r="Q19" s="11">
        <f>IFERROR(__xludf.DUMMYFUNCTION("""COMPUTED_VALUE"""),3.0)</f>
        <v>3</v>
      </c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tr">
        <f>IFERROR(__xludf.DUMMYFUNCTION("""COMPUTED_VALUE"""),"Izabelle Lopes")</f>
        <v>Izabelle Lopes</v>
      </c>
      <c r="B20" s="9"/>
      <c r="C20" s="11">
        <f>IFERROR(__xludf.DUMMYFUNCTION("""COMPUTED_VALUE"""),1.0)</f>
        <v>1</v>
      </c>
      <c r="D20" s="9"/>
      <c r="E20" s="9"/>
      <c r="F20" s="9"/>
      <c r="G20" s="10">
        <f>IFERROR(__xludf.DUMMYFUNCTION("""COMPUTED_VALUE"""),1.0)</f>
        <v>1</v>
      </c>
      <c r="H20" s="9"/>
      <c r="I20" s="9"/>
      <c r="J20" s="11">
        <f>IFERROR(__xludf.DUMMYFUNCTION("""COMPUTED_VALUE"""),1.0)</f>
        <v>1</v>
      </c>
      <c r="K20" s="9"/>
      <c r="L20" s="9"/>
      <c r="M20" s="10">
        <f>IFERROR(__xludf.DUMMYFUNCTION("""COMPUTED_VALUE"""),0.31229629629629657)</f>
        <v>0.3122962963</v>
      </c>
      <c r="N20" s="10">
        <f>IFERROR(__xludf.DUMMYFUNCTION("""COMPUTED_VALUE"""),1.0)</f>
        <v>1</v>
      </c>
      <c r="O20" s="35">
        <f>IFERROR(__xludf.DUMMYFUNCTION("""COMPUTED_VALUE"""),68.77037037037034)</f>
        <v>68.77037037</v>
      </c>
      <c r="P20" s="9"/>
      <c r="Q20" s="11">
        <f>IFERROR(__xludf.DUMMYFUNCTION("""COMPUTED_VALUE"""),1.0)</f>
        <v>1</v>
      </c>
      <c r="R20" s="9"/>
      <c r="S20" s="9"/>
      <c r="T20" s="9"/>
      <c r="U20" s="9"/>
      <c r="V20" s="9"/>
      <c r="W20" s="9"/>
      <c r="X20" s="9"/>
      <c r="Y20" s="9"/>
      <c r="Z20" s="9"/>
    </row>
    <row r="21">
      <c r="A21" s="9" t="str">
        <f>IFERROR(__xludf.DUMMYFUNCTION("""COMPUTED_VALUE"""),"Daniel França")</f>
        <v>Daniel França</v>
      </c>
      <c r="B21" s="9"/>
      <c r="C21" s="11">
        <f>IFERROR(__xludf.DUMMYFUNCTION("""COMPUTED_VALUE"""),1.0)</f>
        <v>1</v>
      </c>
      <c r="D21" s="9"/>
      <c r="E21" s="9"/>
      <c r="F21" s="9"/>
      <c r="G21" s="10">
        <f>IFERROR(__xludf.DUMMYFUNCTION("""COMPUTED_VALUE"""),1.0)</f>
        <v>1</v>
      </c>
      <c r="H21" s="9"/>
      <c r="I21" s="9"/>
      <c r="J21" s="11">
        <f>IFERROR(__xludf.DUMMYFUNCTION("""COMPUTED_VALUE"""),1.0)</f>
        <v>1</v>
      </c>
      <c r="K21" s="9"/>
      <c r="L21" s="9"/>
      <c r="M21" s="10">
        <f>IFERROR(__xludf.DUMMYFUNCTION("""COMPUTED_VALUE"""),0.31229629629629657)</f>
        <v>0.3122962963</v>
      </c>
      <c r="N21" s="10">
        <f>IFERROR(__xludf.DUMMYFUNCTION("""COMPUTED_VALUE"""),1.0)</f>
        <v>1</v>
      </c>
      <c r="O21" s="35">
        <f>IFERROR(__xludf.DUMMYFUNCTION("""COMPUTED_VALUE"""),68.77037037037034)</f>
        <v>68.77037037</v>
      </c>
      <c r="P21" s="9"/>
      <c r="Q21" s="11">
        <f>IFERROR(__xludf.DUMMYFUNCTION("""COMPUTED_VALUE"""),1.0)</f>
        <v>1</v>
      </c>
      <c r="R21" s="9"/>
      <c r="S21" s="9"/>
      <c r="T21" s="9"/>
      <c r="U21" s="9"/>
      <c r="V21" s="9"/>
      <c r="W21" s="9"/>
      <c r="X21" s="9"/>
      <c r="Y21" s="9"/>
      <c r="Z21" s="9"/>
    </row>
    <row r="22">
      <c r="A22" s="9" t="str">
        <f>IFERROR(__xludf.DUMMYFUNCTION("""COMPUTED_VALUE"""),"Nathalya Neme")</f>
        <v>Nathalya Neme</v>
      </c>
      <c r="B22" s="9"/>
      <c r="C22" s="11">
        <f>IFERROR(__xludf.DUMMYFUNCTION("""COMPUTED_VALUE"""),1.0)</f>
        <v>1</v>
      </c>
      <c r="D22" s="9"/>
      <c r="E22" s="9"/>
      <c r="F22" s="9"/>
      <c r="G22" s="10">
        <f>IFERROR(__xludf.DUMMYFUNCTION("""COMPUTED_VALUE"""),0.0)</f>
        <v>0</v>
      </c>
      <c r="H22" s="9"/>
      <c r="I22" s="9"/>
      <c r="J22" s="11">
        <f>IFERROR(__xludf.DUMMYFUNCTION("""COMPUTED_VALUE"""),0.0)</f>
        <v>0</v>
      </c>
      <c r="K22" s="9"/>
      <c r="L22" s="9"/>
      <c r="M22" s="10">
        <f>IFERROR(__xludf.DUMMYFUNCTION("""COMPUTED_VALUE"""),0.31229629629629657)</f>
        <v>0.3122962963</v>
      </c>
      <c r="N22" s="10">
        <f>IFERROR(__xludf.DUMMYFUNCTION("""COMPUTED_VALUE"""),0.0)</f>
        <v>0</v>
      </c>
      <c r="O22" s="35">
        <f>IFERROR(__xludf.DUMMYFUNCTION("""COMPUTED_VALUE"""),-31.229629629629656)</f>
        <v>-31.22962963</v>
      </c>
      <c r="P22" s="9"/>
      <c r="Q22" s="11">
        <f>IFERROR(__xludf.DUMMYFUNCTION("""COMPUTED_VALUE"""),0.0)</f>
        <v>0</v>
      </c>
      <c r="R22" s="9"/>
      <c r="S22" s="9"/>
      <c r="T22" s="9"/>
      <c r="U22" s="9"/>
      <c r="V22" s="9"/>
      <c r="W22" s="9"/>
      <c r="X22" s="9"/>
      <c r="Y22" s="9"/>
      <c r="Z22" s="9"/>
    </row>
    <row r="23">
      <c r="A23" s="9" t="str">
        <f>IFERROR(__xludf.DUMMYFUNCTION("""COMPUTED_VALUE"""),"Cauã Andrade")</f>
        <v>Cauã Andrade</v>
      </c>
      <c r="B23" s="9"/>
      <c r="C23" s="11">
        <f>IFERROR(__xludf.DUMMYFUNCTION("""COMPUTED_VALUE"""),1.0)</f>
        <v>1</v>
      </c>
      <c r="D23" s="9"/>
      <c r="E23" s="9"/>
      <c r="F23" s="9"/>
      <c r="G23" s="10">
        <f>IFERROR(__xludf.DUMMYFUNCTION("""COMPUTED_VALUE"""),1.0)</f>
        <v>1</v>
      </c>
      <c r="H23" s="9"/>
      <c r="I23" s="9"/>
      <c r="J23" s="11">
        <f>IFERROR(__xludf.DUMMYFUNCTION("""COMPUTED_VALUE"""),1.0)</f>
        <v>1</v>
      </c>
      <c r="K23" s="9"/>
      <c r="L23" s="9"/>
      <c r="M23" s="10">
        <f>IFERROR(__xludf.DUMMYFUNCTION("""COMPUTED_VALUE"""),0.31229629629629657)</f>
        <v>0.3122962963</v>
      </c>
      <c r="N23" s="10">
        <f>IFERROR(__xludf.DUMMYFUNCTION("""COMPUTED_VALUE"""),0.0)</f>
        <v>0</v>
      </c>
      <c r="O23" s="35">
        <f>IFERROR(__xludf.DUMMYFUNCTION("""COMPUTED_VALUE"""),-31.229629629629656)</f>
        <v>-31.22962963</v>
      </c>
      <c r="P23" s="9"/>
      <c r="Q23" s="11">
        <f>IFERROR(__xludf.DUMMYFUNCTION("""COMPUTED_VALUE"""),0.0)</f>
        <v>0</v>
      </c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tr">
        <f>IFERROR(__xludf.DUMMYFUNCTION("""COMPUTED_VALUE"""),"Form G4 Instagram Outros")</f>
        <v>Form G4 Instagram Outros</v>
      </c>
      <c r="B24" s="11">
        <f>IFERROR(__xludf.DUMMYFUNCTION("""COMPUTED_VALUE"""),348.3870967741933)</f>
        <v>348.3870968</v>
      </c>
      <c r="C24" s="11">
        <f>IFERROR(__xludf.DUMMYFUNCTION("""COMPUTED_VALUE"""),368.0)</f>
        <v>368</v>
      </c>
      <c r="D24" s="11">
        <f>IFERROR(__xludf.DUMMYFUNCTION("""COMPUTED_VALUE"""),19.61290322580669)</f>
        <v>19.61290323</v>
      </c>
      <c r="E24" s="10">
        <f>IFERROR(__xludf.DUMMYFUNCTION("""COMPUTED_VALUE"""),0.05629629629629702)</f>
        <v>0.0562962963</v>
      </c>
      <c r="F24" s="10">
        <f>IFERROR(__xludf.DUMMYFUNCTION("""COMPUTED_VALUE"""),0.8206988049963662)</f>
        <v>0.820698805</v>
      </c>
      <c r="G24" s="10">
        <f>IFERROR(__xludf.DUMMYFUNCTION("""COMPUTED_VALUE"""),0.8288043478260869)</f>
        <v>0.8288043478</v>
      </c>
      <c r="H24" s="35">
        <f>IFERROR(__xludf.DUMMYFUNCTION("""COMPUTED_VALUE"""),0.8105542829720758)</f>
        <v>0.810554283</v>
      </c>
      <c r="I24" s="11">
        <f>IFERROR(__xludf.DUMMYFUNCTION("""COMPUTED_VALUE"""),285.92087399873384)</f>
        <v>285.920874</v>
      </c>
      <c r="J24" s="11">
        <f>IFERROR(__xludf.DUMMYFUNCTION("""COMPUTED_VALUE"""),305.0)</f>
        <v>305</v>
      </c>
      <c r="K24" s="11">
        <f>IFERROR(__xludf.DUMMYFUNCTION("""COMPUTED_VALUE"""),19.07912600126616)</f>
        <v>19.079126</v>
      </c>
      <c r="L24" s="10">
        <f>IFERROR(__xludf.DUMMYFUNCTION("""COMPUTED_VALUE"""),0.06672869222325702)</f>
        <v>0.06672869222</v>
      </c>
      <c r="M24" s="10">
        <f>IFERROR(__xludf.DUMMYFUNCTION("""COMPUTED_VALUE"""),0.28474074074074096)</f>
        <v>0.2847407407</v>
      </c>
      <c r="N24" s="10">
        <f>IFERROR(__xludf.DUMMYFUNCTION("""COMPUTED_VALUE"""),0.3081967213114754)</f>
        <v>0.3081967213</v>
      </c>
      <c r="O24" s="35">
        <f>IFERROR(__xludf.DUMMYFUNCTION("""COMPUTED_VALUE"""),2.3455980570734445)</f>
        <v>2.345598057</v>
      </c>
      <c r="P24" s="11">
        <f>IFERROR(__xludf.DUMMYFUNCTION("""COMPUTED_VALUE"""),81.41332145563953)</f>
        <v>81.41332146</v>
      </c>
      <c r="Q24" s="11">
        <f>IFERROR(__xludf.DUMMYFUNCTION("""COMPUTED_VALUE"""),94.0)</f>
        <v>94</v>
      </c>
      <c r="R24" s="11">
        <f>IFERROR(__xludf.DUMMYFUNCTION("""COMPUTED_VALUE"""),12.586678544360467)</f>
        <v>12.58667854</v>
      </c>
      <c r="S24" s="10">
        <f>IFERROR(__xludf.DUMMYFUNCTION("""COMPUTED_VALUE"""),0.1546021992385938)</f>
        <v>0.1546021992</v>
      </c>
      <c r="T24" s="11">
        <f>IFERROR(__xludf.DUMMYFUNCTION("""COMPUTED_VALUE"""),483613.44744382624)</f>
        <v>483613.4474</v>
      </c>
      <c r="U24" s="36">
        <f>IFERROR(__xludf.DUMMYFUNCTION("""COMPUTED_VALUE"""),6120.000000000001)</f>
        <v>6120</v>
      </c>
      <c r="V24" s="36">
        <f>IFERROR(__xludf.DUMMYFUNCTION("""COMPUTED_VALUE"""),116764.25112774892)</f>
        <v>116764.2511</v>
      </c>
      <c r="W24" s="10">
        <f>IFERROR(__xludf.DUMMYFUNCTION("""COMPUTED_VALUE"""),0.24144128279499835)</f>
        <v>0.2414412828</v>
      </c>
      <c r="X24" s="9"/>
      <c r="Y24" s="9"/>
      <c r="Z24" s="9"/>
    </row>
    <row r="25">
      <c r="A25" s="9" t="str">
        <f>IFERROR(__xludf.DUMMYFUNCTION("""COMPUTED_VALUE"""),"Luiz Felipe")</f>
        <v>Luiz Felipe</v>
      </c>
      <c r="B25" s="9"/>
      <c r="C25" s="11">
        <f>IFERROR(__xludf.DUMMYFUNCTION("""COMPUTED_VALUE"""),44.0)</f>
        <v>44</v>
      </c>
      <c r="D25" s="9"/>
      <c r="E25" s="9"/>
      <c r="F25" s="9"/>
      <c r="G25" s="10">
        <f>IFERROR(__xludf.DUMMYFUNCTION("""COMPUTED_VALUE"""),0.7272727272727273)</f>
        <v>0.7272727273</v>
      </c>
      <c r="H25" s="9"/>
      <c r="I25" s="9"/>
      <c r="J25" s="11">
        <f>IFERROR(__xludf.DUMMYFUNCTION("""COMPUTED_VALUE"""),32.0)</f>
        <v>32</v>
      </c>
      <c r="K25" s="9"/>
      <c r="L25" s="9"/>
      <c r="M25" s="9"/>
      <c r="N25" s="10">
        <f>IFERROR(__xludf.DUMMYFUNCTION("""COMPUTED_VALUE"""),0.4375)</f>
        <v>0.4375</v>
      </c>
      <c r="O25" s="9"/>
      <c r="P25" s="9"/>
      <c r="Q25" s="11">
        <f>IFERROR(__xludf.DUMMYFUNCTION("""COMPUTED_VALUE"""),14.0)</f>
        <v>14</v>
      </c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tr">
        <f>IFERROR(__xludf.DUMMYFUNCTION("""COMPUTED_VALUE"""),"Pablo Maia")</f>
        <v>Pablo Maia</v>
      </c>
      <c r="B26" s="9"/>
      <c r="C26" s="11">
        <f>IFERROR(__xludf.DUMMYFUNCTION("""COMPUTED_VALUE"""),45.0)</f>
        <v>45</v>
      </c>
      <c r="D26" s="9"/>
      <c r="E26" s="9"/>
      <c r="F26" s="9"/>
      <c r="G26" s="10">
        <f>IFERROR(__xludf.DUMMYFUNCTION("""COMPUTED_VALUE"""),0.7555555555555555)</f>
        <v>0.7555555556</v>
      </c>
      <c r="H26" s="9"/>
      <c r="I26" s="9"/>
      <c r="J26" s="11">
        <f>IFERROR(__xludf.DUMMYFUNCTION("""COMPUTED_VALUE"""),34.0)</f>
        <v>34</v>
      </c>
      <c r="K26" s="9"/>
      <c r="L26" s="9"/>
      <c r="M26" s="9"/>
      <c r="N26" s="10">
        <f>IFERROR(__xludf.DUMMYFUNCTION("""COMPUTED_VALUE"""),0.35294117647058826)</f>
        <v>0.3529411765</v>
      </c>
      <c r="O26" s="9"/>
      <c r="P26" s="9"/>
      <c r="Q26" s="11">
        <f>IFERROR(__xludf.DUMMYFUNCTION("""COMPUTED_VALUE"""),12.0)</f>
        <v>12</v>
      </c>
      <c r="R26" s="9"/>
      <c r="S26" s="9"/>
      <c r="T26" s="9"/>
      <c r="U26" s="9"/>
      <c r="V26" s="9"/>
      <c r="W26" s="9"/>
      <c r="X26" s="9"/>
      <c r="Y26" s="9"/>
      <c r="Z26" s="9"/>
    </row>
    <row r="27">
      <c r="A27" s="9" t="str">
        <f>IFERROR(__xludf.DUMMYFUNCTION("""COMPUTED_VALUE"""),"Christian Lopes")</f>
        <v>Christian Lopes</v>
      </c>
      <c r="B27" s="9"/>
      <c r="C27" s="11">
        <f>IFERROR(__xludf.DUMMYFUNCTION("""COMPUTED_VALUE"""),45.0)</f>
        <v>45</v>
      </c>
      <c r="D27" s="9"/>
      <c r="E27" s="9"/>
      <c r="F27" s="9"/>
      <c r="G27" s="10">
        <f>IFERROR(__xludf.DUMMYFUNCTION("""COMPUTED_VALUE"""),0.8222222222222222)</f>
        <v>0.8222222222</v>
      </c>
      <c r="H27" s="9"/>
      <c r="I27" s="9"/>
      <c r="J27" s="11">
        <f>IFERROR(__xludf.DUMMYFUNCTION("""COMPUTED_VALUE"""),37.0)</f>
        <v>37</v>
      </c>
      <c r="K27" s="9"/>
      <c r="L27" s="9"/>
      <c r="M27" s="9"/>
      <c r="N27" s="10">
        <f>IFERROR(__xludf.DUMMYFUNCTION("""COMPUTED_VALUE"""),0.2972972972972973)</f>
        <v>0.2972972973</v>
      </c>
      <c r="O27" s="9"/>
      <c r="P27" s="9"/>
      <c r="Q27" s="11">
        <f>IFERROR(__xludf.DUMMYFUNCTION("""COMPUTED_VALUE"""),11.0)</f>
        <v>11</v>
      </c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tr">
        <f>IFERROR(__xludf.DUMMYFUNCTION("""COMPUTED_VALUE"""),"Lucca Giovanni")</f>
        <v>Lucca Giovanni</v>
      </c>
      <c r="B28" s="9"/>
      <c r="C28" s="11">
        <f>IFERROR(__xludf.DUMMYFUNCTION("""COMPUTED_VALUE"""),29.0)</f>
        <v>29</v>
      </c>
      <c r="D28" s="9"/>
      <c r="E28" s="9"/>
      <c r="F28" s="9"/>
      <c r="G28" s="10">
        <f>IFERROR(__xludf.DUMMYFUNCTION("""COMPUTED_VALUE"""),0.9310344827586207)</f>
        <v>0.9310344828</v>
      </c>
      <c r="H28" s="9"/>
      <c r="I28" s="9"/>
      <c r="J28" s="11">
        <f>IFERROR(__xludf.DUMMYFUNCTION("""COMPUTED_VALUE"""),27.0)</f>
        <v>27</v>
      </c>
      <c r="K28" s="9"/>
      <c r="L28" s="9"/>
      <c r="M28" s="9"/>
      <c r="N28" s="10">
        <f>IFERROR(__xludf.DUMMYFUNCTION("""COMPUTED_VALUE"""),0.37037037037037035)</f>
        <v>0.3703703704</v>
      </c>
      <c r="O28" s="9"/>
      <c r="P28" s="9"/>
      <c r="Q28" s="11">
        <f>IFERROR(__xludf.DUMMYFUNCTION("""COMPUTED_VALUE"""),10.0)</f>
        <v>10</v>
      </c>
      <c r="R28" s="9"/>
      <c r="S28" s="9"/>
      <c r="T28" s="9"/>
      <c r="U28" s="9"/>
      <c r="V28" s="9"/>
      <c r="W28" s="9"/>
      <c r="X28" s="9"/>
      <c r="Y28" s="9"/>
      <c r="Z28" s="9"/>
    </row>
    <row r="29">
      <c r="A29" s="9" t="str">
        <f>IFERROR(__xludf.DUMMYFUNCTION("""COMPUTED_VALUE"""),"Matheus Mariano")</f>
        <v>Matheus Mariano</v>
      </c>
      <c r="B29" s="9"/>
      <c r="C29" s="11">
        <f>IFERROR(__xludf.DUMMYFUNCTION("""COMPUTED_VALUE"""),35.0)</f>
        <v>35</v>
      </c>
      <c r="D29" s="9"/>
      <c r="E29" s="9"/>
      <c r="F29" s="9"/>
      <c r="G29" s="10">
        <f>IFERROR(__xludf.DUMMYFUNCTION("""COMPUTED_VALUE"""),0.8285714285714286)</f>
        <v>0.8285714286</v>
      </c>
      <c r="H29" s="9"/>
      <c r="I29" s="9"/>
      <c r="J29" s="11">
        <f>IFERROR(__xludf.DUMMYFUNCTION("""COMPUTED_VALUE"""),29.0)</f>
        <v>29</v>
      </c>
      <c r="K29" s="9"/>
      <c r="L29" s="9"/>
      <c r="M29" s="9"/>
      <c r="N29" s="10">
        <f>IFERROR(__xludf.DUMMYFUNCTION("""COMPUTED_VALUE"""),0.3448275862068966)</f>
        <v>0.3448275862</v>
      </c>
      <c r="O29" s="9"/>
      <c r="P29" s="9"/>
      <c r="Q29" s="11">
        <f>IFERROR(__xludf.DUMMYFUNCTION("""COMPUTED_VALUE"""),10.0)</f>
        <v>10</v>
      </c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tr">
        <f>IFERROR(__xludf.DUMMYFUNCTION("""COMPUTED_VALUE"""),"Nicolas Miranda")</f>
        <v>Nicolas Miranda</v>
      </c>
      <c r="B30" s="9"/>
      <c r="C30" s="11">
        <f>IFERROR(__xludf.DUMMYFUNCTION("""COMPUTED_VALUE"""),38.0)</f>
        <v>38</v>
      </c>
      <c r="D30" s="9"/>
      <c r="E30" s="9"/>
      <c r="F30" s="9"/>
      <c r="G30" s="10">
        <f>IFERROR(__xludf.DUMMYFUNCTION("""COMPUTED_VALUE"""),0.7631578947368421)</f>
        <v>0.7631578947</v>
      </c>
      <c r="H30" s="9"/>
      <c r="I30" s="9"/>
      <c r="J30" s="11">
        <f>IFERROR(__xludf.DUMMYFUNCTION("""COMPUTED_VALUE"""),29.0)</f>
        <v>29</v>
      </c>
      <c r="K30" s="9"/>
      <c r="L30" s="9"/>
      <c r="M30" s="9"/>
      <c r="N30" s="10">
        <f>IFERROR(__xludf.DUMMYFUNCTION("""COMPUTED_VALUE"""),0.27586206896551724)</f>
        <v>0.275862069</v>
      </c>
      <c r="O30" s="9"/>
      <c r="P30" s="9"/>
      <c r="Q30" s="11">
        <f>IFERROR(__xludf.DUMMYFUNCTION("""COMPUTED_VALUE"""),8.0)</f>
        <v>8</v>
      </c>
      <c r="R30" s="9"/>
      <c r="S30" s="9"/>
      <c r="T30" s="9"/>
      <c r="U30" s="9"/>
      <c r="V30" s="9"/>
      <c r="W30" s="9"/>
      <c r="X30" s="9"/>
      <c r="Y30" s="9"/>
      <c r="Z30" s="9"/>
    </row>
    <row r="31">
      <c r="A31" s="9" t="str">
        <f>IFERROR(__xludf.DUMMYFUNCTION("""COMPUTED_VALUE"""),"Bruno Xavier")</f>
        <v>Bruno Xavier</v>
      </c>
      <c r="B31" s="9"/>
      <c r="C31" s="11">
        <f>IFERROR(__xludf.DUMMYFUNCTION("""COMPUTED_VALUE"""),34.0)</f>
        <v>34</v>
      </c>
      <c r="D31" s="9"/>
      <c r="E31" s="9"/>
      <c r="F31" s="9"/>
      <c r="G31" s="10">
        <f>IFERROR(__xludf.DUMMYFUNCTION("""COMPUTED_VALUE"""),0.6470588235294118)</f>
        <v>0.6470588235</v>
      </c>
      <c r="H31" s="9"/>
      <c r="I31" s="9"/>
      <c r="J31" s="11">
        <f>IFERROR(__xludf.DUMMYFUNCTION("""COMPUTED_VALUE"""),22.0)</f>
        <v>22</v>
      </c>
      <c r="K31" s="9"/>
      <c r="L31" s="9"/>
      <c r="M31" s="9"/>
      <c r="N31" s="10">
        <f>IFERROR(__xludf.DUMMYFUNCTION("""COMPUTED_VALUE"""),0.2727272727272727)</f>
        <v>0.2727272727</v>
      </c>
      <c r="O31" s="9"/>
      <c r="P31" s="9"/>
      <c r="Q31" s="11">
        <f>IFERROR(__xludf.DUMMYFUNCTION("""COMPUTED_VALUE"""),6.0)</f>
        <v>6</v>
      </c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tr">
        <f>IFERROR(__xludf.DUMMYFUNCTION("""COMPUTED_VALUE"""),"Nathan Nascimento")</f>
        <v>Nathan Nascimento</v>
      </c>
      <c r="B32" s="9"/>
      <c r="C32" s="11">
        <f>IFERROR(__xludf.DUMMYFUNCTION("""COMPUTED_VALUE"""),29.0)</f>
        <v>29</v>
      </c>
      <c r="D32" s="9"/>
      <c r="E32" s="9"/>
      <c r="F32" s="9"/>
      <c r="G32" s="10">
        <f>IFERROR(__xludf.DUMMYFUNCTION("""COMPUTED_VALUE"""),0.9310344827586207)</f>
        <v>0.9310344828</v>
      </c>
      <c r="H32" s="9"/>
      <c r="I32" s="9"/>
      <c r="J32" s="11">
        <f>IFERROR(__xludf.DUMMYFUNCTION("""COMPUTED_VALUE"""),27.0)</f>
        <v>27</v>
      </c>
      <c r="K32" s="9"/>
      <c r="L32" s="9"/>
      <c r="M32" s="9"/>
      <c r="N32" s="10">
        <f>IFERROR(__xludf.DUMMYFUNCTION("""COMPUTED_VALUE"""),0.2222222222222222)</f>
        <v>0.2222222222</v>
      </c>
      <c r="O32" s="9"/>
      <c r="P32" s="9"/>
      <c r="Q32" s="11">
        <f>IFERROR(__xludf.DUMMYFUNCTION("""COMPUTED_VALUE"""),6.0)</f>
        <v>6</v>
      </c>
      <c r="R32" s="9"/>
      <c r="S32" s="9"/>
      <c r="T32" s="9"/>
      <c r="U32" s="9"/>
      <c r="V32" s="9"/>
      <c r="W32" s="9"/>
      <c r="X32" s="9"/>
      <c r="Y32" s="9"/>
      <c r="Z32" s="9"/>
    </row>
    <row r="33">
      <c r="A33" s="9" t="str">
        <f>IFERROR(__xludf.DUMMYFUNCTION("""COMPUTED_VALUE"""),"Leonardo Alencar")</f>
        <v>Leonardo Alencar</v>
      </c>
      <c r="B33" s="9"/>
      <c r="C33" s="11">
        <f>IFERROR(__xludf.DUMMYFUNCTION("""COMPUTED_VALUE"""),41.0)</f>
        <v>41</v>
      </c>
      <c r="D33" s="9"/>
      <c r="E33" s="9"/>
      <c r="F33" s="9"/>
      <c r="G33" s="10">
        <f>IFERROR(__xludf.DUMMYFUNCTION("""COMPUTED_VALUE"""),0.8292682926829268)</f>
        <v>0.8292682927</v>
      </c>
      <c r="H33" s="9"/>
      <c r="I33" s="9"/>
      <c r="J33" s="11">
        <f>IFERROR(__xludf.DUMMYFUNCTION("""COMPUTED_VALUE"""),34.0)</f>
        <v>34</v>
      </c>
      <c r="K33" s="9"/>
      <c r="L33" s="9"/>
      <c r="M33" s="9"/>
      <c r="N33" s="10">
        <f>IFERROR(__xludf.DUMMYFUNCTION("""COMPUTED_VALUE"""),0.17647058823529413)</f>
        <v>0.1764705882</v>
      </c>
      <c r="O33" s="9"/>
      <c r="P33" s="9"/>
      <c r="Q33" s="11">
        <f>IFERROR(__xludf.DUMMYFUNCTION("""COMPUTED_VALUE"""),6.0)</f>
        <v>6</v>
      </c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tr">
        <f>IFERROR(__xludf.DUMMYFUNCTION("""COMPUTED_VALUE"""),"Jefferson Da Silva Santos")</f>
        <v>Jefferson Da Silva Santos</v>
      </c>
      <c r="B34" s="9"/>
      <c r="C34" s="11">
        <f>IFERROR(__xludf.DUMMYFUNCTION("""COMPUTED_VALUE"""),4.0)</f>
        <v>4</v>
      </c>
      <c r="D34" s="9"/>
      <c r="E34" s="9"/>
      <c r="F34" s="9"/>
      <c r="G34" s="10">
        <f>IFERROR(__xludf.DUMMYFUNCTION("""COMPUTED_VALUE"""),1.0)</f>
        <v>1</v>
      </c>
      <c r="H34" s="9"/>
      <c r="I34" s="9"/>
      <c r="J34" s="11">
        <f>IFERROR(__xludf.DUMMYFUNCTION("""COMPUTED_VALUE"""),4.0)</f>
        <v>4</v>
      </c>
      <c r="K34" s="9"/>
      <c r="L34" s="9"/>
      <c r="M34" s="9"/>
      <c r="N34" s="10">
        <f>IFERROR(__xludf.DUMMYFUNCTION("""COMPUTED_VALUE"""),0.75)</f>
        <v>0.75</v>
      </c>
      <c r="O34" s="9"/>
      <c r="P34" s="9"/>
      <c r="Q34" s="11">
        <f>IFERROR(__xludf.DUMMYFUNCTION("""COMPUTED_VALUE"""),3.0)</f>
        <v>3</v>
      </c>
      <c r="R34" s="9"/>
      <c r="S34" s="9"/>
      <c r="T34" s="9"/>
      <c r="U34" s="9"/>
      <c r="V34" s="9"/>
      <c r="W34" s="9"/>
      <c r="X34" s="9"/>
      <c r="Y34" s="9"/>
      <c r="Z34" s="9"/>
    </row>
    <row r="35">
      <c r="A35" s="9" t="str">
        <f>IFERROR(__xludf.DUMMYFUNCTION("""COMPUTED_VALUE"""),"Ilson Costa Lima")</f>
        <v>Ilson Costa Lima</v>
      </c>
      <c r="B35" s="9"/>
      <c r="C35" s="11">
        <f>IFERROR(__xludf.DUMMYFUNCTION("""COMPUTED_VALUE"""),3.0)</f>
        <v>3</v>
      </c>
      <c r="D35" s="9"/>
      <c r="E35" s="9"/>
      <c r="F35" s="9"/>
      <c r="G35" s="10">
        <f>IFERROR(__xludf.DUMMYFUNCTION("""COMPUTED_VALUE"""),1.3333333333333333)</f>
        <v>1.333333333</v>
      </c>
      <c r="H35" s="9"/>
      <c r="I35" s="9"/>
      <c r="J35" s="11">
        <f>IFERROR(__xludf.DUMMYFUNCTION("""COMPUTED_VALUE"""),4.0)</f>
        <v>4</v>
      </c>
      <c r="K35" s="9"/>
      <c r="L35" s="9"/>
      <c r="M35" s="9"/>
      <c r="N35" s="10">
        <f>IFERROR(__xludf.DUMMYFUNCTION("""COMPUTED_VALUE"""),0.5)</f>
        <v>0.5</v>
      </c>
      <c r="O35" s="9"/>
      <c r="P35" s="9"/>
      <c r="Q35" s="11">
        <f>IFERROR(__xludf.DUMMYFUNCTION("""COMPUTED_VALUE"""),2.0)</f>
        <v>2</v>
      </c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tr">
        <f>IFERROR(__xludf.DUMMYFUNCTION("""COMPUTED_VALUE"""),"João Vitor Nascimento")</f>
        <v>João Vitor Nascimento</v>
      </c>
      <c r="B36" s="9"/>
      <c r="C36" s="11">
        <f>IFERROR(__xludf.DUMMYFUNCTION("""COMPUTED_VALUE"""),21.0)</f>
        <v>21</v>
      </c>
      <c r="D36" s="9"/>
      <c r="E36" s="9"/>
      <c r="F36" s="9"/>
      <c r="G36" s="10">
        <f>IFERROR(__xludf.DUMMYFUNCTION("""COMPUTED_VALUE"""),0.6190476190476191)</f>
        <v>0.619047619</v>
      </c>
      <c r="H36" s="9"/>
      <c r="I36" s="9"/>
      <c r="J36" s="11">
        <f>IFERROR(__xludf.DUMMYFUNCTION("""COMPUTED_VALUE"""),13.0)</f>
        <v>13</v>
      </c>
      <c r="K36" s="9"/>
      <c r="L36" s="9"/>
      <c r="M36" s="9"/>
      <c r="N36" s="10">
        <f>IFERROR(__xludf.DUMMYFUNCTION("""COMPUTED_VALUE"""),0.0)</f>
        <v>0</v>
      </c>
      <c r="O36" s="9"/>
      <c r="P36" s="9"/>
      <c r="Q36" s="11">
        <f>IFERROR(__xludf.DUMMYFUNCTION("""COMPUTED_VALUE"""),0.0)</f>
        <v>0</v>
      </c>
      <c r="R36" s="9"/>
      <c r="S36" s="9"/>
      <c r="T36" s="9"/>
      <c r="U36" s="9"/>
      <c r="V36" s="9"/>
      <c r="W36" s="9"/>
      <c r="X36" s="9"/>
      <c r="Y36" s="9"/>
      <c r="Z36" s="9"/>
    </row>
    <row r="37">
      <c r="A37" s="9" t="str">
        <f>IFERROR(__xludf.DUMMYFUNCTION("""COMPUTED_VALUE"""),"Form G4 Instagram Tallis")</f>
        <v>Form G4 Instagram Tallis</v>
      </c>
      <c r="B37" s="11">
        <f>IFERROR(__xludf.DUMMYFUNCTION("""COMPUTED_VALUE"""),304.83870967741916)</f>
        <v>304.8387097</v>
      </c>
      <c r="C37" s="9"/>
      <c r="D37" s="11">
        <f>IFERROR(__xludf.DUMMYFUNCTION("""COMPUTED_VALUE"""),-304.83870967741916)</f>
        <v>-304.8387097</v>
      </c>
      <c r="E37" s="10">
        <f>IFERROR(__xludf.DUMMYFUNCTION("""COMPUTED_VALUE"""),-1.0)</f>
        <v>-1</v>
      </c>
      <c r="F37" s="10">
        <f>IFERROR(__xludf.DUMMYFUNCTION("""COMPUTED_VALUE"""),0.8420724459024018)</f>
        <v>0.8420724459</v>
      </c>
      <c r="G37" s="10" t="str">
        <f>IFERROR(__xludf.DUMMYFUNCTION("""COMPUTED_VALUE"""),"#DIV/0!")</f>
        <v>#DIV/0!</v>
      </c>
      <c r="H37" s="35" t="str">
        <f>IFERROR(__xludf.DUMMYFUNCTION("""COMPUTED_VALUE"""),"#DIV/0!")</f>
        <v>#DIV/0!</v>
      </c>
      <c r="I37" s="11">
        <f>IFERROR(__xludf.DUMMYFUNCTION("""COMPUTED_VALUE"""),256.6962778637965)</f>
        <v>256.6962779</v>
      </c>
      <c r="J37" s="9"/>
      <c r="K37" s="11">
        <f>IFERROR(__xludf.DUMMYFUNCTION("""COMPUTED_VALUE"""),-256.6962778637965)</f>
        <v>-256.6962779</v>
      </c>
      <c r="L37" s="10">
        <f>IFERROR(__xludf.DUMMYFUNCTION("""COMPUTED_VALUE"""),-1.0)</f>
        <v>-1</v>
      </c>
      <c r="M37" s="10">
        <f>IFERROR(__xludf.DUMMYFUNCTION("""COMPUTED_VALUE"""),0.31229629629629657)</f>
        <v>0.3122962963</v>
      </c>
      <c r="N37" s="10" t="str">
        <f>IFERROR(__xludf.DUMMYFUNCTION("""COMPUTED_VALUE"""),"#DIV/0!")</f>
        <v>#DIV/0!</v>
      </c>
      <c r="O37" s="35" t="str">
        <f>IFERROR(__xludf.DUMMYFUNCTION("""COMPUTED_VALUE"""),"#DIV/0!")</f>
        <v>#DIV/0!</v>
      </c>
      <c r="P37" s="11">
        <f>IFERROR(__xludf.DUMMYFUNCTION("""COMPUTED_VALUE"""),80.16529684990867)</f>
        <v>80.16529685</v>
      </c>
      <c r="Q37" s="9"/>
      <c r="R37" s="11">
        <f>IFERROR(__xludf.DUMMYFUNCTION("""COMPUTED_VALUE"""),-80.16529684990867)</f>
        <v>-80.16529685</v>
      </c>
      <c r="S37" s="10">
        <f>IFERROR(__xludf.DUMMYFUNCTION("""COMPUTED_VALUE"""),-1.0)</f>
        <v>-1</v>
      </c>
      <c r="T37" s="9">
        <f>IFERROR(__xludf.DUMMYFUNCTION("""COMPUTED_VALUE"""),329916.27092095657)</f>
        <v>329916.2709</v>
      </c>
      <c r="U37" s="36">
        <f>IFERROR(__xludf.DUMMYFUNCTION("""COMPUTED_VALUE"""),4240.0)</f>
        <v>4240</v>
      </c>
      <c r="V37" s="36">
        <f>IFERROR(__xludf.DUMMYFUNCTION("""COMPUTED_VALUE"""),-1088392.2181424974)</f>
        <v>-1088392.218</v>
      </c>
      <c r="W37" s="10">
        <f>IFERROR(__xludf.DUMMYFUNCTION("""COMPUTED_VALUE"""),-3.2989952726619576)</f>
        <v>-3.298995273</v>
      </c>
      <c r="X37" s="9"/>
      <c r="Y37" s="9"/>
      <c r="Z37" s="9"/>
    </row>
    <row r="38">
      <c r="A38" s="9" t="str">
        <f>IFERROR(__xludf.DUMMYFUNCTION("""COMPUTED_VALUE"""),"#REF!")</f>
        <v>#REF!</v>
      </c>
      <c r="B38" s="9"/>
      <c r="C38" s="11" t="str">
        <f>IFERROR(__xludf.DUMMYFUNCTION("""COMPUTED_VALUE"""),"#REF!")</f>
        <v>#REF!</v>
      </c>
      <c r="D38" s="9"/>
      <c r="E38" s="9"/>
      <c r="F38" s="9"/>
      <c r="G38" s="10" t="str">
        <f>IFERROR(__xludf.DUMMYFUNCTION("""COMPUTED_VALUE"""),"#REF!")</f>
        <v>#REF!</v>
      </c>
      <c r="H38" s="9"/>
      <c r="I38" s="9"/>
      <c r="J38" s="11" t="str">
        <f>IFERROR(__xludf.DUMMYFUNCTION("""COMPUTED_VALUE"""),"#REF!")</f>
        <v>#REF!</v>
      </c>
      <c r="K38" s="9"/>
      <c r="L38" s="9"/>
      <c r="M38" s="9"/>
      <c r="N38" s="10" t="str">
        <f>IFERROR(__xludf.DUMMYFUNCTION("""COMPUTED_VALUE"""),"#REF!")</f>
        <v>#REF!</v>
      </c>
      <c r="O38" s="9"/>
      <c r="P38" s="9"/>
      <c r="Q38" s="11" t="str">
        <f>IFERROR(__xludf.DUMMYFUNCTION("""COMPUTED_VALUE"""),"#REF!")</f>
        <v>#REF!</v>
      </c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 t="str">
        <f>IFERROR(__xludf.DUMMYFUNCTION("""COMPUTED_VALUE"""),"[CM] Form G4 - Instagram")</f>
        <v>[CM] Form G4 - Instagram</v>
      </c>
      <c r="B49" s="11">
        <f>IFERROR(__xludf.DUMMYFUNCTION("""COMPUTED_VALUE"""),69.50322580645157)</f>
        <v>69.50322581</v>
      </c>
      <c r="C49" s="11">
        <f>IFERROR(__xludf.DUMMYFUNCTION("""COMPUTED_VALUE"""),74.0)</f>
        <v>74</v>
      </c>
      <c r="D49" s="11">
        <f>IFERROR(__xludf.DUMMYFUNCTION("""COMPUTED_VALUE"""),4.496774193548433)</f>
        <v>4.496774194</v>
      </c>
      <c r="E49" s="10">
        <f>IFERROR(__xludf.DUMMYFUNCTION("""COMPUTED_VALUE"""),0.06469878399703032)</f>
        <v>0.064698784</v>
      </c>
      <c r="F49" s="10">
        <f>IFERROR(__xludf.DUMMYFUNCTION("""COMPUTED_VALUE"""),0.6999999999999998)</f>
        <v>0.7</v>
      </c>
      <c r="G49" s="10">
        <f>IFERROR(__xludf.DUMMYFUNCTION("""COMPUTED_VALUE"""),0.6486486486486487)</f>
        <v>0.6486486486</v>
      </c>
      <c r="H49" s="35">
        <f>IFERROR(__xludf.DUMMYFUNCTION("""COMPUTED_VALUE"""),-5.1351351351351155)</f>
        <v>-5.135135135</v>
      </c>
      <c r="I49" s="11">
        <f>IFERROR(__xludf.DUMMYFUNCTION("""COMPUTED_VALUE"""),48.65225806451609)</f>
        <v>48.65225806</v>
      </c>
      <c r="J49" s="11">
        <f>IFERROR(__xludf.DUMMYFUNCTION("""COMPUTED_VALUE"""),48.0)</f>
        <v>48</v>
      </c>
      <c r="K49" s="11">
        <f>IFERROR(__xludf.DUMMYFUNCTION("""COMPUTED_VALUE"""),-0.65225806451609)</f>
        <v>-0.6522580645</v>
      </c>
      <c r="L49" s="10">
        <f>IFERROR(__xludf.DUMMYFUNCTION("""COMPUTED_VALUE"""),-0.013406532203523894)</f>
        <v>-0.0134065322</v>
      </c>
      <c r="M49" s="10">
        <f>IFERROR(__xludf.DUMMYFUNCTION("""COMPUTED_VALUE"""),0.2571851851851854)</f>
        <v>0.2571851852</v>
      </c>
      <c r="N49" s="10">
        <f>IFERROR(__xludf.DUMMYFUNCTION("""COMPUTED_VALUE"""),0.1875)</f>
        <v>0.1875</v>
      </c>
      <c r="O49" s="35">
        <f>IFERROR(__xludf.DUMMYFUNCTION("""COMPUTED_VALUE"""),-6.9685185185185405)</f>
        <v>-6.968518519</v>
      </c>
      <c r="P49" s="11">
        <f>IFERROR(__xludf.DUMMYFUNCTION("""COMPUTED_VALUE"""),12.512640000000001)</f>
        <v>12.51264</v>
      </c>
      <c r="Q49" s="11">
        <f>IFERROR(__xludf.DUMMYFUNCTION("""COMPUTED_VALUE"""),9.0)</f>
        <v>9</v>
      </c>
      <c r="R49" s="11">
        <f>IFERROR(__xludf.DUMMYFUNCTION("""COMPUTED_VALUE"""),-3.512640000000001)</f>
        <v>-3.51264</v>
      </c>
      <c r="S49" s="10">
        <f>IFERROR(__xludf.DUMMYFUNCTION("""COMPUTED_VALUE"""),-0.28072732852539517)</f>
        <v>-0.2807273285</v>
      </c>
      <c r="T49" s="11">
        <f>IFERROR(__xludf.DUMMYFUNCTION("""COMPUTED_VALUE"""),102018.68208)</f>
        <v>102018.6821</v>
      </c>
      <c r="U49" s="36">
        <f>IFERROR(__xludf.DUMMYFUNCTION("""COMPUTED_VALUE"""),8400.0)</f>
        <v>8400</v>
      </c>
      <c r="V49" s="36">
        <f>IFERROR(__xludf.DUMMYFUNCTION("""COMPUTED_VALUE"""),-5478.9677419351565)</f>
        <v>-5478.967742</v>
      </c>
      <c r="W49" s="10">
        <f>IFERROR(__xludf.DUMMYFUNCTION("""COMPUTED_VALUE"""),-0.053705533439833246)</f>
        <v>-0.05370553344</v>
      </c>
      <c r="X49" s="9"/>
      <c r="Y49" s="9"/>
      <c r="Z49" s="9"/>
    </row>
    <row r="50">
      <c r="A50" s="9" t="str">
        <f>IFERROR(__xludf.DUMMYFUNCTION("""COMPUTED_VALUE"""),"Matheus Mariano")</f>
        <v>Matheus Mariano</v>
      </c>
      <c r="B50" s="9"/>
      <c r="C50" s="11">
        <f>IFERROR(__xludf.DUMMYFUNCTION("""COMPUTED_VALUE"""),7.0)</f>
        <v>7</v>
      </c>
      <c r="D50" s="9"/>
      <c r="E50" s="9"/>
      <c r="F50" s="9"/>
      <c r="G50" s="10">
        <f>IFERROR(__xludf.DUMMYFUNCTION("""COMPUTED_VALUE"""),0.5714285714285714)</f>
        <v>0.5714285714</v>
      </c>
      <c r="H50" s="9"/>
      <c r="I50" s="9"/>
      <c r="J50" s="11">
        <f>IFERROR(__xludf.DUMMYFUNCTION("""COMPUTED_VALUE"""),4.0)</f>
        <v>4</v>
      </c>
      <c r="K50" s="9"/>
      <c r="L50" s="9"/>
      <c r="M50" s="9"/>
      <c r="N50" s="10">
        <f>IFERROR(__xludf.DUMMYFUNCTION("""COMPUTED_VALUE"""),0.5)</f>
        <v>0.5</v>
      </c>
      <c r="O50" s="9"/>
      <c r="P50" s="9"/>
      <c r="Q50" s="11">
        <f>IFERROR(__xludf.DUMMYFUNCTION("""COMPUTED_VALUE"""),2.0)</f>
        <v>2</v>
      </c>
      <c r="R50" s="9"/>
      <c r="S50" s="9"/>
      <c r="T50" s="9"/>
      <c r="U50" s="9"/>
      <c r="V50" s="9"/>
      <c r="W50" s="9"/>
      <c r="X50" s="9"/>
      <c r="Y50" s="9"/>
      <c r="Z50" s="9"/>
    </row>
    <row r="51">
      <c r="A51" s="9" t="str">
        <f>IFERROR(__xludf.DUMMYFUNCTION("""COMPUTED_VALUE"""),"Pablo Maia")</f>
        <v>Pablo Maia</v>
      </c>
      <c r="B51" s="9"/>
      <c r="C51" s="11">
        <f>IFERROR(__xludf.DUMMYFUNCTION("""COMPUTED_VALUE"""),9.0)</f>
        <v>9</v>
      </c>
      <c r="D51" s="9"/>
      <c r="E51" s="9"/>
      <c r="F51" s="9"/>
      <c r="G51" s="10">
        <f>IFERROR(__xludf.DUMMYFUNCTION("""COMPUTED_VALUE"""),0.6666666666666666)</f>
        <v>0.6666666667</v>
      </c>
      <c r="H51" s="9"/>
      <c r="I51" s="9"/>
      <c r="J51" s="11">
        <f>IFERROR(__xludf.DUMMYFUNCTION("""COMPUTED_VALUE"""),6.0)</f>
        <v>6</v>
      </c>
      <c r="K51" s="9"/>
      <c r="L51" s="9"/>
      <c r="M51" s="9"/>
      <c r="N51" s="10">
        <f>IFERROR(__xludf.DUMMYFUNCTION("""COMPUTED_VALUE"""),0.3333333333333333)</f>
        <v>0.3333333333</v>
      </c>
      <c r="O51" s="9"/>
      <c r="P51" s="9"/>
      <c r="Q51" s="11">
        <f>IFERROR(__xludf.DUMMYFUNCTION("""COMPUTED_VALUE"""),2.0)</f>
        <v>2</v>
      </c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tr">
        <f>IFERROR(__xludf.DUMMYFUNCTION("""COMPUTED_VALUE"""),"Gustavo Pereira")</f>
        <v>Gustavo Pereira</v>
      </c>
      <c r="B52" s="9"/>
      <c r="C52" s="11">
        <f>IFERROR(__xludf.DUMMYFUNCTION("""COMPUTED_VALUE"""),1.0)</f>
        <v>1</v>
      </c>
      <c r="D52" s="9"/>
      <c r="E52" s="9"/>
      <c r="F52" s="9"/>
      <c r="G52" s="10">
        <f>IFERROR(__xludf.DUMMYFUNCTION("""COMPUTED_VALUE"""),1.0)</f>
        <v>1</v>
      </c>
      <c r="H52" s="9"/>
      <c r="I52" s="9"/>
      <c r="J52" s="11">
        <f>IFERROR(__xludf.DUMMYFUNCTION("""COMPUTED_VALUE"""),1.0)</f>
        <v>1</v>
      </c>
      <c r="K52" s="9"/>
      <c r="L52" s="9"/>
      <c r="M52" s="9"/>
      <c r="N52" s="10">
        <f>IFERROR(__xludf.DUMMYFUNCTION("""COMPUTED_VALUE"""),1.0)</f>
        <v>1</v>
      </c>
      <c r="O52" s="9"/>
      <c r="P52" s="9"/>
      <c r="Q52" s="11">
        <f>IFERROR(__xludf.DUMMYFUNCTION("""COMPUTED_VALUE"""),1.0)</f>
        <v>1</v>
      </c>
      <c r="R52" s="9"/>
      <c r="S52" s="9"/>
      <c r="T52" s="9"/>
      <c r="U52" s="9"/>
      <c r="V52" s="9"/>
      <c r="W52" s="9"/>
      <c r="X52" s="9"/>
      <c r="Y52" s="9"/>
      <c r="Z52" s="9"/>
    </row>
    <row r="53">
      <c r="A53" s="9" t="str">
        <f>IFERROR(__xludf.DUMMYFUNCTION("""COMPUTED_VALUE"""),"Christian Lopes")</f>
        <v>Christian Lopes</v>
      </c>
      <c r="B53" s="9"/>
      <c r="C53" s="11">
        <f>IFERROR(__xludf.DUMMYFUNCTION("""COMPUTED_VALUE"""),8.0)</f>
        <v>8</v>
      </c>
      <c r="D53" s="9"/>
      <c r="E53" s="9"/>
      <c r="F53" s="9"/>
      <c r="G53" s="10">
        <f>IFERROR(__xludf.DUMMYFUNCTION("""COMPUTED_VALUE"""),0.5)</f>
        <v>0.5</v>
      </c>
      <c r="H53" s="9"/>
      <c r="I53" s="9"/>
      <c r="J53" s="11">
        <f>IFERROR(__xludf.DUMMYFUNCTION("""COMPUTED_VALUE"""),4.0)</f>
        <v>4</v>
      </c>
      <c r="K53" s="9"/>
      <c r="L53" s="9"/>
      <c r="M53" s="9"/>
      <c r="N53" s="10">
        <f>IFERROR(__xludf.DUMMYFUNCTION("""COMPUTED_VALUE"""),0.25)</f>
        <v>0.25</v>
      </c>
      <c r="O53" s="9"/>
      <c r="P53" s="9"/>
      <c r="Q53" s="11">
        <f>IFERROR(__xludf.DUMMYFUNCTION("""COMPUTED_VALUE"""),1.0)</f>
        <v>1</v>
      </c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tr">
        <f>IFERROR(__xludf.DUMMYFUNCTION("""COMPUTED_VALUE"""),"Nathan Nascimento")</f>
        <v>Nathan Nascimento</v>
      </c>
      <c r="B54" s="9"/>
      <c r="C54" s="11">
        <f>IFERROR(__xludf.DUMMYFUNCTION("""COMPUTED_VALUE"""),8.0)</f>
        <v>8</v>
      </c>
      <c r="D54" s="9"/>
      <c r="E54" s="9"/>
      <c r="F54" s="9"/>
      <c r="G54" s="10">
        <f>IFERROR(__xludf.DUMMYFUNCTION("""COMPUTED_VALUE"""),0.625)</f>
        <v>0.625</v>
      </c>
      <c r="H54" s="9"/>
      <c r="I54" s="9"/>
      <c r="J54" s="11">
        <f>IFERROR(__xludf.DUMMYFUNCTION("""COMPUTED_VALUE"""),5.0)</f>
        <v>5</v>
      </c>
      <c r="K54" s="9"/>
      <c r="L54" s="9"/>
      <c r="M54" s="9"/>
      <c r="N54" s="10">
        <f>IFERROR(__xludf.DUMMYFUNCTION("""COMPUTED_VALUE"""),0.2)</f>
        <v>0.2</v>
      </c>
      <c r="O54" s="9"/>
      <c r="P54" s="9"/>
      <c r="Q54" s="11">
        <f>IFERROR(__xludf.DUMMYFUNCTION("""COMPUTED_VALUE"""),1.0)</f>
        <v>1</v>
      </c>
      <c r="R54" s="9"/>
      <c r="S54" s="9"/>
      <c r="T54" s="9"/>
      <c r="U54" s="9"/>
      <c r="V54" s="9"/>
      <c r="W54" s="9"/>
      <c r="X54" s="9"/>
      <c r="Y54" s="9"/>
      <c r="Z54" s="9"/>
    </row>
    <row r="55">
      <c r="A55" s="9" t="str">
        <f>IFERROR(__xludf.DUMMYFUNCTION("""COMPUTED_VALUE"""),"João Vitor Nascimento")</f>
        <v>João Vitor Nascimento</v>
      </c>
      <c r="B55" s="9"/>
      <c r="C55" s="11">
        <f>IFERROR(__xludf.DUMMYFUNCTION("""COMPUTED_VALUE"""),6.0)</f>
        <v>6</v>
      </c>
      <c r="D55" s="9"/>
      <c r="E55" s="9"/>
      <c r="F55" s="9"/>
      <c r="G55" s="10">
        <f>IFERROR(__xludf.DUMMYFUNCTION("""COMPUTED_VALUE"""),0.8333333333333334)</f>
        <v>0.8333333333</v>
      </c>
      <c r="H55" s="9"/>
      <c r="I55" s="9"/>
      <c r="J55" s="11">
        <f>IFERROR(__xludf.DUMMYFUNCTION("""COMPUTED_VALUE"""),5.0)</f>
        <v>5</v>
      </c>
      <c r="K55" s="9"/>
      <c r="L55" s="9"/>
      <c r="M55" s="9"/>
      <c r="N55" s="10">
        <f>IFERROR(__xludf.DUMMYFUNCTION("""COMPUTED_VALUE"""),0.2)</f>
        <v>0.2</v>
      </c>
      <c r="O55" s="9"/>
      <c r="P55" s="9"/>
      <c r="Q55" s="11">
        <f>IFERROR(__xludf.DUMMYFUNCTION("""COMPUTED_VALUE"""),1.0)</f>
        <v>1</v>
      </c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tr">
        <f>IFERROR(__xludf.DUMMYFUNCTION("""COMPUTED_VALUE"""),"Leonardo Alencar")</f>
        <v>Leonardo Alencar</v>
      </c>
      <c r="B56" s="9"/>
      <c r="C56" s="11">
        <f>IFERROR(__xludf.DUMMYFUNCTION("""COMPUTED_VALUE"""),8.0)</f>
        <v>8</v>
      </c>
      <c r="D56" s="9"/>
      <c r="E56" s="9"/>
      <c r="F56" s="9"/>
      <c r="G56" s="10">
        <f>IFERROR(__xludf.DUMMYFUNCTION("""COMPUTED_VALUE"""),0.75)</f>
        <v>0.75</v>
      </c>
      <c r="H56" s="9"/>
      <c r="I56" s="9"/>
      <c r="J56" s="11">
        <f>IFERROR(__xludf.DUMMYFUNCTION("""COMPUTED_VALUE"""),6.0)</f>
        <v>6</v>
      </c>
      <c r="K56" s="9"/>
      <c r="L56" s="9"/>
      <c r="M56" s="9"/>
      <c r="N56" s="10">
        <f>IFERROR(__xludf.DUMMYFUNCTION("""COMPUTED_VALUE"""),0.16666666666666666)</f>
        <v>0.1666666667</v>
      </c>
      <c r="O56" s="9"/>
      <c r="P56" s="9"/>
      <c r="Q56" s="11">
        <f>IFERROR(__xludf.DUMMYFUNCTION("""COMPUTED_VALUE"""),1.0)</f>
        <v>1</v>
      </c>
      <c r="R56" s="9"/>
      <c r="S56" s="9"/>
      <c r="T56" s="9"/>
      <c r="U56" s="9"/>
      <c r="V56" s="9"/>
      <c r="W56" s="9"/>
      <c r="X56" s="9"/>
      <c r="Y56" s="9"/>
      <c r="Z56" s="9"/>
    </row>
    <row r="57">
      <c r="A57" s="9" t="str">
        <f>IFERROR(__xludf.DUMMYFUNCTION("""COMPUTED_VALUE"""),"Nicolas Miranda")</f>
        <v>Nicolas Miranda</v>
      </c>
      <c r="B57" s="9"/>
      <c r="C57" s="11">
        <f>IFERROR(__xludf.DUMMYFUNCTION("""COMPUTED_VALUE"""),7.0)</f>
        <v>7</v>
      </c>
      <c r="D57" s="9"/>
      <c r="E57" s="9"/>
      <c r="F57" s="9"/>
      <c r="G57" s="10">
        <f>IFERROR(__xludf.DUMMYFUNCTION("""COMPUTED_VALUE"""),0.5714285714285714)</f>
        <v>0.5714285714</v>
      </c>
      <c r="H57" s="9"/>
      <c r="I57" s="9"/>
      <c r="J57" s="11">
        <f>IFERROR(__xludf.DUMMYFUNCTION("""COMPUTED_VALUE"""),4.0)</f>
        <v>4</v>
      </c>
      <c r="K57" s="9"/>
      <c r="L57" s="9"/>
      <c r="M57" s="9"/>
      <c r="N57" s="10">
        <f>IFERROR(__xludf.DUMMYFUNCTION("""COMPUTED_VALUE"""),0.0)</f>
        <v>0</v>
      </c>
      <c r="O57" s="9"/>
      <c r="P57" s="9"/>
      <c r="Q57" s="11">
        <f>IFERROR(__xludf.DUMMYFUNCTION("""COMPUTED_VALUE"""),0.0)</f>
        <v>0</v>
      </c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tr">
        <f>IFERROR(__xludf.DUMMYFUNCTION("""COMPUTED_VALUE"""),"Luiz Felipe")</f>
        <v>Luiz Felipe</v>
      </c>
      <c r="B58" s="9"/>
      <c r="C58" s="11">
        <f>IFERROR(__xludf.DUMMYFUNCTION("""COMPUTED_VALUE"""),4.0)</f>
        <v>4</v>
      </c>
      <c r="D58" s="9"/>
      <c r="E58" s="9"/>
      <c r="F58" s="9"/>
      <c r="G58" s="10">
        <f>IFERROR(__xludf.DUMMYFUNCTION("""COMPUTED_VALUE"""),0.25)</f>
        <v>0.25</v>
      </c>
      <c r="H58" s="9"/>
      <c r="I58" s="9"/>
      <c r="J58" s="11">
        <f>IFERROR(__xludf.DUMMYFUNCTION("""COMPUTED_VALUE"""),1.0)</f>
        <v>1</v>
      </c>
      <c r="K58" s="9"/>
      <c r="L58" s="9"/>
      <c r="M58" s="9"/>
      <c r="N58" s="10">
        <f>IFERROR(__xludf.DUMMYFUNCTION("""COMPUTED_VALUE"""),0.0)</f>
        <v>0</v>
      </c>
      <c r="O58" s="9"/>
      <c r="P58" s="9"/>
      <c r="Q58" s="11">
        <f>IFERROR(__xludf.DUMMYFUNCTION("""COMPUTED_VALUE"""),0.0)</f>
        <v>0</v>
      </c>
      <c r="R58" s="9"/>
      <c r="S58" s="9"/>
      <c r="T58" s="9"/>
      <c r="U58" s="9"/>
      <c r="V58" s="9"/>
      <c r="W58" s="9"/>
      <c r="X58" s="9"/>
      <c r="Y58" s="9"/>
      <c r="Z58" s="9"/>
    </row>
    <row r="59">
      <c r="A59" s="9" t="str">
        <f>IFERROR(__xludf.DUMMYFUNCTION("""COMPUTED_VALUE"""),"Lucca Giovanni")</f>
        <v>Lucca Giovanni</v>
      </c>
      <c r="B59" s="9"/>
      <c r="C59" s="11">
        <f>IFERROR(__xludf.DUMMYFUNCTION("""COMPUTED_VALUE"""),6.0)</f>
        <v>6</v>
      </c>
      <c r="D59" s="9"/>
      <c r="E59" s="9"/>
      <c r="F59" s="9"/>
      <c r="G59" s="10">
        <f>IFERROR(__xludf.DUMMYFUNCTION("""COMPUTED_VALUE"""),0.8333333333333334)</f>
        <v>0.8333333333</v>
      </c>
      <c r="H59" s="9"/>
      <c r="I59" s="9"/>
      <c r="J59" s="11">
        <f>IFERROR(__xludf.DUMMYFUNCTION("""COMPUTED_VALUE"""),5.0)</f>
        <v>5</v>
      </c>
      <c r="K59" s="9"/>
      <c r="L59" s="9"/>
      <c r="M59" s="9"/>
      <c r="N59" s="10">
        <f>IFERROR(__xludf.DUMMYFUNCTION("""COMPUTED_VALUE"""),0.0)</f>
        <v>0</v>
      </c>
      <c r="O59" s="9"/>
      <c r="P59" s="9"/>
      <c r="Q59" s="11">
        <f>IFERROR(__xludf.DUMMYFUNCTION("""COMPUTED_VALUE"""),0.0)</f>
        <v>0</v>
      </c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tr">
        <f>IFERROR(__xludf.DUMMYFUNCTION("""COMPUTED_VALUE"""),"Outros")</f>
        <v>Outros</v>
      </c>
      <c r="B60" s="11">
        <f>IFERROR(__xludf.DUMMYFUNCTION("""COMPUTED_VALUE"""),1321.4322580645155)</f>
        <v>1321.432258</v>
      </c>
      <c r="C60" s="11">
        <f>IFERROR(__xludf.DUMMYFUNCTION("""COMPUTED_VALUE"""),2899.0)</f>
        <v>2899</v>
      </c>
      <c r="D60" s="11">
        <f>IFERROR(__xludf.DUMMYFUNCTION("""COMPUTED_VALUE"""),1577.5677419354845)</f>
        <v>1577.567742</v>
      </c>
      <c r="E60" s="10">
        <f>IFERROR(__xludf.DUMMYFUNCTION("""COMPUTED_VALUE"""),1.1938317172959947)</f>
        <v>1.193831717</v>
      </c>
      <c r="F60" s="10">
        <f>IFERROR(__xludf.DUMMYFUNCTION("""COMPUTED_VALUE"""),0.7391240265256913)</f>
        <v>0.7391240265</v>
      </c>
      <c r="G60" s="10">
        <f>IFERROR(__xludf.DUMMYFUNCTION("""COMPUTED_VALUE"""),0.6522938944463608)</f>
        <v>0.6522938944</v>
      </c>
      <c r="H60" s="35">
        <f>IFERROR(__xludf.DUMMYFUNCTION("""COMPUTED_VALUE"""),-8.683013207933055)</f>
        <v>-8.683013208</v>
      </c>
      <c r="I60" s="11">
        <f>IFERROR(__xludf.DUMMYFUNCTION("""COMPUTED_VALUE"""),976.7023313615811)</f>
        <v>976.7023314</v>
      </c>
      <c r="J60" s="11">
        <f>IFERROR(__xludf.DUMMYFUNCTION("""COMPUTED_VALUE"""),1891.0)</f>
        <v>1891</v>
      </c>
      <c r="K60" s="11">
        <f>IFERROR(__xludf.DUMMYFUNCTION("""COMPUTED_VALUE"""),914.2976686384189)</f>
        <v>914.2976686</v>
      </c>
      <c r="L60" s="10">
        <f>IFERROR(__xludf.DUMMYFUNCTION("""COMPUTED_VALUE"""),0.9361067740709021)</f>
        <v>0.9361067741</v>
      </c>
      <c r="M60" s="10">
        <f>IFERROR(__xludf.DUMMYFUNCTION("""COMPUTED_VALUE"""),0.3183233397865727)</f>
        <v>0.3183233398</v>
      </c>
      <c r="N60" s="10">
        <f>IFERROR(__xludf.DUMMYFUNCTION("""COMPUTED_VALUE"""),0.3939714436805923)</f>
        <v>0.3939714437</v>
      </c>
      <c r="O60" s="35">
        <f>IFERROR(__xludf.DUMMYFUNCTION("""COMPUTED_VALUE"""),7.56481038940196)</f>
        <v>7.564810389</v>
      </c>
      <c r="P60" s="11">
        <f>IFERROR(__xludf.DUMMYFUNCTION("""COMPUTED_VALUE"""),310.9071480963503)</f>
        <v>310.9071481</v>
      </c>
      <c r="Q60" s="11">
        <f>IFERROR(__xludf.DUMMYFUNCTION("""COMPUTED_VALUE"""),745.0)</f>
        <v>745</v>
      </c>
      <c r="R60" s="11">
        <f>IFERROR(__xludf.DUMMYFUNCTION("""COMPUTED_VALUE"""),434.0928519036497)</f>
        <v>434.0928519</v>
      </c>
      <c r="S60" s="10">
        <f>IFERROR(__xludf.DUMMYFUNCTION("""COMPUTED_VALUE"""),1.3962138039011058)</f>
        <v>1.396213804</v>
      </c>
      <c r="T60" s="11">
        <f>IFERROR(__xludf.DUMMYFUNCTION("""COMPUTED_VALUE"""),1766673.644788584)</f>
        <v>1766673.645</v>
      </c>
      <c r="U60" s="36">
        <f>IFERROR(__xludf.DUMMYFUNCTION("""COMPUTED_VALUE"""),5854.288896925282)</f>
        <v>5854.288897</v>
      </c>
      <c r="V60" s="36">
        <f>IFERROR(__xludf.DUMMYFUNCTION("""COMPUTED_VALUE"""),-146168.81339696902)</f>
        <v>-146168.8134</v>
      </c>
      <c r="W60" s="10">
        <f>IFERROR(__xludf.DUMMYFUNCTION("""COMPUTED_VALUE"""),-0.08273673738675198)</f>
        <v>-0.08273673739</v>
      </c>
      <c r="X60" s="9"/>
      <c r="Y60" s="9"/>
      <c r="Z60" s="9"/>
    </row>
    <row r="61">
      <c r="A61" s="9" t="str">
        <f>IFERROR(__xludf.DUMMYFUNCTION("""COMPUTED_VALUE"""),"[IM] Form Facebook Ads")</f>
        <v>[IM] Form Facebook Ads</v>
      </c>
      <c r="B61" s="11">
        <f>IFERROR(__xludf.DUMMYFUNCTION("""COMPUTED_VALUE"""),402.3870967741933)</f>
        <v>402.3870968</v>
      </c>
      <c r="C61" s="11">
        <f>IFERROR(__xludf.DUMMYFUNCTION("""COMPUTED_VALUE"""),391.0)</f>
        <v>391</v>
      </c>
      <c r="D61" s="11">
        <f>IFERROR(__xludf.DUMMYFUNCTION("""COMPUTED_VALUE"""),-11.38709677419331)</f>
        <v>-11.38709677</v>
      </c>
      <c r="E61" s="10">
        <f>IFERROR(__xludf.DUMMYFUNCTION("""COMPUTED_VALUE"""),-0.02829886163219439)</f>
        <v>-0.02829886163</v>
      </c>
      <c r="F61" s="10">
        <f>IFERROR(__xludf.DUMMYFUNCTION("""COMPUTED_VALUE"""),0.8681746999803266)</f>
        <v>0.8681747</v>
      </c>
      <c r="G61" s="10">
        <f>IFERROR(__xludf.DUMMYFUNCTION("""COMPUTED_VALUE"""),0.6675191815856778)</f>
        <v>0.6675191816</v>
      </c>
      <c r="H61" s="35">
        <f>IFERROR(__xludf.DUMMYFUNCTION("""COMPUTED_VALUE"""),-20.06555183946488)</f>
        <v>-20.06555184</v>
      </c>
      <c r="I61" s="11">
        <f>IFERROR(__xludf.DUMMYFUNCTION("""COMPUTED_VALUE"""),349.3422970178899)</f>
        <v>349.342297</v>
      </c>
      <c r="J61" s="11">
        <f>IFERROR(__xludf.DUMMYFUNCTION("""COMPUTED_VALUE"""),261.0)</f>
        <v>261</v>
      </c>
      <c r="K61" s="11">
        <f>IFERROR(__xludf.DUMMYFUNCTION("""COMPUTED_VALUE"""),-88.3422970178899)</f>
        <v>-88.34229702</v>
      </c>
      <c r="L61" s="10">
        <f>IFERROR(__xludf.DUMMYFUNCTION("""COMPUTED_VALUE"""),-0.2528817660272208)</f>
        <v>-0.252881766</v>
      </c>
      <c r="M61" s="10">
        <f>IFERROR(__xludf.DUMMYFUNCTION("""COMPUTED_VALUE"""),0.29392592592592615)</f>
        <v>0.2939259259</v>
      </c>
      <c r="N61" s="10">
        <f>IFERROR(__xludf.DUMMYFUNCTION("""COMPUTED_VALUE"""),0.42528735632183906)</f>
        <v>0.4252873563</v>
      </c>
      <c r="O61" s="35">
        <f>IFERROR(__xludf.DUMMYFUNCTION("""COMPUTED_VALUE"""),13.13614303959129)</f>
        <v>13.13614304</v>
      </c>
      <c r="P61" s="11">
        <f>IFERROR(__xludf.DUMMYFUNCTION("""COMPUTED_VALUE"""),102.6807581160732)</f>
        <v>102.6807581</v>
      </c>
      <c r="Q61" s="11">
        <f>IFERROR(__xludf.DUMMYFUNCTION("""COMPUTED_VALUE"""),111.0)</f>
        <v>111</v>
      </c>
      <c r="R61" s="11">
        <f>IFERROR(__xludf.DUMMYFUNCTION("""COMPUTED_VALUE"""),8.319241883926793)</f>
        <v>8.319241884</v>
      </c>
      <c r="S61" s="10">
        <f>IFERROR(__xludf.DUMMYFUNCTION("""COMPUTED_VALUE"""),0.0810204563792029)</f>
        <v>0.08102045638</v>
      </c>
      <c r="T61" s="11">
        <f>IFERROR(__xludf.DUMMYFUNCTION("""COMPUTED_VALUE"""),505797.3925455486)</f>
        <v>505797.3925</v>
      </c>
      <c r="U61" s="36">
        <f>IFERROR(__xludf.DUMMYFUNCTION("""COMPUTED_VALUE"""),5074.999999999999)</f>
        <v>5075</v>
      </c>
      <c r="V61" s="36">
        <f>IFERROR(__xludf.DUMMYFUNCTION("""COMPUTED_VALUE"""),-448337.1573657912)</f>
        <v>-448337.1574</v>
      </c>
      <c r="W61" s="10">
        <f>IFERROR(__xludf.DUMMYFUNCTION("""COMPUTED_VALUE"""),-0.8863967350828466)</f>
        <v>-0.8863967351</v>
      </c>
      <c r="X61" s="9"/>
      <c r="Y61" s="9"/>
      <c r="Z61" s="9"/>
    </row>
    <row r="62">
      <c r="A62" s="9" t="str">
        <f>IFERROR(__xludf.DUMMYFUNCTION("""COMPUTED_VALUE"""),"Cauã Andrade")</f>
        <v>Cauã Andrade</v>
      </c>
      <c r="B62" s="9"/>
      <c r="C62" s="11">
        <f>IFERROR(__xludf.DUMMYFUNCTION("""COMPUTED_VALUE"""),44.0)</f>
        <v>44</v>
      </c>
      <c r="D62" s="9"/>
      <c r="E62" s="9"/>
      <c r="F62" s="9"/>
      <c r="G62" s="10">
        <f>IFERROR(__xludf.DUMMYFUNCTION("""COMPUTED_VALUE"""),0.6818181818181818)</f>
        <v>0.6818181818</v>
      </c>
      <c r="H62" s="9"/>
      <c r="I62" s="9"/>
      <c r="J62" s="11">
        <f>IFERROR(__xludf.DUMMYFUNCTION("""COMPUTED_VALUE"""),30.0)</f>
        <v>30</v>
      </c>
      <c r="K62" s="9"/>
      <c r="L62" s="9"/>
      <c r="M62" s="9"/>
      <c r="N62" s="10">
        <f>IFERROR(__xludf.DUMMYFUNCTION("""COMPUTED_VALUE"""),0.4666666666666667)</f>
        <v>0.4666666667</v>
      </c>
      <c r="O62" s="9"/>
      <c r="P62" s="9"/>
      <c r="Q62" s="11">
        <f>IFERROR(__xludf.DUMMYFUNCTION("""COMPUTED_VALUE"""),14.0)</f>
        <v>14</v>
      </c>
      <c r="R62" s="9"/>
      <c r="S62" s="9"/>
      <c r="T62" s="9"/>
      <c r="U62" s="9"/>
      <c r="V62" s="9"/>
      <c r="W62" s="9"/>
      <c r="X62" s="9"/>
      <c r="Y62" s="9"/>
      <c r="Z62" s="9"/>
    </row>
    <row r="63">
      <c r="A63" s="9" t="str">
        <f>IFERROR(__xludf.DUMMYFUNCTION("""COMPUTED_VALUE"""),"Mariana Jovenato")</f>
        <v>Mariana Jovenato</v>
      </c>
      <c r="B63" s="9"/>
      <c r="C63" s="11">
        <f>IFERROR(__xludf.DUMMYFUNCTION("""COMPUTED_VALUE"""),43.0)</f>
        <v>43</v>
      </c>
      <c r="D63" s="9"/>
      <c r="E63" s="9"/>
      <c r="F63" s="9"/>
      <c r="G63" s="10">
        <f>IFERROR(__xludf.DUMMYFUNCTION("""COMPUTED_VALUE"""),0.7674418604651163)</f>
        <v>0.7674418605</v>
      </c>
      <c r="H63" s="9"/>
      <c r="I63" s="9"/>
      <c r="J63" s="11">
        <f>IFERROR(__xludf.DUMMYFUNCTION("""COMPUTED_VALUE"""),33.0)</f>
        <v>33</v>
      </c>
      <c r="K63" s="9"/>
      <c r="L63" s="9"/>
      <c r="M63" s="9"/>
      <c r="N63" s="10">
        <f>IFERROR(__xludf.DUMMYFUNCTION("""COMPUTED_VALUE"""),0.3939393939393939)</f>
        <v>0.3939393939</v>
      </c>
      <c r="O63" s="9"/>
      <c r="P63" s="9"/>
      <c r="Q63" s="11">
        <f>IFERROR(__xludf.DUMMYFUNCTION("""COMPUTED_VALUE"""),13.0)</f>
        <v>13</v>
      </c>
      <c r="R63" s="9"/>
      <c r="S63" s="9"/>
      <c r="T63" s="9"/>
      <c r="U63" s="9"/>
      <c r="V63" s="9"/>
      <c r="W63" s="9"/>
      <c r="X63" s="9"/>
      <c r="Y63" s="9"/>
      <c r="Z63" s="9"/>
    </row>
    <row r="64">
      <c r="A64" s="9" t="str">
        <f>IFERROR(__xludf.DUMMYFUNCTION("""COMPUTED_VALUE"""),"Marcio Lucas")</f>
        <v>Marcio Lucas</v>
      </c>
      <c r="B64" s="9"/>
      <c r="C64" s="11">
        <f>IFERROR(__xludf.DUMMYFUNCTION("""COMPUTED_VALUE"""),51.0)</f>
        <v>51</v>
      </c>
      <c r="D64" s="9"/>
      <c r="E64" s="9"/>
      <c r="F64" s="9"/>
      <c r="G64" s="10">
        <f>IFERROR(__xludf.DUMMYFUNCTION("""COMPUTED_VALUE"""),0.7254901960784313)</f>
        <v>0.7254901961</v>
      </c>
      <c r="H64" s="9"/>
      <c r="I64" s="9"/>
      <c r="J64" s="11">
        <f>IFERROR(__xludf.DUMMYFUNCTION("""COMPUTED_VALUE"""),37.0)</f>
        <v>37</v>
      </c>
      <c r="K64" s="9"/>
      <c r="L64" s="9"/>
      <c r="M64" s="9"/>
      <c r="N64" s="10">
        <f>IFERROR(__xludf.DUMMYFUNCTION("""COMPUTED_VALUE"""),0.35135135135135137)</f>
        <v>0.3513513514</v>
      </c>
      <c r="O64" s="9"/>
      <c r="P64" s="9"/>
      <c r="Q64" s="11">
        <f>IFERROR(__xludf.DUMMYFUNCTION("""COMPUTED_VALUE"""),13.0)</f>
        <v>13</v>
      </c>
      <c r="R64" s="9"/>
      <c r="S64" s="9"/>
      <c r="T64" s="9"/>
      <c r="U64" s="9"/>
      <c r="V64" s="9"/>
      <c r="W64" s="9"/>
      <c r="X64" s="9"/>
      <c r="Y64" s="9"/>
      <c r="Z64" s="9"/>
    </row>
    <row r="65">
      <c r="A65" s="9" t="str">
        <f>IFERROR(__xludf.DUMMYFUNCTION("""COMPUTED_VALUE"""),"Thalita Lopes")</f>
        <v>Thalita Lopes</v>
      </c>
      <c r="B65" s="9"/>
      <c r="C65" s="11">
        <f>IFERROR(__xludf.DUMMYFUNCTION("""COMPUTED_VALUE"""),43.0)</f>
        <v>43</v>
      </c>
      <c r="D65" s="9"/>
      <c r="E65" s="9"/>
      <c r="F65" s="9"/>
      <c r="G65" s="10">
        <f>IFERROR(__xludf.DUMMYFUNCTION("""COMPUTED_VALUE"""),0.5348837209302325)</f>
        <v>0.5348837209</v>
      </c>
      <c r="H65" s="9"/>
      <c r="I65" s="9"/>
      <c r="J65" s="11">
        <f>IFERROR(__xludf.DUMMYFUNCTION("""COMPUTED_VALUE"""),23.0)</f>
        <v>23</v>
      </c>
      <c r="K65" s="9"/>
      <c r="L65" s="9"/>
      <c r="M65" s="9"/>
      <c r="N65" s="10">
        <f>IFERROR(__xludf.DUMMYFUNCTION("""COMPUTED_VALUE"""),0.5217391304347826)</f>
        <v>0.5217391304</v>
      </c>
      <c r="O65" s="9"/>
      <c r="P65" s="9"/>
      <c r="Q65" s="11">
        <f>IFERROR(__xludf.DUMMYFUNCTION("""COMPUTED_VALUE"""),12.0)</f>
        <v>12</v>
      </c>
      <c r="R65" s="9"/>
      <c r="S65" s="9"/>
      <c r="T65" s="9"/>
      <c r="U65" s="9"/>
      <c r="V65" s="9"/>
      <c r="W65" s="9"/>
      <c r="X65" s="9"/>
      <c r="Y65" s="9"/>
      <c r="Z65" s="9"/>
    </row>
    <row r="66">
      <c r="A66" s="9" t="str">
        <f>IFERROR(__xludf.DUMMYFUNCTION("""COMPUTED_VALUE"""),"Ilson Costa Lima")</f>
        <v>Ilson Costa Lima</v>
      </c>
      <c r="B66" s="9"/>
      <c r="C66" s="11">
        <f>IFERROR(__xludf.DUMMYFUNCTION("""COMPUTED_VALUE"""),45.0)</f>
        <v>45</v>
      </c>
      <c r="D66" s="9"/>
      <c r="E66" s="9"/>
      <c r="F66" s="9"/>
      <c r="G66" s="10">
        <f>IFERROR(__xludf.DUMMYFUNCTION("""COMPUTED_VALUE"""),0.6444444444444445)</f>
        <v>0.6444444444</v>
      </c>
      <c r="H66" s="9"/>
      <c r="I66" s="9"/>
      <c r="J66" s="11">
        <f>IFERROR(__xludf.DUMMYFUNCTION("""COMPUTED_VALUE"""),29.0)</f>
        <v>29</v>
      </c>
      <c r="K66" s="9"/>
      <c r="L66" s="9"/>
      <c r="M66" s="9"/>
      <c r="N66" s="10">
        <f>IFERROR(__xludf.DUMMYFUNCTION("""COMPUTED_VALUE"""),0.3793103448275862)</f>
        <v>0.3793103448</v>
      </c>
      <c r="O66" s="9"/>
      <c r="P66" s="9"/>
      <c r="Q66" s="11">
        <f>IFERROR(__xludf.DUMMYFUNCTION("""COMPUTED_VALUE"""),11.0)</f>
        <v>11</v>
      </c>
      <c r="R66" s="9"/>
      <c r="S66" s="9"/>
      <c r="T66" s="9"/>
      <c r="U66" s="9"/>
      <c r="V66" s="9"/>
      <c r="W66" s="9"/>
      <c r="X66" s="9"/>
      <c r="Y66" s="9"/>
      <c r="Z66" s="9"/>
    </row>
    <row r="67">
      <c r="A67" s="9" t="str">
        <f>IFERROR(__xludf.DUMMYFUNCTION("""COMPUTED_VALUE"""),"João Rios")</f>
        <v>João Rios</v>
      </c>
      <c r="B67" s="9"/>
      <c r="C67" s="11">
        <f>IFERROR(__xludf.DUMMYFUNCTION("""COMPUTED_VALUE"""),43.0)</f>
        <v>43</v>
      </c>
      <c r="D67" s="9"/>
      <c r="E67" s="9"/>
      <c r="F67" s="9"/>
      <c r="G67" s="10">
        <f>IFERROR(__xludf.DUMMYFUNCTION("""COMPUTED_VALUE"""),0.5348837209302325)</f>
        <v>0.5348837209</v>
      </c>
      <c r="H67" s="9"/>
      <c r="I67" s="9"/>
      <c r="J67" s="11">
        <f>IFERROR(__xludf.DUMMYFUNCTION("""COMPUTED_VALUE"""),23.0)</f>
        <v>23</v>
      </c>
      <c r="K67" s="9"/>
      <c r="L67" s="9"/>
      <c r="M67" s="9"/>
      <c r="N67" s="10">
        <f>IFERROR(__xludf.DUMMYFUNCTION("""COMPUTED_VALUE"""),0.43478260869565216)</f>
        <v>0.4347826087</v>
      </c>
      <c r="O67" s="9"/>
      <c r="P67" s="9"/>
      <c r="Q67" s="11">
        <f>IFERROR(__xludf.DUMMYFUNCTION("""COMPUTED_VALUE"""),10.0)</f>
        <v>10</v>
      </c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tr">
        <f>IFERROR(__xludf.DUMMYFUNCTION("""COMPUTED_VALUE"""),"Mylena Reis")</f>
        <v>Mylena Reis</v>
      </c>
      <c r="B68" s="9"/>
      <c r="C68" s="11">
        <f>IFERROR(__xludf.DUMMYFUNCTION("""COMPUTED_VALUE"""),36.0)</f>
        <v>36</v>
      </c>
      <c r="D68" s="9"/>
      <c r="E68" s="9"/>
      <c r="F68" s="9"/>
      <c r="G68" s="10">
        <f>IFERROR(__xludf.DUMMYFUNCTION("""COMPUTED_VALUE"""),0.7777777777777778)</f>
        <v>0.7777777778</v>
      </c>
      <c r="H68" s="9"/>
      <c r="I68" s="9"/>
      <c r="J68" s="11">
        <f>IFERROR(__xludf.DUMMYFUNCTION("""COMPUTED_VALUE"""),28.0)</f>
        <v>28</v>
      </c>
      <c r="K68" s="9"/>
      <c r="L68" s="9"/>
      <c r="M68" s="9"/>
      <c r="N68" s="10">
        <f>IFERROR(__xludf.DUMMYFUNCTION("""COMPUTED_VALUE"""),0.35714285714285715)</f>
        <v>0.3571428571</v>
      </c>
      <c r="O68" s="9"/>
      <c r="P68" s="9"/>
      <c r="Q68" s="11">
        <f>IFERROR(__xludf.DUMMYFUNCTION("""COMPUTED_VALUE"""),10.0)</f>
        <v>10</v>
      </c>
      <c r="R68" s="9"/>
      <c r="S68" s="9"/>
      <c r="T68" s="9"/>
      <c r="U68" s="9"/>
      <c r="V68" s="9"/>
      <c r="W68" s="9"/>
      <c r="X68" s="9"/>
      <c r="Y68" s="9"/>
      <c r="Z68" s="9"/>
    </row>
    <row r="69">
      <c r="A69" s="9" t="str">
        <f>IFERROR(__xludf.DUMMYFUNCTION("""COMPUTED_VALUE"""),"Gustavo Pereira")</f>
        <v>Gustavo Pereira</v>
      </c>
      <c r="B69" s="9"/>
      <c r="C69" s="11">
        <f>IFERROR(__xludf.DUMMYFUNCTION("""COMPUTED_VALUE"""),43.0)</f>
        <v>43</v>
      </c>
      <c r="D69" s="9"/>
      <c r="E69" s="9"/>
      <c r="F69" s="9"/>
      <c r="G69" s="10">
        <f>IFERROR(__xludf.DUMMYFUNCTION("""COMPUTED_VALUE"""),0.6511627906976745)</f>
        <v>0.6511627907</v>
      </c>
      <c r="H69" s="9"/>
      <c r="I69" s="9"/>
      <c r="J69" s="11">
        <f>IFERROR(__xludf.DUMMYFUNCTION("""COMPUTED_VALUE"""),28.0)</f>
        <v>28</v>
      </c>
      <c r="K69" s="9"/>
      <c r="L69" s="9"/>
      <c r="M69" s="9"/>
      <c r="N69" s="10">
        <f>IFERROR(__xludf.DUMMYFUNCTION("""COMPUTED_VALUE"""),0.35714285714285715)</f>
        <v>0.3571428571</v>
      </c>
      <c r="O69" s="9"/>
      <c r="P69" s="9"/>
      <c r="Q69" s="11">
        <f>IFERROR(__xludf.DUMMYFUNCTION("""COMPUTED_VALUE"""),10.0)</f>
        <v>10</v>
      </c>
      <c r="R69" s="9"/>
      <c r="S69" s="9"/>
      <c r="T69" s="9"/>
      <c r="U69" s="9"/>
      <c r="V69" s="9"/>
      <c r="W69" s="9"/>
      <c r="X69" s="9"/>
      <c r="Y69" s="9"/>
      <c r="Z69" s="9"/>
    </row>
    <row r="70">
      <c r="A70" s="9" t="str">
        <f>IFERROR(__xludf.DUMMYFUNCTION("""COMPUTED_VALUE"""),"Felipe Maximo")</f>
        <v>Felipe Maximo</v>
      </c>
      <c r="B70" s="9"/>
      <c r="C70" s="11">
        <f>IFERROR(__xludf.DUMMYFUNCTION("""COMPUTED_VALUE"""),36.0)</f>
        <v>36</v>
      </c>
      <c r="D70" s="9"/>
      <c r="E70" s="9"/>
      <c r="F70" s="9"/>
      <c r="G70" s="10">
        <f>IFERROR(__xludf.DUMMYFUNCTION("""COMPUTED_VALUE"""),0.6944444444444444)</f>
        <v>0.6944444444</v>
      </c>
      <c r="H70" s="9"/>
      <c r="I70" s="9"/>
      <c r="J70" s="11">
        <f>IFERROR(__xludf.DUMMYFUNCTION("""COMPUTED_VALUE"""),25.0)</f>
        <v>25</v>
      </c>
      <c r="K70" s="9"/>
      <c r="L70" s="9"/>
      <c r="M70" s="9"/>
      <c r="N70" s="10">
        <f>IFERROR(__xludf.DUMMYFUNCTION("""COMPUTED_VALUE"""),0.36)</f>
        <v>0.36</v>
      </c>
      <c r="O70" s="9"/>
      <c r="P70" s="9"/>
      <c r="Q70" s="11">
        <f>IFERROR(__xludf.DUMMYFUNCTION("""COMPUTED_VALUE"""),9.0)</f>
        <v>9</v>
      </c>
      <c r="R70" s="9"/>
      <c r="S70" s="9"/>
      <c r="T70" s="9"/>
      <c r="U70" s="9"/>
      <c r="V70" s="9"/>
      <c r="W70" s="9"/>
      <c r="X70" s="9"/>
      <c r="Y70" s="9"/>
      <c r="Z70" s="9"/>
    </row>
    <row r="71">
      <c r="A71" s="9" t="str">
        <f>IFERROR(__xludf.DUMMYFUNCTION("""COMPUTED_VALUE"""),"João Vitor Nascimento")</f>
        <v>João Vitor Nascimento</v>
      </c>
      <c r="B71" s="9"/>
      <c r="C71" s="11">
        <f>IFERROR(__xludf.DUMMYFUNCTION("""COMPUTED_VALUE"""),6.0)</f>
        <v>6</v>
      </c>
      <c r="D71" s="9"/>
      <c r="E71" s="9"/>
      <c r="F71" s="9"/>
      <c r="G71" s="10">
        <f>IFERROR(__xludf.DUMMYFUNCTION("""COMPUTED_VALUE"""),0.8333333333333334)</f>
        <v>0.8333333333</v>
      </c>
      <c r="H71" s="9"/>
      <c r="I71" s="9"/>
      <c r="J71" s="11">
        <f>IFERROR(__xludf.DUMMYFUNCTION("""COMPUTED_VALUE"""),5.0)</f>
        <v>5</v>
      </c>
      <c r="K71" s="9"/>
      <c r="L71" s="9"/>
      <c r="M71" s="9"/>
      <c r="N71" s="10">
        <f>IFERROR(__xludf.DUMMYFUNCTION("""COMPUTED_VALUE"""),1.2)</f>
        <v>1.2</v>
      </c>
      <c r="O71" s="9"/>
      <c r="P71" s="9"/>
      <c r="Q71" s="11">
        <f>IFERROR(__xludf.DUMMYFUNCTION("""COMPUTED_VALUE"""),6.0)</f>
        <v>6</v>
      </c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tr">
        <f>IFERROR(__xludf.DUMMYFUNCTION("""COMPUTED_VALUE"""),"Form G4 Facebook")</f>
        <v>Form G4 Facebook</v>
      </c>
      <c r="B72" s="11">
        <f>IFERROR(__xludf.DUMMYFUNCTION("""COMPUTED_VALUE"""),156.774193548387)</f>
        <v>156.7741935</v>
      </c>
      <c r="C72" s="11">
        <f>IFERROR(__xludf.DUMMYFUNCTION("""COMPUTED_VALUE"""),235.0)</f>
        <v>235</v>
      </c>
      <c r="D72" s="11">
        <f>IFERROR(__xludf.DUMMYFUNCTION("""COMPUTED_VALUE"""),78.22580645161301)</f>
        <v>78.22580645</v>
      </c>
      <c r="E72" s="10">
        <f>IFERROR(__xludf.DUMMYFUNCTION("""COMPUTED_VALUE"""),0.4989711934156389)</f>
        <v>0.4989711934</v>
      </c>
      <c r="F72" s="10">
        <f>IFERROR(__xludf.DUMMYFUNCTION("""COMPUTED_VALUE"""),0.7488125590778879)</f>
        <v>0.7488125591</v>
      </c>
      <c r="G72" s="10">
        <f>IFERROR(__xludf.DUMMYFUNCTION("""COMPUTED_VALUE"""),0.574468085106383)</f>
        <v>0.5744680851</v>
      </c>
      <c r="H72" s="35">
        <f>IFERROR(__xludf.DUMMYFUNCTION("""COMPUTED_VALUE"""),-17.43444739715049)</f>
        <v>-17.4344474</v>
      </c>
      <c r="I72" s="11">
        <f>IFERROR(__xludf.DUMMYFUNCTION("""COMPUTED_VALUE"""),117.39448506833976)</f>
        <v>117.3944851</v>
      </c>
      <c r="J72" s="11">
        <f>IFERROR(__xludf.DUMMYFUNCTION("""COMPUTED_VALUE"""),135.0)</f>
        <v>135</v>
      </c>
      <c r="K72" s="11">
        <f>IFERROR(__xludf.DUMMYFUNCTION("""COMPUTED_VALUE"""),17.605514931660238)</f>
        <v>17.60551493</v>
      </c>
      <c r="L72" s="10">
        <f>IFERROR(__xludf.DUMMYFUNCTION("""COMPUTED_VALUE"""),0.149968841563651)</f>
        <v>0.1499688416</v>
      </c>
      <c r="M72" s="10">
        <f>IFERROR(__xludf.DUMMYFUNCTION("""COMPUTED_VALUE"""),0.24800000000000025)</f>
        <v>0.248</v>
      </c>
      <c r="N72" s="10">
        <f>IFERROR(__xludf.DUMMYFUNCTION("""COMPUTED_VALUE"""),0.22962962962962963)</f>
        <v>0.2296296296</v>
      </c>
      <c r="O72" s="35">
        <f>IFERROR(__xludf.DUMMYFUNCTION("""COMPUTED_VALUE"""),-1.837037037037062)</f>
        <v>-1.837037037</v>
      </c>
      <c r="P72" s="11">
        <f>IFERROR(__xludf.DUMMYFUNCTION("""COMPUTED_VALUE"""),29.11383229694829)</f>
        <v>29.1138323</v>
      </c>
      <c r="Q72" s="11">
        <f>IFERROR(__xludf.DUMMYFUNCTION("""COMPUTED_VALUE"""),31.0)</f>
        <v>31</v>
      </c>
      <c r="R72" s="11">
        <f>IFERROR(__xludf.DUMMYFUNCTION("""COMPUTED_VALUE"""),1.8861677030517114)</f>
        <v>1.886167703</v>
      </c>
      <c r="S72" s="10">
        <f>IFERROR(__xludf.DUMMYFUNCTION("""COMPUTED_VALUE"""),0.06478596441078695)</f>
        <v>0.06478596441</v>
      </c>
      <c r="T72" s="11">
        <f>IFERROR(__xludf.DUMMYFUNCTION("""COMPUTED_VALUE"""),90992.73538378588)</f>
        <v>90992.73538</v>
      </c>
      <c r="U72" s="36">
        <f>IFERROR(__xludf.DUMMYFUNCTION("""COMPUTED_VALUE"""),3220.0)</f>
        <v>3220</v>
      </c>
      <c r="V72" s="36">
        <f>IFERROR(__xludf.DUMMYFUNCTION("""COMPUTED_VALUE"""),56689.75807994597)</f>
        <v>56689.75808</v>
      </c>
      <c r="W72" s="10">
        <f>IFERROR(__xludf.DUMMYFUNCTION("""COMPUTED_VALUE"""),0.6230141103115754)</f>
        <v>0.6230141103</v>
      </c>
      <c r="X72" s="9"/>
      <c r="Y72" s="9"/>
      <c r="Z72" s="9"/>
    </row>
    <row r="73">
      <c r="A73" s="9" t="str">
        <f>IFERROR(__xludf.DUMMYFUNCTION("""COMPUTED_VALUE"""),"Thalita Lopes")</f>
        <v>Thalita Lopes</v>
      </c>
      <c r="B73" s="9"/>
      <c r="C73" s="11">
        <f>IFERROR(__xludf.DUMMYFUNCTION("""COMPUTED_VALUE"""),30.0)</f>
        <v>30</v>
      </c>
      <c r="D73" s="9"/>
      <c r="E73" s="9"/>
      <c r="F73" s="9"/>
      <c r="G73" s="10">
        <f>IFERROR(__xludf.DUMMYFUNCTION("""COMPUTED_VALUE"""),0.5)</f>
        <v>0.5</v>
      </c>
      <c r="H73" s="9"/>
      <c r="I73" s="9"/>
      <c r="J73" s="11">
        <f>IFERROR(__xludf.DUMMYFUNCTION("""COMPUTED_VALUE"""),15.0)</f>
        <v>15</v>
      </c>
      <c r="K73" s="9"/>
      <c r="L73" s="9"/>
      <c r="M73" s="9"/>
      <c r="N73" s="10">
        <f>IFERROR(__xludf.DUMMYFUNCTION("""COMPUTED_VALUE"""),0.4666666666666667)</f>
        <v>0.4666666667</v>
      </c>
      <c r="O73" s="9"/>
      <c r="P73" s="9"/>
      <c r="Q73" s="11">
        <f>IFERROR(__xludf.DUMMYFUNCTION("""COMPUTED_VALUE"""),7.0)</f>
        <v>7</v>
      </c>
      <c r="R73" s="9"/>
      <c r="S73" s="9"/>
      <c r="T73" s="9"/>
      <c r="U73" s="9"/>
      <c r="V73" s="9"/>
      <c r="W73" s="9"/>
      <c r="X73" s="9"/>
      <c r="Y73" s="9"/>
      <c r="Z73" s="9"/>
    </row>
    <row r="74">
      <c r="A74" s="9" t="str">
        <f>IFERROR(__xludf.DUMMYFUNCTION("""COMPUTED_VALUE"""),"Mariana Jovenato")</f>
        <v>Mariana Jovenato</v>
      </c>
      <c r="B74" s="9"/>
      <c r="C74" s="11">
        <f>IFERROR(__xludf.DUMMYFUNCTION("""COMPUTED_VALUE"""),31.0)</f>
        <v>31</v>
      </c>
      <c r="D74" s="9"/>
      <c r="E74" s="9"/>
      <c r="F74" s="9"/>
      <c r="G74" s="10">
        <f>IFERROR(__xludf.DUMMYFUNCTION("""COMPUTED_VALUE"""),0.45161290322580644)</f>
        <v>0.4516129032</v>
      </c>
      <c r="H74" s="9"/>
      <c r="I74" s="9"/>
      <c r="J74" s="11">
        <f>IFERROR(__xludf.DUMMYFUNCTION("""COMPUTED_VALUE"""),14.0)</f>
        <v>14</v>
      </c>
      <c r="K74" s="9"/>
      <c r="L74" s="9"/>
      <c r="M74" s="9"/>
      <c r="N74" s="10">
        <f>IFERROR(__xludf.DUMMYFUNCTION("""COMPUTED_VALUE"""),0.42857142857142855)</f>
        <v>0.4285714286</v>
      </c>
      <c r="O74" s="9"/>
      <c r="P74" s="9"/>
      <c r="Q74" s="11">
        <f>IFERROR(__xludf.DUMMYFUNCTION("""COMPUTED_VALUE"""),6.0)</f>
        <v>6</v>
      </c>
      <c r="R74" s="9"/>
      <c r="S74" s="9"/>
      <c r="T74" s="9"/>
      <c r="U74" s="9"/>
      <c r="V74" s="9"/>
      <c r="W74" s="9"/>
      <c r="X74" s="9"/>
      <c r="Y74" s="9"/>
      <c r="Z74" s="9"/>
    </row>
    <row r="75">
      <c r="A75" s="9" t="str">
        <f>IFERROR(__xludf.DUMMYFUNCTION("""COMPUTED_VALUE"""),"Gustavo Pereira")</f>
        <v>Gustavo Pereira</v>
      </c>
      <c r="B75" s="9"/>
      <c r="C75" s="11">
        <f>IFERROR(__xludf.DUMMYFUNCTION("""COMPUTED_VALUE"""),30.0)</f>
        <v>30</v>
      </c>
      <c r="D75" s="9"/>
      <c r="E75" s="9"/>
      <c r="F75" s="9"/>
      <c r="G75" s="10">
        <f>IFERROR(__xludf.DUMMYFUNCTION("""COMPUTED_VALUE"""),0.7666666666666667)</f>
        <v>0.7666666667</v>
      </c>
      <c r="H75" s="9"/>
      <c r="I75" s="9"/>
      <c r="J75" s="11">
        <f>IFERROR(__xludf.DUMMYFUNCTION("""COMPUTED_VALUE"""),23.0)</f>
        <v>23</v>
      </c>
      <c r="K75" s="9"/>
      <c r="L75" s="9"/>
      <c r="M75" s="9"/>
      <c r="N75" s="10">
        <f>IFERROR(__xludf.DUMMYFUNCTION("""COMPUTED_VALUE"""),0.2608695652173913)</f>
        <v>0.2608695652</v>
      </c>
      <c r="O75" s="9"/>
      <c r="P75" s="9"/>
      <c r="Q75" s="11">
        <f>IFERROR(__xludf.DUMMYFUNCTION("""COMPUTED_VALUE"""),6.0)</f>
        <v>6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IFERROR(__xludf.DUMMYFUNCTION("""COMPUTED_VALUE"""),"João Rios")</f>
        <v>João Rios</v>
      </c>
      <c r="B76" s="9"/>
      <c r="C76" s="11">
        <f>IFERROR(__xludf.DUMMYFUNCTION("""COMPUTED_VALUE"""),25.0)</f>
        <v>25</v>
      </c>
      <c r="D76" s="9"/>
      <c r="E76" s="9"/>
      <c r="F76" s="9"/>
      <c r="G76" s="10">
        <f>IFERROR(__xludf.DUMMYFUNCTION("""COMPUTED_VALUE"""),0.56)</f>
        <v>0.56</v>
      </c>
      <c r="H76" s="9"/>
      <c r="I76" s="9"/>
      <c r="J76" s="11">
        <f>IFERROR(__xludf.DUMMYFUNCTION("""COMPUTED_VALUE"""),14.0)</f>
        <v>14</v>
      </c>
      <c r="K76" s="9"/>
      <c r="L76" s="9"/>
      <c r="M76" s="9"/>
      <c r="N76" s="10">
        <f>IFERROR(__xludf.DUMMYFUNCTION("""COMPUTED_VALUE"""),0.2857142857142857)</f>
        <v>0.2857142857</v>
      </c>
      <c r="O76" s="9"/>
      <c r="P76" s="9"/>
      <c r="Q76" s="11">
        <f>IFERROR(__xludf.DUMMYFUNCTION("""COMPUTED_VALUE"""),4.0)</f>
        <v>4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IFERROR(__xludf.DUMMYFUNCTION("""COMPUTED_VALUE"""),"Marcio Lucas")</f>
        <v>Marcio Lucas</v>
      </c>
      <c r="B77" s="9"/>
      <c r="C77" s="11">
        <f>IFERROR(__xludf.DUMMYFUNCTION("""COMPUTED_VALUE"""),28.0)</f>
        <v>28</v>
      </c>
      <c r="D77" s="9"/>
      <c r="E77" s="9"/>
      <c r="F77" s="9"/>
      <c r="G77" s="10">
        <f>IFERROR(__xludf.DUMMYFUNCTION("""COMPUTED_VALUE"""),0.5)</f>
        <v>0.5</v>
      </c>
      <c r="H77" s="9"/>
      <c r="I77" s="9"/>
      <c r="J77" s="11">
        <f>IFERROR(__xludf.DUMMYFUNCTION("""COMPUTED_VALUE"""),14.0)</f>
        <v>14</v>
      </c>
      <c r="K77" s="9"/>
      <c r="L77" s="9"/>
      <c r="M77" s="9"/>
      <c r="N77" s="10">
        <f>IFERROR(__xludf.DUMMYFUNCTION("""COMPUTED_VALUE"""),0.21428571428571427)</f>
        <v>0.2142857143</v>
      </c>
      <c r="O77" s="9"/>
      <c r="P77" s="9"/>
      <c r="Q77" s="11">
        <f>IFERROR(__xludf.DUMMYFUNCTION("""COMPUTED_VALUE"""),3.0)</f>
        <v>3</v>
      </c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tr">
        <f>IFERROR(__xludf.DUMMYFUNCTION("""COMPUTED_VALUE"""),"Ilson Costa Lima")</f>
        <v>Ilson Costa Lima</v>
      </c>
      <c r="B78" s="9"/>
      <c r="C78" s="11">
        <f>IFERROR(__xludf.DUMMYFUNCTION("""COMPUTED_VALUE"""),29.0)</f>
        <v>29</v>
      </c>
      <c r="D78" s="9"/>
      <c r="E78" s="9"/>
      <c r="F78" s="9"/>
      <c r="G78" s="10">
        <f>IFERROR(__xludf.DUMMYFUNCTION("""COMPUTED_VALUE"""),0.5517241379310345)</f>
        <v>0.5517241379</v>
      </c>
      <c r="H78" s="9"/>
      <c r="I78" s="9"/>
      <c r="J78" s="11">
        <f>IFERROR(__xludf.DUMMYFUNCTION("""COMPUTED_VALUE"""),16.0)</f>
        <v>16</v>
      </c>
      <c r="K78" s="9"/>
      <c r="L78" s="9"/>
      <c r="M78" s="9"/>
      <c r="N78" s="10">
        <f>IFERROR(__xludf.DUMMYFUNCTION("""COMPUTED_VALUE"""),0.1875)</f>
        <v>0.1875</v>
      </c>
      <c r="O78" s="9"/>
      <c r="P78" s="9"/>
      <c r="Q78" s="11">
        <f>IFERROR(__xludf.DUMMYFUNCTION("""COMPUTED_VALUE"""),3.0)</f>
        <v>3</v>
      </c>
      <c r="R78" s="9"/>
      <c r="S78" s="9"/>
      <c r="T78" s="9"/>
      <c r="U78" s="9"/>
      <c r="V78" s="9"/>
      <c r="W78" s="9"/>
      <c r="X78" s="9"/>
      <c r="Y78" s="9"/>
      <c r="Z78" s="9"/>
    </row>
    <row r="79">
      <c r="A79" s="9" t="str">
        <f>IFERROR(__xludf.DUMMYFUNCTION("""COMPUTED_VALUE"""),"João Vitor Nascimento")</f>
        <v>João Vitor Nascimento</v>
      </c>
      <c r="B79" s="9"/>
      <c r="C79" s="11">
        <f>IFERROR(__xludf.DUMMYFUNCTION("""COMPUTED_VALUE"""),1.0)</f>
        <v>1</v>
      </c>
      <c r="D79" s="9"/>
      <c r="E79" s="9"/>
      <c r="F79" s="9"/>
      <c r="G79" s="10">
        <f>IFERROR(__xludf.DUMMYFUNCTION("""COMPUTED_VALUE"""),1.0)</f>
        <v>1</v>
      </c>
      <c r="H79" s="9"/>
      <c r="I79" s="9"/>
      <c r="J79" s="11">
        <f>IFERROR(__xludf.DUMMYFUNCTION("""COMPUTED_VALUE"""),1.0)</f>
        <v>1</v>
      </c>
      <c r="K79" s="9"/>
      <c r="L79" s="9"/>
      <c r="M79" s="9"/>
      <c r="N79" s="10">
        <f>IFERROR(__xludf.DUMMYFUNCTION("""COMPUTED_VALUE"""),1.0)</f>
        <v>1</v>
      </c>
      <c r="O79" s="9"/>
      <c r="P79" s="9"/>
      <c r="Q79" s="11">
        <f>IFERROR(__xludf.DUMMYFUNCTION("""COMPUTED_VALUE"""),1.0)</f>
        <v>1</v>
      </c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tr">
        <f>IFERROR(__xludf.DUMMYFUNCTION("""COMPUTED_VALUE"""),"Mylena Reis")</f>
        <v>Mylena Reis</v>
      </c>
      <c r="B80" s="9"/>
      <c r="C80" s="11">
        <f>IFERROR(__xludf.DUMMYFUNCTION("""COMPUTED_VALUE"""),7.0)</f>
        <v>7</v>
      </c>
      <c r="D80" s="9"/>
      <c r="E80" s="9"/>
      <c r="F80" s="9"/>
      <c r="G80" s="10">
        <f>IFERROR(__xludf.DUMMYFUNCTION("""COMPUTED_VALUE"""),0.8571428571428571)</f>
        <v>0.8571428571</v>
      </c>
      <c r="H80" s="9"/>
      <c r="I80" s="9"/>
      <c r="J80" s="11">
        <f>IFERROR(__xludf.DUMMYFUNCTION("""COMPUTED_VALUE"""),6.0)</f>
        <v>6</v>
      </c>
      <c r="K80" s="9"/>
      <c r="L80" s="9"/>
      <c r="M80" s="9"/>
      <c r="N80" s="10">
        <f>IFERROR(__xludf.DUMMYFUNCTION("""COMPUTED_VALUE"""),0.16666666666666666)</f>
        <v>0.1666666667</v>
      </c>
      <c r="O80" s="9"/>
      <c r="P80" s="9"/>
      <c r="Q80" s="11">
        <f>IFERROR(__xludf.DUMMYFUNCTION("""COMPUTED_VALUE"""),1.0)</f>
        <v>1</v>
      </c>
      <c r="R80" s="9"/>
      <c r="S80" s="9"/>
      <c r="T80" s="9"/>
      <c r="U80" s="9"/>
      <c r="V80" s="9"/>
      <c r="W80" s="9"/>
      <c r="X80" s="9"/>
      <c r="Y80" s="9"/>
      <c r="Z80" s="9"/>
    </row>
    <row r="81">
      <c r="A81" s="9" t="str">
        <f>IFERROR(__xludf.DUMMYFUNCTION("""COMPUTED_VALUE"""),"Nicolas Miranda")</f>
        <v>Nicolas Miranda</v>
      </c>
      <c r="B81" s="9"/>
      <c r="C81" s="11">
        <f>IFERROR(__xludf.DUMMYFUNCTION("""COMPUTED_VALUE"""),1.0)</f>
        <v>1</v>
      </c>
      <c r="D81" s="9"/>
      <c r="E81" s="9"/>
      <c r="F81" s="9"/>
      <c r="G81" s="10">
        <f>IFERROR(__xludf.DUMMYFUNCTION("""COMPUTED_VALUE"""),1.0)</f>
        <v>1</v>
      </c>
      <c r="H81" s="9"/>
      <c r="I81" s="9"/>
      <c r="J81" s="11">
        <f>IFERROR(__xludf.DUMMYFUNCTION("""COMPUTED_VALUE"""),1.0)</f>
        <v>1</v>
      </c>
      <c r="K81" s="9"/>
      <c r="L81" s="9"/>
      <c r="M81" s="9"/>
      <c r="N81" s="10">
        <f>IFERROR(__xludf.DUMMYFUNCTION("""COMPUTED_VALUE"""),0.0)</f>
        <v>0</v>
      </c>
      <c r="O81" s="9"/>
      <c r="P81" s="9"/>
      <c r="Q81" s="11">
        <f>IFERROR(__xludf.DUMMYFUNCTION("""COMPUTED_VALUE"""),0.0)</f>
        <v>0</v>
      </c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tr">
        <f>IFERROR(__xludf.DUMMYFUNCTION("""COMPUTED_VALUE"""),"Felipe Maximo")</f>
        <v>Felipe Maximo</v>
      </c>
      <c r="B82" s="9"/>
      <c r="C82" s="11">
        <f>IFERROR(__xludf.DUMMYFUNCTION("""COMPUTED_VALUE"""),23.0)</f>
        <v>23</v>
      </c>
      <c r="D82" s="9"/>
      <c r="E82" s="9"/>
      <c r="F82" s="9"/>
      <c r="G82" s="10">
        <f>IFERROR(__xludf.DUMMYFUNCTION("""COMPUTED_VALUE"""),0.5652173913043478)</f>
        <v>0.5652173913</v>
      </c>
      <c r="H82" s="9"/>
      <c r="I82" s="9"/>
      <c r="J82" s="11">
        <f>IFERROR(__xludf.DUMMYFUNCTION("""COMPUTED_VALUE"""),13.0)</f>
        <v>13</v>
      </c>
      <c r="K82" s="9"/>
      <c r="L82" s="9"/>
      <c r="M82" s="9"/>
      <c r="N82" s="10">
        <f>IFERROR(__xludf.DUMMYFUNCTION("""COMPUTED_VALUE"""),0.0)</f>
        <v>0</v>
      </c>
      <c r="O82" s="9"/>
      <c r="P82" s="9"/>
      <c r="Q82" s="11">
        <f>IFERROR(__xludf.DUMMYFUNCTION("""COMPUTED_VALUE"""),0.0)</f>
        <v>0</v>
      </c>
      <c r="R82" s="9"/>
      <c r="S82" s="9"/>
      <c r="T82" s="9"/>
      <c r="U82" s="9"/>
      <c r="V82" s="9"/>
      <c r="W82" s="9"/>
      <c r="X82" s="9"/>
      <c r="Y82" s="9"/>
      <c r="Z82" s="9"/>
    </row>
    <row r="83">
      <c r="A83" s="9" t="str">
        <f>IFERROR(__xludf.DUMMYFUNCTION("""COMPUTED_VALUE"""),"Cauã Andrade")</f>
        <v>Cauã Andrade</v>
      </c>
      <c r="B83" s="9"/>
      <c r="C83" s="11">
        <f>IFERROR(__xludf.DUMMYFUNCTION("""COMPUTED_VALUE"""),29.0)</f>
        <v>29</v>
      </c>
      <c r="D83" s="9"/>
      <c r="E83" s="9"/>
      <c r="F83" s="9"/>
      <c r="G83" s="10">
        <f>IFERROR(__xludf.DUMMYFUNCTION("""COMPUTED_VALUE"""),0.6206896551724138)</f>
        <v>0.6206896552</v>
      </c>
      <c r="H83" s="9"/>
      <c r="I83" s="9"/>
      <c r="J83" s="11">
        <f>IFERROR(__xludf.DUMMYFUNCTION("""COMPUTED_VALUE"""),18.0)</f>
        <v>18</v>
      </c>
      <c r="K83" s="9"/>
      <c r="L83" s="9"/>
      <c r="M83" s="9"/>
      <c r="N83" s="10">
        <f>IFERROR(__xludf.DUMMYFUNCTION("""COMPUTED_VALUE"""),0.0)</f>
        <v>0</v>
      </c>
      <c r="O83" s="9"/>
      <c r="P83" s="9"/>
      <c r="Q83" s="11">
        <f>IFERROR(__xludf.DUMMYFUNCTION("""COMPUTED_VALUE"""),0.0)</f>
        <v>0</v>
      </c>
      <c r="R83" s="9"/>
      <c r="S83" s="9"/>
      <c r="T83" s="9"/>
      <c r="U83" s="9"/>
      <c r="V83" s="9"/>
      <c r="W83" s="9"/>
      <c r="X83" s="9"/>
      <c r="Y83" s="9"/>
      <c r="Z83" s="9"/>
    </row>
    <row r="84">
      <c r="A84" s="9" t="str">
        <f>IFERROR(__xludf.DUMMYFUNCTION("""COMPUTED_VALUE"""),"Form G4 Google")</f>
        <v>Form G4 Google</v>
      </c>
      <c r="B84" s="11">
        <f>IFERROR(__xludf.DUMMYFUNCTION("""COMPUTED_VALUE"""),126.29032258064508)</f>
        <v>126.2903226</v>
      </c>
      <c r="C84" s="11">
        <f>IFERROR(__xludf.DUMMYFUNCTION("""COMPUTED_VALUE"""),253.0)</f>
        <v>253</v>
      </c>
      <c r="D84" s="11">
        <f>IFERROR(__xludf.DUMMYFUNCTION("""COMPUTED_VALUE"""),126.70967741935492)</f>
        <v>126.7096774</v>
      </c>
      <c r="E84" s="10">
        <f>IFERROR(__xludf.DUMMYFUNCTION("""COMPUTED_VALUE"""),1.0033205619412529)</f>
        <v>1.003320562</v>
      </c>
      <c r="F84" s="10">
        <f>IFERROR(__xludf.DUMMYFUNCTION("""COMPUTED_VALUE"""),0.5893855762154737)</f>
        <v>0.5893855762</v>
      </c>
      <c r="G84" s="10">
        <f>IFERROR(__xludf.DUMMYFUNCTION("""COMPUTED_VALUE"""),0.758893280632411)</f>
        <v>0.7588932806</v>
      </c>
      <c r="H84" s="35">
        <f>IFERROR(__xludf.DUMMYFUNCTION("""COMPUTED_VALUE"""),16.95077044169373)</f>
        <v>16.95077044</v>
      </c>
      <c r="I84" s="11">
        <f>IFERROR(__xludf.DUMMYFUNCTION("""COMPUTED_VALUE"""),74.43369454463155)</f>
        <v>74.43369454</v>
      </c>
      <c r="J84" s="11">
        <f>IFERROR(__xludf.DUMMYFUNCTION("""COMPUTED_VALUE"""),192.0)</f>
        <v>192</v>
      </c>
      <c r="K84" s="11">
        <f>IFERROR(__xludf.DUMMYFUNCTION("""COMPUTED_VALUE"""),117.56630545536845)</f>
        <v>117.5663055</v>
      </c>
      <c r="L84" s="10">
        <f>IFERROR(__xludf.DUMMYFUNCTION("""COMPUTED_VALUE"""),1.5794769583131998)</f>
        <v>1.579476958</v>
      </c>
      <c r="M84" s="10">
        <f>IFERROR(__xludf.DUMMYFUNCTION("""COMPUTED_VALUE"""),0.3398518518518521)</f>
        <v>0.3398518519</v>
      </c>
      <c r="N84" s="10">
        <f>IFERROR(__xludf.DUMMYFUNCTION("""COMPUTED_VALUE"""),0.4166666666666667)</f>
        <v>0.4166666667</v>
      </c>
      <c r="O84" s="35">
        <f>IFERROR(__xludf.DUMMYFUNCTION("""COMPUTED_VALUE"""),7.681481481481455)</f>
        <v>7.681481481</v>
      </c>
      <c r="P84" s="11">
        <f>IFERROR(__xludf.DUMMYFUNCTION("""COMPUTED_VALUE"""),25.296428931168137)</f>
        <v>25.29642893</v>
      </c>
      <c r="Q84" s="11">
        <f>IFERROR(__xludf.DUMMYFUNCTION("""COMPUTED_VALUE"""),80.0)</f>
        <v>80</v>
      </c>
      <c r="R84" s="11">
        <f>IFERROR(__xludf.DUMMYFUNCTION("""COMPUTED_VALUE"""),54.70357106883186)</f>
        <v>54.70357107</v>
      </c>
      <c r="S84" s="10">
        <f>IFERROR(__xludf.DUMMYFUNCTION("""COMPUTED_VALUE"""),2.1625017198151126)</f>
        <v>2.16250172</v>
      </c>
      <c r="T84" s="11">
        <f>IFERROR(__xludf.DUMMYFUNCTION("""COMPUTED_VALUE"""),135534.47174885919)</f>
        <v>135534.4717</v>
      </c>
      <c r="U84" s="36">
        <f>IFERROR(__xludf.DUMMYFUNCTION("""COMPUTED_VALUE"""),5520.0)</f>
        <v>5520</v>
      </c>
      <c r="V84" s="36">
        <f>IFERROR(__xludf.DUMMYFUNCTION("""COMPUTED_VALUE"""),648966.0061136339)</f>
        <v>648966.0061</v>
      </c>
      <c r="W84" s="10">
        <f>IFERROR(__xludf.DUMMYFUNCTION("""COMPUTED_VALUE"""),4.788198882098024)</f>
        <v>4.788198882</v>
      </c>
      <c r="X84" s="9"/>
      <c r="Y84" s="9"/>
      <c r="Z84" s="9"/>
    </row>
    <row r="85">
      <c r="A85" s="9" t="str">
        <f>IFERROR(__xludf.DUMMYFUNCTION("""COMPUTED_VALUE"""),"Thalita Lopes")</f>
        <v>Thalita Lopes</v>
      </c>
      <c r="B85" s="9"/>
      <c r="C85" s="11">
        <f>IFERROR(__xludf.DUMMYFUNCTION("""COMPUTED_VALUE"""),33.0)</f>
        <v>33</v>
      </c>
      <c r="D85" s="9"/>
      <c r="E85" s="9"/>
      <c r="F85" s="9"/>
      <c r="G85" s="10">
        <f>IFERROR(__xludf.DUMMYFUNCTION("""COMPUTED_VALUE"""),0.696969696969697)</f>
        <v>0.696969697</v>
      </c>
      <c r="H85" s="9"/>
      <c r="I85" s="9"/>
      <c r="J85" s="11">
        <f>IFERROR(__xludf.DUMMYFUNCTION("""COMPUTED_VALUE"""),23.0)</f>
        <v>23</v>
      </c>
      <c r="K85" s="9"/>
      <c r="L85" s="9"/>
      <c r="M85" s="9"/>
      <c r="N85" s="10">
        <f>IFERROR(__xludf.DUMMYFUNCTION("""COMPUTED_VALUE"""),0.5652173913043478)</f>
        <v>0.5652173913</v>
      </c>
      <c r="O85" s="9"/>
      <c r="P85" s="9"/>
      <c r="Q85" s="11">
        <f>IFERROR(__xludf.DUMMYFUNCTION("""COMPUTED_VALUE"""),13.0)</f>
        <v>13</v>
      </c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tr">
        <f>IFERROR(__xludf.DUMMYFUNCTION("""COMPUTED_VALUE"""),"Mariana Jovenato")</f>
        <v>Mariana Jovenato</v>
      </c>
      <c r="B86" s="9"/>
      <c r="C86" s="11">
        <f>IFERROR(__xludf.DUMMYFUNCTION("""COMPUTED_VALUE"""),19.0)</f>
        <v>19</v>
      </c>
      <c r="D86" s="9"/>
      <c r="E86" s="9"/>
      <c r="F86" s="9"/>
      <c r="G86" s="10">
        <f>IFERROR(__xludf.DUMMYFUNCTION("""COMPUTED_VALUE"""),0.8421052631578947)</f>
        <v>0.8421052632</v>
      </c>
      <c r="H86" s="9"/>
      <c r="I86" s="9"/>
      <c r="J86" s="11">
        <f>IFERROR(__xludf.DUMMYFUNCTION("""COMPUTED_VALUE"""),16.0)</f>
        <v>16</v>
      </c>
      <c r="K86" s="9"/>
      <c r="L86" s="9"/>
      <c r="M86" s="9"/>
      <c r="N86" s="10">
        <f>IFERROR(__xludf.DUMMYFUNCTION("""COMPUTED_VALUE"""),0.6875)</f>
        <v>0.6875</v>
      </c>
      <c r="O86" s="9"/>
      <c r="P86" s="9"/>
      <c r="Q86" s="11">
        <f>IFERROR(__xludf.DUMMYFUNCTION("""COMPUTED_VALUE"""),11.0)</f>
        <v>11</v>
      </c>
      <c r="R86" s="9"/>
      <c r="S86" s="9"/>
      <c r="T86" s="9"/>
      <c r="U86" s="9"/>
      <c r="V86" s="9"/>
      <c r="W86" s="9"/>
      <c r="X86" s="9"/>
      <c r="Y86" s="9"/>
      <c r="Z86" s="9"/>
    </row>
    <row r="87">
      <c r="A87" s="9" t="str">
        <f>IFERROR(__xludf.DUMMYFUNCTION("""COMPUTED_VALUE"""),"Marcio Lucas")</f>
        <v>Marcio Lucas</v>
      </c>
      <c r="B87" s="9"/>
      <c r="C87" s="11">
        <f>IFERROR(__xludf.DUMMYFUNCTION("""COMPUTED_VALUE"""),33.0)</f>
        <v>33</v>
      </c>
      <c r="D87" s="9"/>
      <c r="E87" s="9"/>
      <c r="F87" s="9"/>
      <c r="G87" s="10">
        <f>IFERROR(__xludf.DUMMYFUNCTION("""COMPUTED_VALUE"""),0.6363636363636364)</f>
        <v>0.6363636364</v>
      </c>
      <c r="H87" s="9"/>
      <c r="I87" s="9"/>
      <c r="J87" s="11">
        <f>IFERROR(__xludf.DUMMYFUNCTION("""COMPUTED_VALUE"""),21.0)</f>
        <v>21</v>
      </c>
      <c r="K87" s="9"/>
      <c r="L87" s="9"/>
      <c r="M87" s="9"/>
      <c r="N87" s="10">
        <f>IFERROR(__xludf.DUMMYFUNCTION("""COMPUTED_VALUE"""),0.42857142857142855)</f>
        <v>0.4285714286</v>
      </c>
      <c r="O87" s="9"/>
      <c r="P87" s="9"/>
      <c r="Q87" s="11">
        <f>IFERROR(__xludf.DUMMYFUNCTION("""COMPUTED_VALUE"""),9.0)</f>
        <v>9</v>
      </c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tr">
        <f>IFERROR(__xludf.DUMMYFUNCTION("""COMPUTED_VALUE"""),"Ilson Costa Lima")</f>
        <v>Ilson Costa Lima</v>
      </c>
      <c r="B88" s="9"/>
      <c r="C88" s="11">
        <f>IFERROR(__xludf.DUMMYFUNCTION("""COMPUTED_VALUE"""),26.0)</f>
        <v>26</v>
      </c>
      <c r="D88" s="9"/>
      <c r="E88" s="9"/>
      <c r="F88" s="9"/>
      <c r="G88" s="10">
        <f>IFERROR(__xludf.DUMMYFUNCTION("""COMPUTED_VALUE"""),0.6538461538461539)</f>
        <v>0.6538461538</v>
      </c>
      <c r="H88" s="9"/>
      <c r="I88" s="9"/>
      <c r="J88" s="11">
        <f>IFERROR(__xludf.DUMMYFUNCTION("""COMPUTED_VALUE"""),17.0)</f>
        <v>17</v>
      </c>
      <c r="K88" s="9"/>
      <c r="L88" s="9"/>
      <c r="M88" s="9"/>
      <c r="N88" s="10">
        <f>IFERROR(__xludf.DUMMYFUNCTION("""COMPUTED_VALUE"""),0.47058823529411764)</f>
        <v>0.4705882353</v>
      </c>
      <c r="O88" s="9"/>
      <c r="P88" s="9"/>
      <c r="Q88" s="11">
        <f>IFERROR(__xludf.DUMMYFUNCTION("""COMPUTED_VALUE"""),8.0)</f>
        <v>8</v>
      </c>
      <c r="R88" s="9"/>
      <c r="S88" s="9"/>
      <c r="T88" s="9"/>
      <c r="U88" s="9"/>
      <c r="V88" s="9"/>
      <c r="W88" s="9"/>
      <c r="X88" s="9"/>
      <c r="Y88" s="9"/>
      <c r="Z88" s="9"/>
    </row>
    <row r="89">
      <c r="A89" s="9" t="str">
        <f>IFERROR(__xludf.DUMMYFUNCTION("""COMPUTED_VALUE"""),"Gustavo Pereira")</f>
        <v>Gustavo Pereira</v>
      </c>
      <c r="B89" s="9"/>
      <c r="C89" s="11">
        <f>IFERROR(__xludf.DUMMYFUNCTION("""COMPUTED_VALUE"""),42.0)</f>
        <v>42</v>
      </c>
      <c r="D89" s="9"/>
      <c r="E89" s="9"/>
      <c r="F89" s="9"/>
      <c r="G89" s="10">
        <f>IFERROR(__xludf.DUMMYFUNCTION("""COMPUTED_VALUE"""),0.7380952380952381)</f>
        <v>0.7380952381</v>
      </c>
      <c r="H89" s="9"/>
      <c r="I89" s="9"/>
      <c r="J89" s="11">
        <f>IFERROR(__xludf.DUMMYFUNCTION("""COMPUTED_VALUE"""),31.0)</f>
        <v>31</v>
      </c>
      <c r="K89" s="9"/>
      <c r="L89" s="9"/>
      <c r="M89" s="9"/>
      <c r="N89" s="10">
        <f>IFERROR(__xludf.DUMMYFUNCTION("""COMPUTED_VALUE"""),0.25806451612903225)</f>
        <v>0.2580645161</v>
      </c>
      <c r="O89" s="9"/>
      <c r="P89" s="9"/>
      <c r="Q89" s="11">
        <f>IFERROR(__xludf.DUMMYFUNCTION("""COMPUTED_VALUE"""),8.0)</f>
        <v>8</v>
      </c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tr">
        <f>IFERROR(__xludf.DUMMYFUNCTION("""COMPUTED_VALUE"""),"João Rios")</f>
        <v>João Rios</v>
      </c>
      <c r="B90" s="9"/>
      <c r="C90" s="11">
        <f>IFERROR(__xludf.DUMMYFUNCTION("""COMPUTED_VALUE"""),18.0)</f>
        <v>18</v>
      </c>
      <c r="D90" s="9"/>
      <c r="E90" s="9"/>
      <c r="F90" s="9"/>
      <c r="G90" s="10">
        <f>IFERROR(__xludf.DUMMYFUNCTION("""COMPUTED_VALUE"""),0.7777777777777778)</f>
        <v>0.7777777778</v>
      </c>
      <c r="H90" s="9"/>
      <c r="I90" s="9"/>
      <c r="J90" s="11">
        <f>IFERROR(__xludf.DUMMYFUNCTION("""COMPUTED_VALUE"""),14.0)</f>
        <v>14</v>
      </c>
      <c r="K90" s="9"/>
      <c r="L90" s="9"/>
      <c r="M90" s="9"/>
      <c r="N90" s="10">
        <f>IFERROR(__xludf.DUMMYFUNCTION("""COMPUTED_VALUE"""),0.5)</f>
        <v>0.5</v>
      </c>
      <c r="O90" s="9"/>
      <c r="P90" s="9"/>
      <c r="Q90" s="11">
        <f>IFERROR(__xludf.DUMMYFUNCTION("""COMPUTED_VALUE"""),7.0)</f>
        <v>7</v>
      </c>
      <c r="R90" s="9"/>
      <c r="S90" s="9"/>
      <c r="T90" s="9"/>
      <c r="U90" s="9"/>
      <c r="V90" s="9"/>
      <c r="W90" s="9"/>
      <c r="X90" s="9"/>
      <c r="Y90" s="9"/>
      <c r="Z90" s="9"/>
    </row>
    <row r="91">
      <c r="A91" s="9" t="str">
        <f>IFERROR(__xludf.DUMMYFUNCTION("""COMPUTED_VALUE"""),"Mylena Reis")</f>
        <v>Mylena Reis</v>
      </c>
      <c r="B91" s="9"/>
      <c r="C91" s="11">
        <f>IFERROR(__xludf.DUMMYFUNCTION("""COMPUTED_VALUE"""),27.0)</f>
        <v>27</v>
      </c>
      <c r="D91" s="9"/>
      <c r="E91" s="9"/>
      <c r="F91" s="9"/>
      <c r="G91" s="10">
        <f>IFERROR(__xludf.DUMMYFUNCTION("""COMPUTED_VALUE"""),0.9629629629629629)</f>
        <v>0.962962963</v>
      </c>
      <c r="H91" s="9"/>
      <c r="I91" s="9"/>
      <c r="J91" s="11">
        <f>IFERROR(__xludf.DUMMYFUNCTION("""COMPUTED_VALUE"""),26.0)</f>
        <v>26</v>
      </c>
      <c r="K91" s="9"/>
      <c r="L91" s="9"/>
      <c r="M91" s="9"/>
      <c r="N91" s="10">
        <f>IFERROR(__xludf.DUMMYFUNCTION("""COMPUTED_VALUE"""),0.2692307692307692)</f>
        <v>0.2692307692</v>
      </c>
      <c r="O91" s="9"/>
      <c r="P91" s="9"/>
      <c r="Q91" s="11">
        <f>IFERROR(__xludf.DUMMYFUNCTION("""COMPUTED_VALUE"""),7.0)</f>
        <v>7</v>
      </c>
      <c r="R91" s="9"/>
      <c r="S91" s="9"/>
      <c r="T91" s="9"/>
      <c r="U91" s="9"/>
      <c r="V91" s="9"/>
      <c r="W91" s="9"/>
      <c r="X91" s="9"/>
      <c r="Y91" s="9"/>
      <c r="Z91" s="9"/>
    </row>
    <row r="92">
      <c r="A92" s="9" t="str">
        <f>IFERROR(__xludf.DUMMYFUNCTION("""COMPUTED_VALUE"""),"Felipe Maximo")</f>
        <v>Felipe Maximo</v>
      </c>
      <c r="B92" s="9"/>
      <c r="C92" s="11">
        <f>IFERROR(__xludf.DUMMYFUNCTION("""COMPUTED_VALUE"""),23.0)</f>
        <v>23</v>
      </c>
      <c r="D92" s="9"/>
      <c r="E92" s="9"/>
      <c r="F92" s="9"/>
      <c r="G92" s="10">
        <f>IFERROR(__xludf.DUMMYFUNCTION("""COMPUTED_VALUE"""),0.6521739130434783)</f>
        <v>0.652173913</v>
      </c>
      <c r="H92" s="9"/>
      <c r="I92" s="9"/>
      <c r="J92" s="11">
        <f>IFERROR(__xludf.DUMMYFUNCTION("""COMPUTED_VALUE"""),15.0)</f>
        <v>15</v>
      </c>
      <c r="K92" s="9"/>
      <c r="L92" s="9"/>
      <c r="M92" s="9"/>
      <c r="N92" s="10">
        <f>IFERROR(__xludf.DUMMYFUNCTION("""COMPUTED_VALUE"""),0.3333333333333333)</f>
        <v>0.3333333333</v>
      </c>
      <c r="O92" s="9"/>
      <c r="P92" s="9"/>
      <c r="Q92" s="11">
        <f>IFERROR(__xludf.DUMMYFUNCTION("""COMPUTED_VALUE"""),5.0)</f>
        <v>5</v>
      </c>
      <c r="R92" s="9"/>
      <c r="S92" s="9"/>
      <c r="T92" s="9"/>
      <c r="U92" s="9"/>
      <c r="V92" s="9"/>
      <c r="W92" s="9"/>
      <c r="X92" s="9"/>
      <c r="Y92" s="9"/>
      <c r="Z92" s="9"/>
    </row>
    <row r="93">
      <c r="A93" s="9" t="str">
        <f>IFERROR(__xludf.DUMMYFUNCTION("""COMPUTED_VALUE"""),"Cauã Andrade")</f>
        <v>Cauã Andrade</v>
      </c>
      <c r="B93" s="9"/>
      <c r="C93" s="11">
        <f>IFERROR(__xludf.DUMMYFUNCTION("""COMPUTED_VALUE"""),19.0)</f>
        <v>19</v>
      </c>
      <c r="D93" s="9"/>
      <c r="E93" s="9"/>
      <c r="F93" s="9"/>
      <c r="G93" s="10">
        <f>IFERROR(__xludf.DUMMYFUNCTION("""COMPUTED_VALUE"""),0.8947368421052632)</f>
        <v>0.8947368421</v>
      </c>
      <c r="H93" s="9"/>
      <c r="I93" s="9"/>
      <c r="J93" s="11">
        <f>IFERROR(__xludf.DUMMYFUNCTION("""COMPUTED_VALUE"""),17.0)</f>
        <v>17</v>
      </c>
      <c r="K93" s="9"/>
      <c r="L93" s="9"/>
      <c r="M93" s="9"/>
      <c r="N93" s="10">
        <f>IFERROR(__xludf.DUMMYFUNCTION("""COMPUTED_VALUE"""),0.29411764705882354)</f>
        <v>0.2941176471</v>
      </c>
      <c r="O93" s="9"/>
      <c r="P93" s="9"/>
      <c r="Q93" s="11">
        <f>IFERROR(__xludf.DUMMYFUNCTION("""COMPUTED_VALUE"""),5.0)</f>
        <v>5</v>
      </c>
      <c r="R93" s="9"/>
      <c r="S93" s="9"/>
      <c r="T93" s="9"/>
      <c r="U93" s="9"/>
      <c r="V93" s="9"/>
      <c r="W93" s="9"/>
      <c r="X93" s="9"/>
      <c r="Y93" s="9"/>
      <c r="Z93" s="9"/>
    </row>
    <row r="94">
      <c r="A94" s="9" t="str">
        <f>IFERROR(__xludf.DUMMYFUNCTION("""COMPUTED_VALUE"""),"Izabelle Lopes")</f>
        <v>Izabelle Lopes</v>
      </c>
      <c r="B94" s="9"/>
      <c r="C94" s="11">
        <f>IFERROR(__xludf.DUMMYFUNCTION("""COMPUTED_VALUE"""),2.0)</f>
        <v>2</v>
      </c>
      <c r="D94" s="9"/>
      <c r="E94" s="9"/>
      <c r="F94" s="9"/>
      <c r="G94" s="10">
        <f>IFERROR(__xludf.DUMMYFUNCTION("""COMPUTED_VALUE"""),1.0)</f>
        <v>1</v>
      </c>
      <c r="H94" s="9"/>
      <c r="I94" s="9"/>
      <c r="J94" s="11">
        <f>IFERROR(__xludf.DUMMYFUNCTION("""COMPUTED_VALUE"""),2.0)</f>
        <v>2</v>
      </c>
      <c r="K94" s="9"/>
      <c r="L94" s="9"/>
      <c r="M94" s="9"/>
      <c r="N94" s="10">
        <f>IFERROR(__xludf.DUMMYFUNCTION("""COMPUTED_VALUE"""),1.0)</f>
        <v>1</v>
      </c>
      <c r="O94" s="9"/>
      <c r="P94" s="9"/>
      <c r="Q94" s="11">
        <f>IFERROR(__xludf.DUMMYFUNCTION("""COMPUTED_VALUE"""),2.0)</f>
        <v>2</v>
      </c>
      <c r="R94" s="9"/>
      <c r="S94" s="9"/>
      <c r="T94" s="9"/>
      <c r="U94" s="9"/>
      <c r="V94" s="9"/>
      <c r="W94" s="9"/>
      <c r="X94" s="9"/>
      <c r="Y94" s="9"/>
      <c r="Z94" s="9"/>
    </row>
    <row r="95">
      <c r="A95" s="9" t="str">
        <f>IFERROR(__xludf.DUMMYFUNCTION("""COMPUTED_VALUE"""),"João Vitor Nascimento")</f>
        <v>João Vitor Nascimento</v>
      </c>
      <c r="B95" s="9"/>
      <c r="C95" s="11">
        <f>IFERROR(__xludf.DUMMYFUNCTION("""COMPUTED_VALUE"""),7.0)</f>
        <v>7</v>
      </c>
      <c r="D95" s="9"/>
      <c r="E95" s="9"/>
      <c r="F95" s="9"/>
      <c r="G95" s="10">
        <f>IFERROR(__xludf.DUMMYFUNCTION("""COMPUTED_VALUE"""),0.8571428571428571)</f>
        <v>0.8571428571</v>
      </c>
      <c r="H95" s="9"/>
      <c r="I95" s="9"/>
      <c r="J95" s="11">
        <f>IFERROR(__xludf.DUMMYFUNCTION("""COMPUTED_VALUE"""),6.0)</f>
        <v>6</v>
      </c>
      <c r="K95" s="9"/>
      <c r="L95" s="9"/>
      <c r="M95" s="9"/>
      <c r="N95" s="10">
        <f>IFERROR(__xludf.DUMMYFUNCTION("""COMPUTED_VALUE"""),0.16666666666666666)</f>
        <v>0.1666666667</v>
      </c>
      <c r="O95" s="9"/>
      <c r="P95" s="9"/>
      <c r="Q95" s="11">
        <f>IFERROR(__xludf.DUMMYFUNCTION("""COMPUTED_VALUE"""),1.0)</f>
        <v>1</v>
      </c>
      <c r="R95" s="9"/>
      <c r="S95" s="9"/>
      <c r="T95" s="9"/>
      <c r="U95" s="9"/>
      <c r="V95" s="9"/>
      <c r="W95" s="9"/>
      <c r="X95" s="9"/>
      <c r="Y95" s="9"/>
      <c r="Z95" s="9"/>
    </row>
    <row r="96">
      <c r="A96" s="9" t="str">
        <f>IFERROR(__xludf.DUMMYFUNCTION("""COMPUTED_VALUE"""),"Nicolas Miranda")</f>
        <v>Nicolas Miranda</v>
      </c>
      <c r="B96" s="9"/>
      <c r="C96" s="11">
        <f>IFERROR(__xludf.DUMMYFUNCTION("""COMPUTED_VALUE"""),1.0)</f>
        <v>1</v>
      </c>
      <c r="D96" s="9"/>
      <c r="E96" s="9"/>
      <c r="F96" s="9"/>
      <c r="G96" s="10">
        <f>IFERROR(__xludf.DUMMYFUNCTION("""COMPUTED_VALUE"""),1.0)</f>
        <v>1</v>
      </c>
      <c r="H96" s="9"/>
      <c r="I96" s="9"/>
      <c r="J96" s="11">
        <f>IFERROR(__xludf.DUMMYFUNCTION("""COMPUTED_VALUE"""),1.0)</f>
        <v>1</v>
      </c>
      <c r="K96" s="9"/>
      <c r="L96" s="9"/>
      <c r="M96" s="9"/>
      <c r="N96" s="10">
        <f>IFERROR(__xludf.DUMMYFUNCTION("""COMPUTED_VALUE"""),0.0)</f>
        <v>0</v>
      </c>
      <c r="O96" s="9"/>
      <c r="P96" s="9"/>
      <c r="Q96" s="11">
        <f>IFERROR(__xludf.DUMMYFUNCTION("""COMPUTED_VALUE"""),0.0)</f>
        <v>0</v>
      </c>
      <c r="R96" s="9"/>
      <c r="S96" s="9"/>
      <c r="T96" s="9"/>
      <c r="U96" s="9"/>
      <c r="V96" s="9"/>
      <c r="W96" s="9"/>
      <c r="X96" s="9"/>
      <c r="Y96" s="9"/>
      <c r="Z96" s="9"/>
    </row>
    <row r="97">
      <c r="A97" s="9" t="str">
        <f>IFERROR(__xludf.DUMMYFUNCTION("""COMPUTED_VALUE"""),"Matheus Mariano")</f>
        <v>Matheus Mariano</v>
      </c>
      <c r="B97" s="9"/>
      <c r="C97" s="11">
        <f>IFERROR(__xludf.DUMMYFUNCTION("""COMPUTED_VALUE"""),1.0)</f>
        <v>1</v>
      </c>
      <c r="D97" s="9"/>
      <c r="E97" s="9"/>
      <c r="F97" s="9"/>
      <c r="G97" s="10">
        <f>IFERROR(__xludf.DUMMYFUNCTION("""COMPUTED_VALUE"""),0.0)</f>
        <v>0</v>
      </c>
      <c r="H97" s="9"/>
      <c r="I97" s="9"/>
      <c r="J97" s="11">
        <f>IFERROR(__xludf.DUMMYFUNCTION("""COMPUTED_VALUE"""),0.0)</f>
        <v>0</v>
      </c>
      <c r="K97" s="9"/>
      <c r="L97" s="9"/>
      <c r="M97" s="9"/>
      <c r="N97" s="10">
        <f>IFERROR(__xludf.DUMMYFUNCTION("""COMPUTED_VALUE"""),0.0)</f>
        <v>0</v>
      </c>
      <c r="O97" s="9"/>
      <c r="P97" s="9"/>
      <c r="Q97" s="11">
        <f>IFERROR(__xludf.DUMMYFUNCTION("""COMPUTED_VALUE"""),0.0)</f>
        <v>0</v>
      </c>
      <c r="R97" s="9"/>
      <c r="S97" s="9"/>
      <c r="T97" s="9"/>
      <c r="U97" s="9"/>
      <c r="V97" s="9"/>
      <c r="W97" s="9"/>
      <c r="X97" s="9"/>
      <c r="Y97" s="9"/>
      <c r="Z97" s="9"/>
    </row>
    <row r="98">
      <c r="A98" s="9" t="str">
        <f>IFERROR(__xludf.DUMMYFUNCTION("""COMPUTED_VALUE"""),"Christian Lopes")</f>
        <v>Christian Lopes</v>
      </c>
      <c r="B98" s="9"/>
      <c r="C98" s="11">
        <f>IFERROR(__xludf.DUMMYFUNCTION("""COMPUTED_VALUE"""),1.0)</f>
        <v>1</v>
      </c>
      <c r="D98" s="9"/>
      <c r="E98" s="9"/>
      <c r="F98" s="9"/>
      <c r="G98" s="10">
        <f>IFERROR(__xludf.DUMMYFUNCTION("""COMPUTED_VALUE"""),2.0)</f>
        <v>2</v>
      </c>
      <c r="H98" s="9"/>
      <c r="I98" s="9"/>
      <c r="J98" s="11">
        <f>IFERROR(__xludf.DUMMYFUNCTION("""COMPUTED_VALUE"""),2.0)</f>
        <v>2</v>
      </c>
      <c r="K98" s="9"/>
      <c r="L98" s="9"/>
      <c r="M98" s="9"/>
      <c r="N98" s="10">
        <f>IFERROR(__xludf.DUMMYFUNCTION("""COMPUTED_VALUE"""),0.0)</f>
        <v>0</v>
      </c>
      <c r="O98" s="9"/>
      <c r="P98" s="9"/>
      <c r="Q98" s="11">
        <f>IFERROR(__xludf.DUMMYFUNCTION("""COMPUTED_VALUE"""),0.0)</f>
        <v>0</v>
      </c>
      <c r="R98" s="9"/>
      <c r="S98" s="9"/>
      <c r="T98" s="9"/>
      <c r="U98" s="9"/>
      <c r="V98" s="9"/>
      <c r="W98" s="9"/>
      <c r="X98" s="9"/>
      <c r="Y98" s="9"/>
      <c r="Z98" s="9"/>
    </row>
    <row r="99">
      <c r="A99" s="9" t="str">
        <f>IFERROR(__xludf.DUMMYFUNCTION("""COMPUTED_VALUE"""),"Form G4 Outros - Orgânico")</f>
        <v>Form G4 Outros - Orgânico</v>
      </c>
      <c r="B99" s="11">
        <f>IFERROR(__xludf.DUMMYFUNCTION("""COMPUTED_VALUE"""),447.67741935483843)</f>
        <v>447.6774194</v>
      </c>
      <c r="C99" s="11">
        <f>IFERROR(__xludf.DUMMYFUNCTION("""COMPUTED_VALUE"""),449.0)</f>
        <v>449</v>
      </c>
      <c r="D99" s="11">
        <f>IFERROR(__xludf.DUMMYFUNCTION("""COMPUTED_VALUE"""),1.3225806451615654)</f>
        <v>1.322580645</v>
      </c>
      <c r="E99" s="10">
        <f>IFERROR(__xludf.DUMMYFUNCTION("""COMPUTED_VALUE"""),0.0029543161838887846)</f>
        <v>0.002954316184</v>
      </c>
      <c r="F99" s="10">
        <f>IFERROR(__xludf.DUMMYFUNCTION("""COMPUTED_VALUE"""),0.6293553918193087)</f>
        <v>0.6293553918</v>
      </c>
      <c r="G99" s="10">
        <f>IFERROR(__xludf.DUMMYFUNCTION("""COMPUTED_VALUE"""),0.6013363028953229)</f>
        <v>0.6013363029</v>
      </c>
      <c r="H99" s="35">
        <f>IFERROR(__xludf.DUMMYFUNCTION("""COMPUTED_VALUE"""),-2.8019088923985747)</f>
        <v>-2.801908892</v>
      </c>
      <c r="I99" s="11">
        <f>IFERROR(__xludf.DUMMYFUNCTION("""COMPUTED_VALUE"""),281.7481976667213)</f>
        <v>281.7481977</v>
      </c>
      <c r="J99" s="11">
        <f>IFERROR(__xludf.DUMMYFUNCTION("""COMPUTED_VALUE"""),270.0)</f>
        <v>270</v>
      </c>
      <c r="K99" s="11">
        <f>IFERROR(__xludf.DUMMYFUNCTION("""COMPUTED_VALUE"""),-11.748197666721296)</f>
        <v>-11.74819767</v>
      </c>
      <c r="L99" s="10">
        <f>IFERROR(__xludf.DUMMYFUNCTION("""COMPUTED_VALUE"""),-0.041697507788916496)</f>
        <v>-0.04169750779</v>
      </c>
      <c r="M99" s="10">
        <f>IFERROR(__xludf.DUMMYFUNCTION("""COMPUTED_VALUE"""),0.38577777777777805)</f>
        <v>0.3857777778</v>
      </c>
      <c r="N99" s="10">
        <f>IFERROR(__xludf.DUMMYFUNCTION("""COMPUTED_VALUE"""),0.4666666666666667)</f>
        <v>0.4666666667</v>
      </c>
      <c r="O99" s="35">
        <f>IFERROR(__xludf.DUMMYFUNCTION("""COMPUTED_VALUE"""),8.088888888888862)</f>
        <v>8.088888889</v>
      </c>
      <c r="P99" s="11">
        <f>IFERROR(__xludf.DUMMYFUNCTION("""COMPUTED_VALUE"""),108.6921935887619)</f>
        <v>108.6921936</v>
      </c>
      <c r="Q99" s="11">
        <f>IFERROR(__xludf.DUMMYFUNCTION("""COMPUTED_VALUE"""),126.0)</f>
        <v>126</v>
      </c>
      <c r="R99" s="11">
        <f>IFERROR(__xludf.DUMMYFUNCTION("""COMPUTED_VALUE"""),17.307806411238104)</f>
        <v>17.30780641</v>
      </c>
      <c r="S99" s="10">
        <f>IFERROR(__xludf.DUMMYFUNCTION("""COMPUTED_VALUE"""),0.15923688573921305)</f>
        <v>0.1592368857</v>
      </c>
      <c r="T99" s="11">
        <f>IFERROR(__xludf.DUMMYFUNCTION("""COMPUTED_VALUE"""),734275.5483985601)</f>
        <v>734275.5484</v>
      </c>
      <c r="U99" s="36">
        <f>IFERROR(__xludf.DUMMYFUNCTION("""COMPUTED_VALUE"""),6959.999999999999)</f>
        <v>6960</v>
      </c>
      <c r="V99" s="36">
        <f>IFERROR(__xludf.DUMMYFUNCTION("""COMPUTED_VALUE"""),-81767.45576038021)</f>
        <v>-81767.45576</v>
      </c>
      <c r="W99" s="10">
        <f>IFERROR(__xludf.DUMMYFUNCTION("""COMPUTED_VALUE"""),-0.11135799896743578)</f>
        <v>-0.111357999</v>
      </c>
      <c r="X99" s="9"/>
      <c r="Y99" s="9"/>
      <c r="Z99" s="9"/>
    </row>
    <row r="100">
      <c r="A100" s="9" t="str">
        <f>IFERROR(__xludf.DUMMYFUNCTION("""COMPUTED_VALUE"""),"Felipe Maximo")</f>
        <v>Felipe Maximo</v>
      </c>
      <c r="B100" s="9"/>
      <c r="C100" s="11">
        <f>IFERROR(__xludf.DUMMYFUNCTION("""COMPUTED_VALUE"""),48.0)</f>
        <v>48</v>
      </c>
      <c r="D100" s="9"/>
      <c r="E100" s="9"/>
      <c r="F100" s="9"/>
      <c r="G100" s="10">
        <f>IFERROR(__xludf.DUMMYFUNCTION("""COMPUTED_VALUE"""),0.6041666666666666)</f>
        <v>0.6041666667</v>
      </c>
      <c r="H100" s="9"/>
      <c r="I100" s="9"/>
      <c r="J100" s="11">
        <f>IFERROR(__xludf.DUMMYFUNCTION("""COMPUTED_VALUE"""),29.0)</f>
        <v>29</v>
      </c>
      <c r="K100" s="9"/>
      <c r="L100" s="9"/>
      <c r="M100" s="9"/>
      <c r="N100" s="10">
        <f>IFERROR(__xludf.DUMMYFUNCTION("""COMPUTED_VALUE"""),0.5172413793103449)</f>
        <v>0.5172413793</v>
      </c>
      <c r="O100" s="9"/>
      <c r="P100" s="9"/>
      <c r="Q100" s="11">
        <f>IFERROR(__xludf.DUMMYFUNCTION("""COMPUTED_VALUE"""),15.0)</f>
        <v>15</v>
      </c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 t="str">
        <f>IFERROR(__xludf.DUMMYFUNCTION("""COMPUTED_VALUE"""),"Mariana Jovenato")</f>
        <v>Mariana Jovenato</v>
      </c>
      <c r="B101" s="9"/>
      <c r="C101" s="11">
        <f>IFERROR(__xludf.DUMMYFUNCTION("""COMPUTED_VALUE"""),48.0)</f>
        <v>48</v>
      </c>
      <c r="D101" s="9"/>
      <c r="E101" s="9"/>
      <c r="F101" s="9"/>
      <c r="G101" s="10">
        <f>IFERROR(__xludf.DUMMYFUNCTION("""COMPUTED_VALUE"""),0.625)</f>
        <v>0.625</v>
      </c>
      <c r="H101" s="9"/>
      <c r="I101" s="9"/>
      <c r="J101" s="11">
        <f>IFERROR(__xludf.DUMMYFUNCTION("""COMPUTED_VALUE"""),30.0)</f>
        <v>30</v>
      </c>
      <c r="K101" s="9"/>
      <c r="L101" s="9"/>
      <c r="M101" s="9"/>
      <c r="N101" s="10">
        <f>IFERROR(__xludf.DUMMYFUNCTION("""COMPUTED_VALUE"""),0.5)</f>
        <v>0.5</v>
      </c>
      <c r="O101" s="9"/>
      <c r="P101" s="9"/>
      <c r="Q101" s="11">
        <f>IFERROR(__xludf.DUMMYFUNCTION("""COMPUTED_VALUE"""),15.0)</f>
        <v>15</v>
      </c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 t="str">
        <f>IFERROR(__xludf.DUMMYFUNCTION("""COMPUTED_VALUE"""),"Marcio Lucas")</f>
        <v>Marcio Lucas</v>
      </c>
      <c r="B102" s="9"/>
      <c r="C102" s="11">
        <f>IFERROR(__xludf.DUMMYFUNCTION("""COMPUTED_VALUE"""),55.0)</f>
        <v>55</v>
      </c>
      <c r="D102" s="9"/>
      <c r="E102" s="9"/>
      <c r="F102" s="9"/>
      <c r="G102" s="10">
        <f>IFERROR(__xludf.DUMMYFUNCTION("""COMPUTED_VALUE"""),0.6363636363636364)</f>
        <v>0.6363636364</v>
      </c>
      <c r="H102" s="9"/>
      <c r="I102" s="9"/>
      <c r="J102" s="11">
        <f>IFERROR(__xludf.DUMMYFUNCTION("""COMPUTED_VALUE"""),35.0)</f>
        <v>35</v>
      </c>
      <c r="K102" s="9"/>
      <c r="L102" s="9"/>
      <c r="M102" s="9"/>
      <c r="N102" s="10">
        <f>IFERROR(__xludf.DUMMYFUNCTION("""COMPUTED_VALUE"""),0.42857142857142855)</f>
        <v>0.4285714286</v>
      </c>
      <c r="O102" s="9"/>
      <c r="P102" s="9"/>
      <c r="Q102" s="11">
        <f>IFERROR(__xludf.DUMMYFUNCTION("""COMPUTED_VALUE"""),15.0)</f>
        <v>15</v>
      </c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 t="str">
        <f>IFERROR(__xludf.DUMMYFUNCTION("""COMPUTED_VALUE"""),"Cauã Andrade")</f>
        <v>Cauã Andrade</v>
      </c>
      <c r="B103" s="9"/>
      <c r="C103" s="11">
        <f>IFERROR(__xludf.DUMMYFUNCTION("""COMPUTED_VALUE"""),47.0)</f>
        <v>47</v>
      </c>
      <c r="D103" s="9"/>
      <c r="E103" s="9"/>
      <c r="F103" s="9"/>
      <c r="G103" s="10">
        <f>IFERROR(__xludf.DUMMYFUNCTION("""COMPUTED_VALUE"""),0.5957446808510638)</f>
        <v>0.5957446809</v>
      </c>
      <c r="H103" s="9"/>
      <c r="I103" s="9"/>
      <c r="J103" s="11">
        <f>IFERROR(__xludf.DUMMYFUNCTION("""COMPUTED_VALUE"""),28.0)</f>
        <v>28</v>
      </c>
      <c r="K103" s="9"/>
      <c r="L103" s="9"/>
      <c r="M103" s="9"/>
      <c r="N103" s="10">
        <f>IFERROR(__xludf.DUMMYFUNCTION("""COMPUTED_VALUE"""),0.5)</f>
        <v>0.5</v>
      </c>
      <c r="O103" s="9"/>
      <c r="P103" s="9"/>
      <c r="Q103" s="11">
        <f>IFERROR(__xludf.DUMMYFUNCTION("""COMPUTED_VALUE"""),14.0)</f>
        <v>14</v>
      </c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 t="str">
        <f>IFERROR(__xludf.DUMMYFUNCTION("""COMPUTED_VALUE"""),"Thalita Lopes")</f>
        <v>Thalita Lopes</v>
      </c>
      <c r="B104" s="9"/>
      <c r="C104" s="11">
        <f>IFERROR(__xludf.DUMMYFUNCTION("""COMPUTED_VALUE"""),41.0)</f>
        <v>41</v>
      </c>
      <c r="D104" s="9"/>
      <c r="E104" s="9"/>
      <c r="F104" s="9"/>
      <c r="G104" s="10">
        <f>IFERROR(__xludf.DUMMYFUNCTION("""COMPUTED_VALUE"""),0.4634146341463415)</f>
        <v>0.4634146341</v>
      </c>
      <c r="H104" s="9"/>
      <c r="I104" s="9"/>
      <c r="J104" s="11">
        <f>IFERROR(__xludf.DUMMYFUNCTION("""COMPUTED_VALUE"""),19.0)</f>
        <v>19</v>
      </c>
      <c r="K104" s="9"/>
      <c r="L104" s="9"/>
      <c r="M104" s="9"/>
      <c r="N104" s="10">
        <f>IFERROR(__xludf.DUMMYFUNCTION("""COMPUTED_VALUE"""),0.6842105263157895)</f>
        <v>0.6842105263</v>
      </c>
      <c r="O104" s="9"/>
      <c r="P104" s="9"/>
      <c r="Q104" s="11">
        <f>IFERROR(__xludf.DUMMYFUNCTION("""COMPUTED_VALUE"""),13.0)</f>
        <v>13</v>
      </c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 t="str">
        <f>IFERROR(__xludf.DUMMYFUNCTION("""COMPUTED_VALUE"""),"Gustavo Pereira")</f>
        <v>Gustavo Pereira</v>
      </c>
      <c r="B105" s="9"/>
      <c r="C105" s="11">
        <f>IFERROR(__xludf.DUMMYFUNCTION("""COMPUTED_VALUE"""),46.0)</f>
        <v>46</v>
      </c>
      <c r="D105" s="9"/>
      <c r="E105" s="9"/>
      <c r="F105" s="9"/>
      <c r="G105" s="10">
        <f>IFERROR(__xludf.DUMMYFUNCTION("""COMPUTED_VALUE"""),0.6521739130434783)</f>
        <v>0.652173913</v>
      </c>
      <c r="H105" s="9"/>
      <c r="I105" s="9"/>
      <c r="J105" s="11">
        <f>IFERROR(__xludf.DUMMYFUNCTION("""COMPUTED_VALUE"""),30.0)</f>
        <v>30</v>
      </c>
      <c r="K105" s="9"/>
      <c r="L105" s="9"/>
      <c r="M105" s="9"/>
      <c r="N105" s="10">
        <f>IFERROR(__xludf.DUMMYFUNCTION("""COMPUTED_VALUE"""),0.43333333333333335)</f>
        <v>0.4333333333</v>
      </c>
      <c r="O105" s="9"/>
      <c r="P105" s="9"/>
      <c r="Q105" s="11">
        <f>IFERROR(__xludf.DUMMYFUNCTION("""COMPUTED_VALUE"""),13.0)</f>
        <v>13</v>
      </c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 t="str">
        <f>IFERROR(__xludf.DUMMYFUNCTION("""COMPUTED_VALUE"""),"João Rios")</f>
        <v>João Rios</v>
      </c>
      <c r="B106" s="9"/>
      <c r="C106" s="11">
        <f>IFERROR(__xludf.DUMMYFUNCTION("""COMPUTED_VALUE"""),51.0)</f>
        <v>51</v>
      </c>
      <c r="D106" s="9"/>
      <c r="E106" s="9"/>
      <c r="F106" s="9"/>
      <c r="G106" s="10">
        <f>IFERROR(__xludf.DUMMYFUNCTION("""COMPUTED_VALUE"""),0.5294117647058824)</f>
        <v>0.5294117647</v>
      </c>
      <c r="H106" s="9"/>
      <c r="I106" s="9"/>
      <c r="J106" s="11">
        <f>IFERROR(__xludf.DUMMYFUNCTION("""COMPUTED_VALUE"""),27.0)</f>
        <v>27</v>
      </c>
      <c r="K106" s="9"/>
      <c r="L106" s="9"/>
      <c r="M106" s="9"/>
      <c r="N106" s="10">
        <f>IFERROR(__xludf.DUMMYFUNCTION("""COMPUTED_VALUE"""),0.4074074074074074)</f>
        <v>0.4074074074</v>
      </c>
      <c r="O106" s="9"/>
      <c r="P106" s="9"/>
      <c r="Q106" s="11">
        <f>IFERROR(__xludf.DUMMYFUNCTION("""COMPUTED_VALUE"""),11.0)</f>
        <v>11</v>
      </c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 t="str">
        <f>IFERROR(__xludf.DUMMYFUNCTION("""COMPUTED_VALUE"""),"Ilson Costa Lima")</f>
        <v>Ilson Costa Lima</v>
      </c>
      <c r="B107" s="9"/>
      <c r="C107" s="11">
        <f>IFERROR(__xludf.DUMMYFUNCTION("""COMPUTED_VALUE"""),55.0)</f>
        <v>55</v>
      </c>
      <c r="D107" s="9"/>
      <c r="E107" s="9"/>
      <c r="F107" s="9"/>
      <c r="G107" s="10">
        <f>IFERROR(__xludf.DUMMYFUNCTION("""COMPUTED_VALUE"""),0.5636363636363636)</f>
        <v>0.5636363636</v>
      </c>
      <c r="H107" s="9"/>
      <c r="I107" s="9"/>
      <c r="J107" s="11">
        <f>IFERROR(__xludf.DUMMYFUNCTION("""COMPUTED_VALUE"""),31.0)</f>
        <v>31</v>
      </c>
      <c r="K107" s="9"/>
      <c r="L107" s="9"/>
      <c r="M107" s="9"/>
      <c r="N107" s="10">
        <f>IFERROR(__xludf.DUMMYFUNCTION("""COMPUTED_VALUE"""),0.25806451612903225)</f>
        <v>0.2580645161</v>
      </c>
      <c r="O107" s="9"/>
      <c r="P107" s="9"/>
      <c r="Q107" s="11">
        <f>IFERROR(__xludf.DUMMYFUNCTION("""COMPUTED_VALUE"""),8.0)</f>
        <v>8</v>
      </c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 t="str">
        <f>IFERROR(__xludf.DUMMYFUNCTION("""COMPUTED_VALUE"""),"Mylena Reis")</f>
        <v>Mylena Reis</v>
      </c>
      <c r="B108" s="9"/>
      <c r="C108" s="11">
        <f>IFERROR(__xludf.DUMMYFUNCTION("""COMPUTED_VALUE"""),31.0)</f>
        <v>31</v>
      </c>
      <c r="D108" s="9"/>
      <c r="E108" s="9"/>
      <c r="F108" s="9"/>
      <c r="G108" s="10">
        <f>IFERROR(__xludf.DUMMYFUNCTION("""COMPUTED_VALUE"""),0.5806451612903226)</f>
        <v>0.5806451613</v>
      </c>
      <c r="H108" s="9"/>
      <c r="I108" s="9"/>
      <c r="J108" s="11">
        <f>IFERROR(__xludf.DUMMYFUNCTION("""COMPUTED_VALUE"""),18.0)</f>
        <v>18</v>
      </c>
      <c r="K108" s="9"/>
      <c r="L108" s="9"/>
      <c r="M108" s="9"/>
      <c r="N108" s="10">
        <f>IFERROR(__xludf.DUMMYFUNCTION("""COMPUTED_VALUE"""),0.3888888888888889)</f>
        <v>0.3888888889</v>
      </c>
      <c r="O108" s="9"/>
      <c r="P108" s="9"/>
      <c r="Q108" s="11">
        <f>IFERROR(__xludf.DUMMYFUNCTION("""COMPUTED_VALUE"""),7.0)</f>
        <v>7</v>
      </c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 t="str">
        <f>IFERROR(__xludf.DUMMYFUNCTION("""COMPUTED_VALUE"""),"João Vitor Nascimento")</f>
        <v>João Vitor Nascimento</v>
      </c>
      <c r="B109" s="9"/>
      <c r="C109" s="11">
        <f>IFERROR(__xludf.DUMMYFUNCTION("""COMPUTED_VALUE"""),12.0)</f>
        <v>12</v>
      </c>
      <c r="D109" s="9"/>
      <c r="E109" s="9"/>
      <c r="F109" s="9"/>
      <c r="G109" s="10">
        <f>IFERROR(__xludf.DUMMYFUNCTION("""COMPUTED_VALUE"""),0.75)</f>
        <v>0.75</v>
      </c>
      <c r="H109" s="9"/>
      <c r="I109" s="9"/>
      <c r="J109" s="11">
        <f>IFERROR(__xludf.DUMMYFUNCTION("""COMPUTED_VALUE"""),9.0)</f>
        <v>9</v>
      </c>
      <c r="K109" s="9"/>
      <c r="L109" s="9"/>
      <c r="M109" s="9"/>
      <c r="N109" s="10">
        <f>IFERROR(__xludf.DUMMYFUNCTION("""COMPUTED_VALUE"""),0.6666666666666666)</f>
        <v>0.6666666667</v>
      </c>
      <c r="O109" s="9"/>
      <c r="P109" s="9"/>
      <c r="Q109" s="11">
        <f>IFERROR(__xludf.DUMMYFUNCTION("""COMPUTED_VALUE"""),6.0)</f>
        <v>6</v>
      </c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 t="str">
        <f>IFERROR(__xludf.DUMMYFUNCTION("""COMPUTED_VALUE"""),"Nathan Nascimento")</f>
        <v>Nathan Nascimento</v>
      </c>
      <c r="B110" s="9"/>
      <c r="C110" s="11">
        <f>IFERROR(__xludf.DUMMYFUNCTION("""COMPUTED_VALUE"""),1.0)</f>
        <v>1</v>
      </c>
      <c r="D110" s="9"/>
      <c r="E110" s="9"/>
      <c r="F110" s="9"/>
      <c r="G110" s="10">
        <f>IFERROR(__xludf.DUMMYFUNCTION("""COMPUTED_VALUE"""),2.0)</f>
        <v>2</v>
      </c>
      <c r="H110" s="9"/>
      <c r="I110" s="9"/>
      <c r="J110" s="11">
        <f>IFERROR(__xludf.DUMMYFUNCTION("""COMPUTED_VALUE"""),2.0)</f>
        <v>2</v>
      </c>
      <c r="K110" s="9"/>
      <c r="L110" s="9"/>
      <c r="M110" s="9"/>
      <c r="N110" s="10">
        <f>IFERROR(__xludf.DUMMYFUNCTION("""COMPUTED_VALUE"""),1.5)</f>
        <v>1.5</v>
      </c>
      <c r="O110" s="9"/>
      <c r="P110" s="9"/>
      <c r="Q110" s="11">
        <f>IFERROR(__xludf.DUMMYFUNCTION("""COMPUTED_VALUE"""),3.0)</f>
        <v>3</v>
      </c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 t="str">
        <f>IFERROR(__xludf.DUMMYFUNCTION("""COMPUTED_VALUE"""),"Nicolas Miranda")</f>
        <v>Nicolas Miranda</v>
      </c>
      <c r="B111" s="9"/>
      <c r="C111" s="11">
        <f>IFERROR(__xludf.DUMMYFUNCTION("""COMPUTED_VALUE"""),2.0)</f>
        <v>2</v>
      </c>
      <c r="D111" s="9"/>
      <c r="E111" s="9"/>
      <c r="F111" s="9"/>
      <c r="G111" s="10">
        <f>IFERROR(__xludf.DUMMYFUNCTION("""COMPUTED_VALUE"""),1.0)</f>
        <v>1</v>
      </c>
      <c r="H111" s="9"/>
      <c r="I111" s="9"/>
      <c r="J111" s="11">
        <f>IFERROR(__xludf.DUMMYFUNCTION("""COMPUTED_VALUE"""),2.0)</f>
        <v>2</v>
      </c>
      <c r="K111" s="9"/>
      <c r="L111" s="9"/>
      <c r="M111" s="9"/>
      <c r="N111" s="10">
        <f>IFERROR(__xludf.DUMMYFUNCTION("""COMPUTED_VALUE"""),1.0)</f>
        <v>1</v>
      </c>
      <c r="O111" s="9"/>
      <c r="P111" s="9"/>
      <c r="Q111" s="11">
        <f>IFERROR(__xludf.DUMMYFUNCTION("""COMPUTED_VALUE"""),2.0)</f>
        <v>2</v>
      </c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 t="str">
        <f>IFERROR(__xludf.DUMMYFUNCTION("""COMPUTED_VALUE"""),"Matheus Mariano")</f>
        <v>Matheus Mariano</v>
      </c>
      <c r="B112" s="9"/>
      <c r="C112" s="11">
        <f>IFERROR(__xludf.DUMMYFUNCTION("""COMPUTED_VALUE"""),2.0)</f>
        <v>2</v>
      </c>
      <c r="D112" s="9"/>
      <c r="E112" s="9"/>
      <c r="F112" s="9"/>
      <c r="G112" s="10">
        <f>IFERROR(__xludf.DUMMYFUNCTION("""COMPUTED_VALUE"""),0.5)</f>
        <v>0.5</v>
      </c>
      <c r="H112" s="9"/>
      <c r="I112" s="9"/>
      <c r="J112" s="11">
        <f>IFERROR(__xludf.DUMMYFUNCTION("""COMPUTED_VALUE"""),1.0)</f>
        <v>1</v>
      </c>
      <c r="K112" s="9"/>
      <c r="L112" s="9"/>
      <c r="M112" s="9"/>
      <c r="N112" s="10">
        <f>IFERROR(__xludf.DUMMYFUNCTION("""COMPUTED_VALUE"""),1.0)</f>
        <v>1</v>
      </c>
      <c r="O112" s="9"/>
      <c r="P112" s="9"/>
      <c r="Q112" s="11">
        <f>IFERROR(__xludf.DUMMYFUNCTION("""COMPUTED_VALUE"""),1.0)</f>
        <v>1</v>
      </c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 t="str">
        <f>IFERROR(__xludf.DUMMYFUNCTION("""COMPUTED_VALUE"""),"Leonardo Alencar")</f>
        <v>Leonardo Alencar</v>
      </c>
      <c r="B113" s="9"/>
      <c r="C113" s="11">
        <f>IFERROR(__xludf.DUMMYFUNCTION("""COMPUTED_VALUE"""),1.0)</f>
        <v>1</v>
      </c>
      <c r="D113" s="9"/>
      <c r="E113" s="9"/>
      <c r="F113" s="9"/>
      <c r="G113" s="10">
        <f>IFERROR(__xludf.DUMMYFUNCTION("""COMPUTED_VALUE"""),1.0)</f>
        <v>1</v>
      </c>
      <c r="H113" s="9"/>
      <c r="I113" s="9"/>
      <c r="J113" s="11">
        <f>IFERROR(__xludf.DUMMYFUNCTION("""COMPUTED_VALUE"""),1.0)</f>
        <v>1</v>
      </c>
      <c r="K113" s="9"/>
      <c r="L113" s="9"/>
      <c r="M113" s="9"/>
      <c r="N113" s="10">
        <f>IFERROR(__xludf.DUMMYFUNCTION("""COMPUTED_VALUE"""),1.0)</f>
        <v>1</v>
      </c>
      <c r="O113" s="9"/>
      <c r="P113" s="9"/>
      <c r="Q113" s="11">
        <f>IFERROR(__xludf.DUMMYFUNCTION("""COMPUTED_VALUE"""),1.0)</f>
        <v>1</v>
      </c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 t="str">
        <f>IFERROR(__xludf.DUMMYFUNCTION("""COMPUTED_VALUE"""),"Bruno Xavier")</f>
        <v>Bruno Xavier</v>
      </c>
      <c r="B114" s="9"/>
      <c r="C114" s="11">
        <f>IFERROR(__xludf.DUMMYFUNCTION("""COMPUTED_VALUE"""),1.0)</f>
        <v>1</v>
      </c>
      <c r="D114" s="9"/>
      <c r="E114" s="9"/>
      <c r="F114" s="9"/>
      <c r="G114" s="10">
        <f>IFERROR(__xludf.DUMMYFUNCTION("""COMPUTED_VALUE"""),1.0)</f>
        <v>1</v>
      </c>
      <c r="H114" s="9"/>
      <c r="I114" s="9"/>
      <c r="J114" s="11">
        <f>IFERROR(__xludf.DUMMYFUNCTION("""COMPUTED_VALUE"""),1.0)</f>
        <v>1</v>
      </c>
      <c r="K114" s="9"/>
      <c r="L114" s="9"/>
      <c r="M114" s="9"/>
      <c r="N114" s="10">
        <f>IFERROR(__xludf.DUMMYFUNCTION("""COMPUTED_VALUE"""),1.0)</f>
        <v>1</v>
      </c>
      <c r="O114" s="9"/>
      <c r="P114" s="9"/>
      <c r="Q114" s="11">
        <f>IFERROR(__xludf.DUMMYFUNCTION("""COMPUTED_VALUE"""),1.0)</f>
        <v>1</v>
      </c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 t="str">
        <f>IFERROR(__xludf.DUMMYFUNCTION("""COMPUTED_VALUE"""),"Christian Lopes")</f>
        <v>Christian Lopes</v>
      </c>
      <c r="B115" s="9"/>
      <c r="C115" s="11">
        <f>IFERROR(__xludf.DUMMYFUNCTION("""COMPUTED_VALUE"""),3.0)</f>
        <v>3</v>
      </c>
      <c r="D115" s="9"/>
      <c r="E115" s="9"/>
      <c r="F115" s="9"/>
      <c r="G115" s="10">
        <f>IFERROR(__xludf.DUMMYFUNCTION("""COMPUTED_VALUE"""),0.6666666666666666)</f>
        <v>0.6666666667</v>
      </c>
      <c r="H115" s="9"/>
      <c r="I115" s="9"/>
      <c r="J115" s="11">
        <f>IFERROR(__xludf.DUMMYFUNCTION("""COMPUTED_VALUE"""),2.0)</f>
        <v>2</v>
      </c>
      <c r="K115" s="9"/>
      <c r="L115" s="9"/>
      <c r="M115" s="9"/>
      <c r="N115" s="10">
        <f>IFERROR(__xludf.DUMMYFUNCTION("""COMPUTED_VALUE"""),0.5)</f>
        <v>0.5</v>
      </c>
      <c r="O115" s="9"/>
      <c r="P115" s="9"/>
      <c r="Q115" s="11">
        <f>IFERROR(__xludf.DUMMYFUNCTION("""COMPUTED_VALUE"""),1.0)</f>
        <v>1</v>
      </c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 t="str">
        <f>IFERROR(__xludf.DUMMYFUNCTION("""COMPUTED_VALUE"""),"Izabelle Lopes")</f>
        <v>Izabelle Lopes</v>
      </c>
      <c r="B116" s="9"/>
      <c r="C116" s="11">
        <f>IFERROR(__xludf.DUMMYFUNCTION("""COMPUTED_VALUE"""),5.0)</f>
        <v>5</v>
      </c>
      <c r="D116" s="9"/>
      <c r="E116" s="9"/>
      <c r="F116" s="9"/>
      <c r="G116" s="10">
        <f>IFERROR(__xludf.DUMMYFUNCTION("""COMPUTED_VALUE"""),0.8)</f>
        <v>0.8</v>
      </c>
      <c r="H116" s="9"/>
      <c r="I116" s="9"/>
      <c r="J116" s="11">
        <f>IFERROR(__xludf.DUMMYFUNCTION("""COMPUTED_VALUE"""),4.0)</f>
        <v>4</v>
      </c>
      <c r="K116" s="9"/>
      <c r="L116" s="9"/>
      <c r="M116" s="9"/>
      <c r="N116" s="10">
        <f>IFERROR(__xludf.DUMMYFUNCTION("""COMPUTED_VALUE"""),0.0)</f>
        <v>0</v>
      </c>
      <c r="O116" s="9"/>
      <c r="P116" s="9"/>
      <c r="Q116" s="11">
        <f>IFERROR(__xludf.DUMMYFUNCTION("""COMPUTED_VALUE"""),0.0)</f>
        <v>0</v>
      </c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 t="str">
        <f>IFERROR(__xludf.DUMMYFUNCTION("""COMPUTED_VALUE"""),"Form G4 Outros - Não Orgânico")</f>
        <v>Form G4 Outros - Não Orgânico</v>
      </c>
      <c r="B117" s="11">
        <f>IFERROR(__xludf.DUMMYFUNCTION("""COMPUTED_VALUE"""),141.9677419354838)</f>
        <v>141.9677419</v>
      </c>
      <c r="C117" s="11">
        <f>IFERROR(__xludf.DUMMYFUNCTION("""COMPUTED_VALUE"""),95.0)</f>
        <v>95</v>
      </c>
      <c r="D117" s="11">
        <f>IFERROR(__xludf.DUMMYFUNCTION("""COMPUTED_VALUE"""),-46.96774193548379)</f>
        <v>-46.96774194</v>
      </c>
      <c r="E117" s="10">
        <f>IFERROR(__xludf.DUMMYFUNCTION("""COMPUTED_VALUE"""),-0.33083390138604823)</f>
        <v>-0.3308339014</v>
      </c>
      <c r="F117" s="10">
        <f>IFERROR(__xludf.DUMMYFUNCTION("""COMPUTED_VALUE"""),0.8547633194692018)</f>
        <v>0.8547633195</v>
      </c>
      <c r="G117" s="10">
        <f>IFERROR(__xludf.DUMMYFUNCTION("""COMPUTED_VALUE"""),0.7894736842105263)</f>
        <v>0.7894736842</v>
      </c>
      <c r="H117" s="35">
        <f>IFERROR(__xludf.DUMMYFUNCTION("""COMPUTED_VALUE"""),-6.528963525867548)</f>
        <v>-6.528963526</v>
      </c>
      <c r="I117" s="11">
        <f>IFERROR(__xludf.DUMMYFUNCTION("""COMPUTED_VALUE"""),121.34881835432112)</f>
        <v>121.3488184</v>
      </c>
      <c r="J117" s="11">
        <f>IFERROR(__xludf.DUMMYFUNCTION("""COMPUTED_VALUE"""),75.0)</f>
        <v>75</v>
      </c>
      <c r="K117" s="11">
        <f>IFERROR(__xludf.DUMMYFUNCTION("""COMPUTED_VALUE"""),-46.348818354321125)</f>
        <v>-46.34881835</v>
      </c>
      <c r="L117" s="10">
        <f>IFERROR(__xludf.DUMMYFUNCTION("""COMPUTED_VALUE"""),-0.38194701013889754)</f>
        <v>-0.3819470101</v>
      </c>
      <c r="M117" s="10">
        <f>IFERROR(__xludf.DUMMYFUNCTION("""COMPUTED_VALUE"""),0.3031111111111114)</f>
        <v>0.3031111111</v>
      </c>
      <c r="N117" s="10">
        <f>IFERROR(__xludf.DUMMYFUNCTION("""COMPUTED_VALUE"""),0.29333333333333333)</f>
        <v>0.2933333333</v>
      </c>
      <c r="O117" s="35">
        <f>IFERROR(__xludf.DUMMYFUNCTION("""COMPUTED_VALUE"""),-0.9777777777778052)</f>
        <v>-0.9777777778</v>
      </c>
      <c r="P117" s="11">
        <f>IFERROR(__xludf.DUMMYFUNCTION("""COMPUTED_VALUE"""),36.782175163398705)</f>
        <v>36.78217516</v>
      </c>
      <c r="Q117" s="11">
        <f>IFERROR(__xludf.DUMMYFUNCTION("""COMPUTED_VALUE"""),22.0)</f>
        <v>22</v>
      </c>
      <c r="R117" s="11">
        <f>IFERROR(__xludf.DUMMYFUNCTION("""COMPUTED_VALUE"""),-14.782175163398705)</f>
        <v>-14.78217516</v>
      </c>
      <c r="S117" s="10">
        <f>IFERROR(__xludf.DUMMYFUNCTION("""COMPUTED_VALUE"""),-0.40188420336022396)</f>
        <v>-0.4018842034</v>
      </c>
      <c r="T117" s="11">
        <f>IFERROR(__xludf.DUMMYFUNCTION("""COMPUTED_VALUE"""),232061.04199183008)</f>
        <v>232061.042</v>
      </c>
      <c r="U117" s="36">
        <f>IFERROR(__xludf.DUMMYFUNCTION("""COMPUTED_VALUE"""),6500.0)</f>
        <v>6500</v>
      </c>
      <c r="V117" s="36">
        <f>IFERROR(__xludf.DUMMYFUNCTION("""COMPUTED_VALUE"""),-301267.3193030873)</f>
        <v>-301267.3193</v>
      </c>
      <c r="W117" s="10">
        <f>IFERROR(__xludf.DUMMYFUNCTION("""COMPUTED_VALUE"""),-1.2982244530027307)</f>
        <v>-1.298224453</v>
      </c>
      <c r="X117" s="9"/>
      <c r="Y117" s="9"/>
      <c r="Z117" s="9"/>
    </row>
    <row r="118">
      <c r="A118" s="9" t="str">
        <f>IFERROR(__xludf.DUMMYFUNCTION("""COMPUTED_VALUE"""),"Thalita Lopes")</f>
        <v>Thalita Lopes</v>
      </c>
      <c r="B118" s="9"/>
      <c r="C118" s="11">
        <f>IFERROR(__xludf.DUMMYFUNCTION("""COMPUTED_VALUE"""),12.0)</f>
        <v>12</v>
      </c>
      <c r="D118" s="9"/>
      <c r="E118" s="9"/>
      <c r="F118" s="9"/>
      <c r="G118" s="10">
        <f>IFERROR(__xludf.DUMMYFUNCTION("""COMPUTED_VALUE"""),1.0)</f>
        <v>1</v>
      </c>
      <c r="H118" s="9"/>
      <c r="I118" s="9"/>
      <c r="J118" s="11">
        <f>IFERROR(__xludf.DUMMYFUNCTION("""COMPUTED_VALUE"""),12.0)</f>
        <v>12</v>
      </c>
      <c r="K118" s="9"/>
      <c r="L118" s="9"/>
      <c r="M118" s="9"/>
      <c r="N118" s="10">
        <f>IFERROR(__xludf.DUMMYFUNCTION("""COMPUTED_VALUE"""),0.5)</f>
        <v>0.5</v>
      </c>
      <c r="O118" s="9"/>
      <c r="P118" s="9"/>
      <c r="Q118" s="11">
        <f>IFERROR(__xludf.DUMMYFUNCTION("""COMPUTED_VALUE"""),6.0)</f>
        <v>6</v>
      </c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 t="str">
        <f>IFERROR(__xludf.DUMMYFUNCTION("""COMPUTED_VALUE"""),"Ilson Costa Lima")</f>
        <v>Ilson Costa Lima</v>
      </c>
      <c r="B119" s="9"/>
      <c r="C119" s="11">
        <f>IFERROR(__xludf.DUMMYFUNCTION("""COMPUTED_VALUE"""),8.0)</f>
        <v>8</v>
      </c>
      <c r="D119" s="9"/>
      <c r="E119" s="9"/>
      <c r="F119" s="9"/>
      <c r="G119" s="10">
        <f>IFERROR(__xludf.DUMMYFUNCTION("""COMPUTED_VALUE"""),0.875)</f>
        <v>0.875</v>
      </c>
      <c r="H119" s="9"/>
      <c r="I119" s="9"/>
      <c r="J119" s="11">
        <f>IFERROR(__xludf.DUMMYFUNCTION("""COMPUTED_VALUE"""),7.0)</f>
        <v>7</v>
      </c>
      <c r="K119" s="9"/>
      <c r="L119" s="9"/>
      <c r="M119" s="9"/>
      <c r="N119" s="10">
        <f>IFERROR(__xludf.DUMMYFUNCTION("""COMPUTED_VALUE"""),0.5714285714285714)</f>
        <v>0.5714285714</v>
      </c>
      <c r="O119" s="9"/>
      <c r="P119" s="9"/>
      <c r="Q119" s="11">
        <f>IFERROR(__xludf.DUMMYFUNCTION("""COMPUTED_VALUE"""),4.0)</f>
        <v>4</v>
      </c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 t="str">
        <f>IFERROR(__xludf.DUMMYFUNCTION("""COMPUTED_VALUE"""),"Felipe Maximo")</f>
        <v>Felipe Maximo</v>
      </c>
      <c r="B120" s="9"/>
      <c r="C120" s="11">
        <f>IFERROR(__xludf.DUMMYFUNCTION("""COMPUTED_VALUE"""),9.0)</f>
        <v>9</v>
      </c>
      <c r="D120" s="9"/>
      <c r="E120" s="9"/>
      <c r="F120" s="9"/>
      <c r="G120" s="10">
        <f>IFERROR(__xludf.DUMMYFUNCTION("""COMPUTED_VALUE"""),0.7777777777777778)</f>
        <v>0.7777777778</v>
      </c>
      <c r="H120" s="9"/>
      <c r="I120" s="9"/>
      <c r="J120" s="11">
        <f>IFERROR(__xludf.DUMMYFUNCTION("""COMPUTED_VALUE"""),7.0)</f>
        <v>7</v>
      </c>
      <c r="K120" s="9"/>
      <c r="L120" s="9"/>
      <c r="M120" s="9"/>
      <c r="N120" s="10">
        <f>IFERROR(__xludf.DUMMYFUNCTION("""COMPUTED_VALUE"""),0.5714285714285714)</f>
        <v>0.5714285714</v>
      </c>
      <c r="O120" s="9"/>
      <c r="P120" s="9"/>
      <c r="Q120" s="11">
        <f>IFERROR(__xludf.DUMMYFUNCTION("""COMPUTED_VALUE"""),4.0)</f>
        <v>4</v>
      </c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 t="str">
        <f>IFERROR(__xludf.DUMMYFUNCTION("""COMPUTED_VALUE"""),"Gustavo Pereira")</f>
        <v>Gustavo Pereira</v>
      </c>
      <c r="B121" s="9"/>
      <c r="C121" s="11">
        <f>IFERROR(__xludf.DUMMYFUNCTION("""COMPUTED_VALUE"""),12.0)</f>
        <v>12</v>
      </c>
      <c r="D121" s="9"/>
      <c r="E121" s="9"/>
      <c r="F121" s="9"/>
      <c r="G121" s="10">
        <f>IFERROR(__xludf.DUMMYFUNCTION("""COMPUTED_VALUE"""),0.4166666666666667)</f>
        <v>0.4166666667</v>
      </c>
      <c r="H121" s="9"/>
      <c r="I121" s="9"/>
      <c r="J121" s="11">
        <f>IFERROR(__xludf.DUMMYFUNCTION("""COMPUTED_VALUE"""),5.0)</f>
        <v>5</v>
      </c>
      <c r="K121" s="9"/>
      <c r="L121" s="9"/>
      <c r="M121" s="9"/>
      <c r="N121" s="10">
        <f>IFERROR(__xludf.DUMMYFUNCTION("""COMPUTED_VALUE"""),0.4)</f>
        <v>0.4</v>
      </c>
      <c r="O121" s="9"/>
      <c r="P121" s="9"/>
      <c r="Q121" s="11">
        <f>IFERROR(__xludf.DUMMYFUNCTION("""COMPUTED_VALUE"""),2.0)</f>
        <v>2</v>
      </c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 t="str">
        <f>IFERROR(__xludf.DUMMYFUNCTION("""COMPUTED_VALUE"""),"João Rios")</f>
        <v>João Rios</v>
      </c>
      <c r="B122" s="9"/>
      <c r="C122" s="11">
        <f>IFERROR(__xludf.DUMMYFUNCTION("""COMPUTED_VALUE"""),13.0)</f>
        <v>13</v>
      </c>
      <c r="D122" s="9"/>
      <c r="E122" s="9"/>
      <c r="F122" s="9"/>
      <c r="G122" s="10">
        <f>IFERROR(__xludf.DUMMYFUNCTION("""COMPUTED_VALUE"""),0.6153846153846154)</f>
        <v>0.6153846154</v>
      </c>
      <c r="H122" s="9"/>
      <c r="I122" s="9"/>
      <c r="J122" s="11">
        <f>IFERROR(__xludf.DUMMYFUNCTION("""COMPUTED_VALUE"""),8.0)</f>
        <v>8</v>
      </c>
      <c r="K122" s="9"/>
      <c r="L122" s="9"/>
      <c r="M122" s="9"/>
      <c r="N122" s="10">
        <f>IFERROR(__xludf.DUMMYFUNCTION("""COMPUTED_VALUE"""),0.25)</f>
        <v>0.25</v>
      </c>
      <c r="O122" s="9"/>
      <c r="P122" s="9"/>
      <c r="Q122" s="11">
        <f>IFERROR(__xludf.DUMMYFUNCTION("""COMPUTED_VALUE"""),2.0)</f>
        <v>2</v>
      </c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 t="str">
        <f>IFERROR(__xludf.DUMMYFUNCTION("""COMPUTED_VALUE"""),"Mylena Reis")</f>
        <v>Mylena Reis</v>
      </c>
      <c r="B123" s="9"/>
      <c r="C123" s="11">
        <f>IFERROR(__xludf.DUMMYFUNCTION("""COMPUTED_VALUE"""),8.0)</f>
        <v>8</v>
      </c>
      <c r="D123" s="9"/>
      <c r="E123" s="9"/>
      <c r="F123" s="9"/>
      <c r="G123" s="10">
        <f>IFERROR(__xludf.DUMMYFUNCTION("""COMPUTED_VALUE"""),1.125)</f>
        <v>1.125</v>
      </c>
      <c r="H123" s="9"/>
      <c r="I123" s="9"/>
      <c r="J123" s="11">
        <f>IFERROR(__xludf.DUMMYFUNCTION("""COMPUTED_VALUE"""),9.0)</f>
        <v>9</v>
      </c>
      <c r="K123" s="9"/>
      <c r="L123" s="9"/>
      <c r="M123" s="9"/>
      <c r="N123" s="10">
        <f>IFERROR(__xludf.DUMMYFUNCTION("""COMPUTED_VALUE"""),0.2222222222222222)</f>
        <v>0.2222222222</v>
      </c>
      <c r="O123" s="9"/>
      <c r="P123" s="9"/>
      <c r="Q123" s="11">
        <f>IFERROR(__xludf.DUMMYFUNCTION("""COMPUTED_VALUE"""),2.0)</f>
        <v>2</v>
      </c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 t="str">
        <f>IFERROR(__xludf.DUMMYFUNCTION("""COMPUTED_VALUE"""),"Mariana Jovenato")</f>
        <v>Mariana Jovenato</v>
      </c>
      <c r="B124" s="9"/>
      <c r="C124" s="11">
        <f>IFERROR(__xludf.DUMMYFUNCTION("""COMPUTED_VALUE"""),10.0)</f>
        <v>10</v>
      </c>
      <c r="D124" s="9"/>
      <c r="E124" s="9"/>
      <c r="F124" s="9"/>
      <c r="G124" s="10">
        <f>IFERROR(__xludf.DUMMYFUNCTION("""COMPUTED_VALUE"""),0.7)</f>
        <v>0.7</v>
      </c>
      <c r="H124" s="9"/>
      <c r="I124" s="9"/>
      <c r="J124" s="11">
        <f>IFERROR(__xludf.DUMMYFUNCTION("""COMPUTED_VALUE"""),7.0)</f>
        <v>7</v>
      </c>
      <c r="K124" s="9"/>
      <c r="L124" s="9"/>
      <c r="M124" s="9"/>
      <c r="N124" s="10">
        <f>IFERROR(__xludf.DUMMYFUNCTION("""COMPUTED_VALUE"""),0.14285714285714285)</f>
        <v>0.1428571429</v>
      </c>
      <c r="O124" s="9"/>
      <c r="P124" s="9"/>
      <c r="Q124" s="11">
        <f>IFERROR(__xludf.DUMMYFUNCTION("""COMPUTED_VALUE"""),1.0)</f>
        <v>1</v>
      </c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 t="str">
        <f>IFERROR(__xludf.DUMMYFUNCTION("""COMPUTED_VALUE"""),"Marcio Lucas")</f>
        <v>Marcio Lucas</v>
      </c>
      <c r="B125" s="9"/>
      <c r="C125" s="11">
        <f>IFERROR(__xludf.DUMMYFUNCTION("""COMPUTED_VALUE"""),12.0)</f>
        <v>12</v>
      </c>
      <c r="D125" s="9"/>
      <c r="E125" s="9"/>
      <c r="F125" s="9"/>
      <c r="G125" s="10">
        <f>IFERROR(__xludf.DUMMYFUNCTION("""COMPUTED_VALUE"""),0.75)</f>
        <v>0.75</v>
      </c>
      <c r="H125" s="9"/>
      <c r="I125" s="9"/>
      <c r="J125" s="11">
        <f>IFERROR(__xludf.DUMMYFUNCTION("""COMPUTED_VALUE"""),9.0)</f>
        <v>9</v>
      </c>
      <c r="K125" s="9"/>
      <c r="L125" s="9"/>
      <c r="M125" s="9"/>
      <c r="N125" s="10">
        <f>IFERROR(__xludf.DUMMYFUNCTION("""COMPUTED_VALUE"""),0.1111111111111111)</f>
        <v>0.1111111111</v>
      </c>
      <c r="O125" s="9"/>
      <c r="P125" s="9"/>
      <c r="Q125" s="11">
        <f>IFERROR(__xludf.DUMMYFUNCTION("""COMPUTED_VALUE"""),1.0)</f>
        <v>1</v>
      </c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 t="str">
        <f>IFERROR(__xludf.DUMMYFUNCTION("""COMPUTED_VALUE"""),"João Vitor Nascimento")</f>
        <v>João Vitor Nascimento</v>
      </c>
      <c r="B126" s="9"/>
      <c r="C126" s="11">
        <f>IFERROR(__xludf.DUMMYFUNCTION("""COMPUTED_VALUE"""),1.0)</f>
        <v>1</v>
      </c>
      <c r="D126" s="9"/>
      <c r="E126" s="9"/>
      <c r="F126" s="9"/>
      <c r="G126" s="10">
        <f>IFERROR(__xludf.DUMMYFUNCTION("""COMPUTED_VALUE"""),1.0)</f>
        <v>1</v>
      </c>
      <c r="H126" s="9"/>
      <c r="I126" s="9"/>
      <c r="J126" s="11">
        <f>IFERROR(__xludf.DUMMYFUNCTION("""COMPUTED_VALUE"""),1.0)</f>
        <v>1</v>
      </c>
      <c r="K126" s="9"/>
      <c r="L126" s="9"/>
      <c r="M126" s="9"/>
      <c r="N126" s="10">
        <f>IFERROR(__xludf.DUMMYFUNCTION("""COMPUTED_VALUE"""),0.0)</f>
        <v>0</v>
      </c>
      <c r="O126" s="9"/>
      <c r="P126" s="9"/>
      <c r="Q126" s="11">
        <f>IFERROR(__xludf.DUMMYFUNCTION("""COMPUTED_VALUE"""),0.0)</f>
        <v>0</v>
      </c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 t="str">
        <f>IFERROR(__xludf.DUMMYFUNCTION("""COMPUTED_VALUE"""),"Izabelle Lopes")</f>
        <v>Izabelle Lopes</v>
      </c>
      <c r="B127" s="9"/>
      <c r="C127" s="11">
        <f>IFERROR(__xludf.DUMMYFUNCTION("""COMPUTED_VALUE"""),2.0)</f>
        <v>2</v>
      </c>
      <c r="D127" s="9"/>
      <c r="E127" s="9"/>
      <c r="F127" s="9"/>
      <c r="G127" s="10">
        <f>IFERROR(__xludf.DUMMYFUNCTION("""COMPUTED_VALUE"""),0.5)</f>
        <v>0.5</v>
      </c>
      <c r="H127" s="9"/>
      <c r="I127" s="9"/>
      <c r="J127" s="11">
        <f>IFERROR(__xludf.DUMMYFUNCTION("""COMPUTED_VALUE"""),1.0)</f>
        <v>1</v>
      </c>
      <c r="K127" s="9"/>
      <c r="L127" s="9"/>
      <c r="M127" s="9"/>
      <c r="N127" s="10">
        <f>IFERROR(__xludf.DUMMYFUNCTION("""COMPUTED_VALUE"""),0.0)</f>
        <v>0</v>
      </c>
      <c r="O127" s="9"/>
      <c r="P127" s="9"/>
      <c r="Q127" s="11">
        <f>IFERROR(__xludf.DUMMYFUNCTION("""COMPUTED_VALUE"""),0.0)</f>
        <v>0</v>
      </c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 t="str">
        <f>IFERROR(__xludf.DUMMYFUNCTION("""COMPUTED_VALUE"""),"Cauã Andrade")</f>
        <v>Cauã Andrade</v>
      </c>
      <c r="B128" s="9"/>
      <c r="C128" s="11">
        <f>IFERROR(__xludf.DUMMYFUNCTION("""COMPUTED_VALUE"""),8.0)</f>
        <v>8</v>
      </c>
      <c r="D128" s="9"/>
      <c r="E128" s="9"/>
      <c r="F128" s="9"/>
      <c r="G128" s="10">
        <f>IFERROR(__xludf.DUMMYFUNCTION("""COMPUTED_VALUE"""),0.75)</f>
        <v>0.75</v>
      </c>
      <c r="H128" s="9"/>
      <c r="I128" s="9"/>
      <c r="J128" s="11">
        <f>IFERROR(__xludf.DUMMYFUNCTION("""COMPUTED_VALUE"""),6.0)</f>
        <v>6</v>
      </c>
      <c r="K128" s="9"/>
      <c r="L128" s="9"/>
      <c r="M128" s="9"/>
      <c r="N128" s="10">
        <f>IFERROR(__xludf.DUMMYFUNCTION("""COMPUTED_VALUE"""),0.0)</f>
        <v>0</v>
      </c>
      <c r="O128" s="9"/>
      <c r="P128" s="9"/>
      <c r="Q128" s="11">
        <f>IFERROR(__xludf.DUMMYFUNCTION("""COMPUTED_VALUE"""),0.0)</f>
        <v>0</v>
      </c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 t="str">
        <f>IFERROR(__xludf.DUMMYFUNCTION("""COMPUTED_VALUE"""),"[CM] Form G4 - Outros")</f>
        <v>[CM] Form G4 - Outros</v>
      </c>
      <c r="B129" s="11">
        <f>IFERROR(__xludf.DUMMYFUNCTION("""COMPUTED_VALUE"""),46.335483870967714)</f>
        <v>46.33548387</v>
      </c>
      <c r="C129" s="11">
        <f>IFERROR(__xludf.DUMMYFUNCTION("""COMPUTED_VALUE"""),56.0)</f>
        <v>56</v>
      </c>
      <c r="D129" s="11">
        <f>IFERROR(__xludf.DUMMYFUNCTION("""COMPUTED_VALUE"""),9.664516129032286)</f>
        <v>9.664516129</v>
      </c>
      <c r="E129" s="10">
        <f>IFERROR(__xludf.DUMMYFUNCTION("""COMPUTED_VALUE"""),0.208576998050683)</f>
        <v>0.2085769981</v>
      </c>
      <c r="F129" s="10">
        <f>IFERROR(__xludf.DUMMYFUNCTION("""COMPUTED_VALUE"""),0.7000000000000001)</f>
        <v>0.7</v>
      </c>
      <c r="G129" s="10">
        <f>IFERROR(__xludf.DUMMYFUNCTION("""COMPUTED_VALUE"""),0.5357142857142857)</f>
        <v>0.5357142857</v>
      </c>
      <c r="H129" s="35">
        <f>IFERROR(__xludf.DUMMYFUNCTION("""COMPUTED_VALUE"""),-16.428571428571438)</f>
        <v>-16.42857143</v>
      </c>
      <c r="I129" s="11">
        <f>IFERROR(__xludf.DUMMYFUNCTION("""COMPUTED_VALUE"""),32.4348387096774)</f>
        <v>32.43483871</v>
      </c>
      <c r="J129" s="11">
        <f>IFERROR(__xludf.DUMMYFUNCTION("""COMPUTED_VALUE"""),30.0)</f>
        <v>30</v>
      </c>
      <c r="K129" s="11">
        <f>IFERROR(__xludf.DUMMYFUNCTION("""COMPUTED_VALUE"""),-2.4348387096774005)</f>
        <v>-2.43483871</v>
      </c>
      <c r="L129" s="10">
        <f>IFERROR(__xludf.DUMMYFUNCTION("""COMPUTED_VALUE"""),-0.07506862394080385)</f>
        <v>-0.07506862394</v>
      </c>
      <c r="M129" s="10">
        <f>IFERROR(__xludf.DUMMYFUNCTION("""COMPUTED_VALUE"""),0.2571851851851854)</f>
        <v>0.2571851852</v>
      </c>
      <c r="N129" s="10">
        <f>IFERROR(__xludf.DUMMYFUNCTION("""COMPUTED_VALUE"""),0.4)</f>
        <v>0.4</v>
      </c>
      <c r="O129" s="35">
        <f>IFERROR(__xludf.DUMMYFUNCTION("""COMPUTED_VALUE"""),14.281481481481462)</f>
        <v>14.28148148</v>
      </c>
      <c r="P129" s="11">
        <f>IFERROR(__xludf.DUMMYFUNCTION("""COMPUTED_VALUE"""),8.341760000000003)</f>
        <v>8.34176</v>
      </c>
      <c r="Q129" s="11">
        <f>IFERROR(__xludf.DUMMYFUNCTION("""COMPUTED_VALUE"""),12.0)</f>
        <v>12</v>
      </c>
      <c r="R129" s="11">
        <f>IFERROR(__xludf.DUMMYFUNCTION("""COMPUTED_VALUE"""),3.6582399999999975)</f>
        <v>3.65824</v>
      </c>
      <c r="S129" s="10">
        <f>IFERROR(__xludf.DUMMYFUNCTION("""COMPUTED_VALUE"""),0.4385453429492093)</f>
        <v>0.4385453429</v>
      </c>
      <c r="T129" s="11">
        <f>IFERROR(__xludf.DUMMYFUNCTION("""COMPUTED_VALUE"""),68012.45472000001)</f>
        <v>68012.45472</v>
      </c>
      <c r="U129" s="36">
        <f>IFERROR(__xludf.DUMMYFUNCTION("""COMPUTED_VALUE"""),8400.0)</f>
        <v>8400</v>
      </c>
      <c r="V129" s="36">
        <f>IFERROR(__xludf.DUMMYFUNCTION("""COMPUTED_VALUE"""),-20452.645161290166)</f>
        <v>-20452.64516</v>
      </c>
      <c r="W129" s="10">
        <f>IFERROR(__xludf.DUMMYFUNCTION("""COMPUTED_VALUE"""),-0.3007191145429394)</f>
        <v>-0.3007191145</v>
      </c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1">
        <f>IFERROR(__xludf.DUMMYFUNCTION("""COMPUTED_VALUE"""),7.0)</f>
        <v>7</v>
      </c>
      <c r="D130" s="9"/>
      <c r="E130" s="9"/>
      <c r="F130" s="9"/>
      <c r="G130" s="10">
        <f>IFERROR(__xludf.DUMMYFUNCTION("""COMPUTED_VALUE"""),0.5714285714285714)</f>
        <v>0.5714285714</v>
      </c>
      <c r="H130" s="9"/>
      <c r="I130" s="9"/>
      <c r="J130" s="11">
        <f>IFERROR(__xludf.DUMMYFUNCTION("""COMPUTED_VALUE"""),4.0)</f>
        <v>4</v>
      </c>
      <c r="K130" s="9"/>
      <c r="L130" s="9"/>
      <c r="M130" s="9"/>
      <c r="N130" s="10">
        <f>IFERROR(__xludf.DUMMYFUNCTION("""COMPUTED_VALUE"""),0.75)</f>
        <v>0.75</v>
      </c>
      <c r="O130" s="9"/>
      <c r="P130" s="9"/>
      <c r="Q130" s="11">
        <f>IFERROR(__xludf.DUMMYFUNCTION("""COMPUTED_VALUE"""),3.0)</f>
        <v>3</v>
      </c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 t="str">
        <f>IFERROR(__xludf.DUMMYFUNCTION("""COMPUTED_VALUE"""),"Marcio Lucas")</f>
        <v>Marcio Lucas</v>
      </c>
      <c r="B131" s="9"/>
      <c r="C131" s="11">
        <f>IFERROR(__xludf.DUMMYFUNCTION("""COMPUTED_VALUE"""),6.0)</f>
        <v>6</v>
      </c>
      <c r="D131" s="9"/>
      <c r="E131" s="9"/>
      <c r="F131" s="9"/>
      <c r="G131" s="10">
        <f>IFERROR(__xludf.DUMMYFUNCTION("""COMPUTED_VALUE"""),1.0)</f>
        <v>1</v>
      </c>
      <c r="H131" s="9"/>
      <c r="I131" s="9"/>
      <c r="J131" s="11">
        <f>IFERROR(__xludf.DUMMYFUNCTION("""COMPUTED_VALUE"""),6.0)</f>
        <v>6</v>
      </c>
      <c r="K131" s="9"/>
      <c r="L131" s="9"/>
      <c r="M131" s="9"/>
      <c r="N131" s="10">
        <f>IFERROR(__xludf.DUMMYFUNCTION("""COMPUTED_VALUE"""),0.3333333333333333)</f>
        <v>0.3333333333</v>
      </c>
      <c r="O131" s="9"/>
      <c r="P131" s="9"/>
      <c r="Q131" s="11">
        <f>IFERROR(__xludf.DUMMYFUNCTION("""COMPUTED_VALUE"""),2.0)</f>
        <v>2</v>
      </c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 t="str">
        <f>IFERROR(__xludf.DUMMYFUNCTION("""COMPUTED_VALUE"""),"João Vitor Nascimento")</f>
        <v>João Vitor Nascimento</v>
      </c>
      <c r="B132" s="9"/>
      <c r="C132" s="11">
        <f>IFERROR(__xludf.DUMMYFUNCTION("""COMPUTED_VALUE"""),2.0)</f>
        <v>2</v>
      </c>
      <c r="D132" s="9"/>
      <c r="E132" s="9"/>
      <c r="F132" s="9"/>
      <c r="G132" s="10">
        <f>IFERROR(__xludf.DUMMYFUNCTION("""COMPUTED_VALUE"""),0.5)</f>
        <v>0.5</v>
      </c>
      <c r="H132" s="9"/>
      <c r="I132" s="9"/>
      <c r="J132" s="11">
        <f>IFERROR(__xludf.DUMMYFUNCTION("""COMPUTED_VALUE"""),1.0)</f>
        <v>1</v>
      </c>
      <c r="K132" s="9"/>
      <c r="L132" s="9"/>
      <c r="M132" s="9"/>
      <c r="N132" s="10">
        <f>IFERROR(__xludf.DUMMYFUNCTION("""COMPUTED_VALUE"""),1.0)</f>
        <v>1</v>
      </c>
      <c r="O132" s="9"/>
      <c r="P132" s="9"/>
      <c r="Q132" s="11">
        <f>IFERROR(__xludf.DUMMYFUNCTION("""COMPUTED_VALUE"""),1.0)</f>
        <v>1</v>
      </c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 t="str">
        <f>IFERROR(__xludf.DUMMYFUNCTION("""COMPUTED_VALUE"""),"Felipe Maximo")</f>
        <v>Felipe Maximo</v>
      </c>
      <c r="B133" s="9"/>
      <c r="C133" s="11">
        <f>IFERROR(__xludf.DUMMYFUNCTION("""COMPUTED_VALUE"""),5.0)</f>
        <v>5</v>
      </c>
      <c r="D133" s="9"/>
      <c r="E133" s="9"/>
      <c r="F133" s="9"/>
      <c r="G133" s="10">
        <f>IFERROR(__xludf.DUMMYFUNCTION("""COMPUTED_VALUE"""),0.2)</f>
        <v>0.2</v>
      </c>
      <c r="H133" s="9"/>
      <c r="I133" s="9"/>
      <c r="J133" s="11">
        <f>IFERROR(__xludf.DUMMYFUNCTION("""COMPUTED_VALUE"""),1.0)</f>
        <v>1</v>
      </c>
      <c r="K133" s="9"/>
      <c r="L133" s="9"/>
      <c r="M133" s="9"/>
      <c r="N133" s="10">
        <f>IFERROR(__xludf.DUMMYFUNCTION("""COMPUTED_VALUE"""),1.0)</f>
        <v>1</v>
      </c>
      <c r="O133" s="9"/>
      <c r="P133" s="9"/>
      <c r="Q133" s="11">
        <f>IFERROR(__xludf.DUMMYFUNCTION("""COMPUTED_VALUE"""),1.0)</f>
        <v>1</v>
      </c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 t="str">
        <f>IFERROR(__xludf.DUMMYFUNCTION("""COMPUTED_VALUE"""),"Mylena Reis")</f>
        <v>Mylena Reis</v>
      </c>
      <c r="B134" s="9"/>
      <c r="C134" s="11">
        <f>IFERROR(__xludf.DUMMYFUNCTION("""COMPUTED_VALUE"""),4.0)</f>
        <v>4</v>
      </c>
      <c r="D134" s="9"/>
      <c r="E134" s="9"/>
      <c r="F134" s="9"/>
      <c r="G134" s="10">
        <f>IFERROR(__xludf.DUMMYFUNCTION("""COMPUTED_VALUE"""),0.5)</f>
        <v>0.5</v>
      </c>
      <c r="H134" s="9"/>
      <c r="I134" s="9"/>
      <c r="J134" s="11">
        <f>IFERROR(__xludf.DUMMYFUNCTION("""COMPUTED_VALUE"""),2.0)</f>
        <v>2</v>
      </c>
      <c r="K134" s="9"/>
      <c r="L134" s="9"/>
      <c r="M134" s="9"/>
      <c r="N134" s="10">
        <f>IFERROR(__xludf.DUMMYFUNCTION("""COMPUTED_VALUE"""),0.5)</f>
        <v>0.5</v>
      </c>
      <c r="O134" s="9"/>
      <c r="P134" s="9"/>
      <c r="Q134" s="11">
        <f>IFERROR(__xludf.DUMMYFUNCTION("""COMPUTED_VALUE"""),1.0)</f>
        <v>1</v>
      </c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 t="str">
        <f>IFERROR(__xludf.DUMMYFUNCTION("""COMPUTED_VALUE"""),"João Rios")</f>
        <v>João Rios</v>
      </c>
      <c r="B135" s="9"/>
      <c r="C135" s="11">
        <f>IFERROR(__xludf.DUMMYFUNCTION("""COMPUTED_VALUE"""),7.0)</f>
        <v>7</v>
      </c>
      <c r="D135" s="9"/>
      <c r="E135" s="9"/>
      <c r="F135" s="9"/>
      <c r="G135" s="10">
        <f>IFERROR(__xludf.DUMMYFUNCTION("""COMPUTED_VALUE"""),0.42857142857142855)</f>
        <v>0.4285714286</v>
      </c>
      <c r="H135" s="9"/>
      <c r="I135" s="9"/>
      <c r="J135" s="11">
        <f>IFERROR(__xludf.DUMMYFUNCTION("""COMPUTED_VALUE"""),3.0)</f>
        <v>3</v>
      </c>
      <c r="K135" s="9"/>
      <c r="L135" s="9"/>
      <c r="M135" s="9"/>
      <c r="N135" s="10">
        <f>IFERROR(__xludf.DUMMYFUNCTION("""COMPUTED_VALUE"""),0.3333333333333333)</f>
        <v>0.3333333333</v>
      </c>
      <c r="O135" s="9"/>
      <c r="P135" s="9"/>
      <c r="Q135" s="11">
        <f>IFERROR(__xludf.DUMMYFUNCTION("""COMPUTED_VALUE"""),1.0)</f>
        <v>1</v>
      </c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 t="str">
        <f>IFERROR(__xludf.DUMMYFUNCTION("""COMPUTED_VALUE"""),"Gustavo Pereira")</f>
        <v>Gustavo Pereira</v>
      </c>
      <c r="B136" s="9"/>
      <c r="C136" s="11">
        <f>IFERROR(__xludf.DUMMYFUNCTION("""COMPUTED_VALUE"""),6.0)</f>
        <v>6</v>
      </c>
      <c r="D136" s="9"/>
      <c r="E136" s="9"/>
      <c r="F136" s="9"/>
      <c r="G136" s="10">
        <f>IFERROR(__xludf.DUMMYFUNCTION("""COMPUTED_VALUE"""),0.5)</f>
        <v>0.5</v>
      </c>
      <c r="H136" s="9"/>
      <c r="I136" s="9"/>
      <c r="J136" s="11">
        <f>IFERROR(__xludf.DUMMYFUNCTION("""COMPUTED_VALUE"""),3.0)</f>
        <v>3</v>
      </c>
      <c r="K136" s="9"/>
      <c r="L136" s="9"/>
      <c r="M136" s="9"/>
      <c r="N136" s="10">
        <f>IFERROR(__xludf.DUMMYFUNCTION("""COMPUTED_VALUE"""),0.3333333333333333)</f>
        <v>0.3333333333</v>
      </c>
      <c r="O136" s="9"/>
      <c r="P136" s="9"/>
      <c r="Q136" s="11">
        <f>IFERROR(__xludf.DUMMYFUNCTION("""COMPUTED_VALUE"""),1.0)</f>
        <v>1</v>
      </c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 t="str">
        <f>IFERROR(__xludf.DUMMYFUNCTION("""COMPUTED_VALUE"""),"Ilson Costa Lima")</f>
        <v>Ilson Costa Lima</v>
      </c>
      <c r="B137" s="9"/>
      <c r="C137" s="11">
        <f>IFERROR(__xludf.DUMMYFUNCTION("""COMPUTED_VALUE"""),6.0)</f>
        <v>6</v>
      </c>
      <c r="D137" s="9"/>
      <c r="E137" s="9"/>
      <c r="F137" s="9"/>
      <c r="G137" s="10">
        <f>IFERROR(__xludf.DUMMYFUNCTION("""COMPUTED_VALUE"""),0.6666666666666666)</f>
        <v>0.6666666667</v>
      </c>
      <c r="H137" s="9"/>
      <c r="I137" s="9"/>
      <c r="J137" s="11">
        <f>IFERROR(__xludf.DUMMYFUNCTION("""COMPUTED_VALUE"""),4.0)</f>
        <v>4</v>
      </c>
      <c r="K137" s="9"/>
      <c r="L137" s="9"/>
      <c r="M137" s="9"/>
      <c r="N137" s="10">
        <f>IFERROR(__xludf.DUMMYFUNCTION("""COMPUTED_VALUE"""),0.25)</f>
        <v>0.25</v>
      </c>
      <c r="O137" s="9"/>
      <c r="P137" s="9"/>
      <c r="Q137" s="11">
        <f>IFERROR(__xludf.DUMMYFUNCTION("""COMPUTED_VALUE"""),1.0)</f>
        <v>1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IFERROR(__xludf.DUMMYFUNCTION("""COMPUTED_VALUE"""),"Cauã Andrade")</f>
        <v>Cauã Andrade</v>
      </c>
      <c r="B138" s="9"/>
      <c r="C138" s="11">
        <f>IFERROR(__xludf.DUMMYFUNCTION("""COMPUTED_VALUE"""),6.0)</f>
        <v>6</v>
      </c>
      <c r="D138" s="9"/>
      <c r="E138" s="9"/>
      <c r="F138" s="9"/>
      <c r="G138" s="10">
        <f>IFERROR(__xludf.DUMMYFUNCTION("""COMPUTED_VALUE"""),0.6666666666666666)</f>
        <v>0.6666666667</v>
      </c>
      <c r="H138" s="9"/>
      <c r="I138" s="9"/>
      <c r="J138" s="11">
        <f>IFERROR(__xludf.DUMMYFUNCTION("""COMPUTED_VALUE"""),4.0)</f>
        <v>4</v>
      </c>
      <c r="K138" s="9"/>
      <c r="L138" s="9"/>
      <c r="M138" s="9"/>
      <c r="N138" s="10">
        <f>IFERROR(__xludf.DUMMYFUNCTION("""COMPUTED_VALUE"""),0.25)</f>
        <v>0.25</v>
      </c>
      <c r="O138" s="9"/>
      <c r="P138" s="9"/>
      <c r="Q138" s="11">
        <f>IFERROR(__xludf.DUMMYFUNCTION("""COMPUTED_VALUE"""),1.0)</f>
        <v>1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IFERROR(__xludf.DUMMYFUNCTION("""COMPUTED_VALUE"""),"Thalita Lopes")</f>
        <v>Thalita Lopes</v>
      </c>
      <c r="B139" s="9"/>
      <c r="C139" s="11">
        <f>IFERROR(__xludf.DUMMYFUNCTION("""COMPUTED_VALUE"""),7.0)</f>
        <v>7</v>
      </c>
      <c r="D139" s="9"/>
      <c r="E139" s="9"/>
      <c r="F139" s="9"/>
      <c r="G139" s="10">
        <f>IFERROR(__xludf.DUMMYFUNCTION("""COMPUTED_VALUE"""),0.14285714285714285)</f>
        <v>0.1428571429</v>
      </c>
      <c r="H139" s="9"/>
      <c r="I139" s="9"/>
      <c r="J139" s="11">
        <f>IFERROR(__xludf.DUMMYFUNCTION("""COMPUTED_VALUE"""),1.0)</f>
        <v>1</v>
      </c>
      <c r="K139" s="9"/>
      <c r="L139" s="9"/>
      <c r="M139" s="9"/>
      <c r="N139" s="10">
        <f>IFERROR(__xludf.DUMMYFUNCTION("""COMPUTED_VALUE"""),0.0)</f>
        <v>0</v>
      </c>
      <c r="O139" s="9"/>
      <c r="P139" s="9"/>
      <c r="Q139" s="11">
        <f>IFERROR(__xludf.DUMMYFUNCTION("""COMPUTED_VALUE"""),0.0)</f>
        <v>0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 t="str">
        <f>IFERROR(__xludf.DUMMYFUNCTION("""COMPUTED_VALUE"""),"MQL Meta")</f>
        <v>MQL Meta</v>
      </c>
      <c r="C225" s="9" t="str">
        <f>IFERROR(__xludf.DUMMYFUNCTION("""COMPUTED_VALUE"""),"SAL Meta")</f>
        <v>SAL Meta</v>
      </c>
      <c r="D225" s="9" t="str">
        <f>IFERROR(__xludf.DUMMYFUNCTION("""COMPUTED_VALUE"""),"Opp Meta")</f>
        <v>Opp Meta</v>
      </c>
      <c r="E225" s="9" t="str">
        <f>IFERROR(__xludf.DUMMYFUNCTION("""COMPUTED_VALUE"""),"MQL Meta Diarizado")</f>
        <v>MQL Meta Diarizado</v>
      </c>
      <c r="F225" s="9" t="str">
        <f>IFERROR(__xludf.DUMMYFUNCTION("""COMPUTED_VALUE"""),"SAL Meta Diarizado")</f>
        <v>SAL Meta Diarizado</v>
      </c>
      <c r="G225" s="9" t="str">
        <f>IFERROR(__xludf.DUMMYFUNCTION("""COMPUTED_VALUE"""),"Opp Meta Diarizado")</f>
        <v>Opp Meta Diarizado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11">
        <f>IFERROR(__xludf.DUMMYFUNCTION("""COMPUTED_VALUE"""),750.0)</f>
        <v>750</v>
      </c>
      <c r="C226" s="34">
        <f>IFERROR(__xludf.DUMMYFUNCTION("""COMPUTED_VALUE"""),623.0)</f>
        <v>623</v>
      </c>
      <c r="D226" s="34">
        <f>IFERROR(__xludf.DUMMYFUNCTION("""COMPUTED_VALUE"""),168.0)</f>
        <v>168</v>
      </c>
      <c r="E226" s="34">
        <f>IFERROR(__xludf.DUMMYFUNCTION("""COMPUTED_VALUE"""),653.2258064516125)</f>
        <v>653.2258065</v>
      </c>
      <c r="F226" s="34">
        <f>IFERROR(__xludf.DUMMYFUNCTION("""COMPUTED_VALUE"""),542.6129032258061)</f>
        <v>542.6129032</v>
      </c>
      <c r="G226" s="34">
        <f>IFERROR(__xludf.DUMMYFUNCTION("""COMPUTED_VALUE"""),134.40000000000003)</f>
        <v>134.4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11">
        <f>IFERROR(__xludf.DUMMYFUNCTION("""COMPUTED_VALUE"""),31.0)</f>
        <v>31</v>
      </c>
      <c r="C227" s="34">
        <f>IFERROR(__xludf.DUMMYFUNCTION("""COMPUTED_VALUE"""),31.0)</f>
        <v>31</v>
      </c>
      <c r="D227" s="34">
        <f>IFERROR(__xludf.DUMMYFUNCTION("""COMPUTED_VALUE"""),11.0)</f>
        <v>11</v>
      </c>
      <c r="E227" s="34">
        <f>IFERROR(__xludf.DUMMYFUNCTION("""COMPUTED_VALUE"""),26.999999999999982)</f>
        <v>27</v>
      </c>
      <c r="F227" s="34">
        <f>IFERROR(__xludf.DUMMYFUNCTION("""COMPUTED_VALUE"""),26.999999999999982)</f>
        <v>27</v>
      </c>
      <c r="G227" s="34">
        <f>IFERROR(__xludf.DUMMYFUNCTION("""COMPUTED_VALUE"""),8.800000000000002)</f>
        <v>8.8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11">
        <f>IFERROR(__xludf.DUMMYFUNCTION("""COMPUTED_VALUE"""),1975.0)</f>
        <v>1975</v>
      </c>
      <c r="C228" s="34">
        <f>IFERROR(__xludf.DUMMYFUNCTION("""COMPUTED_VALUE"""),1514.0)</f>
        <v>1514</v>
      </c>
      <c r="D228" s="34">
        <f>IFERROR(__xludf.DUMMYFUNCTION("""COMPUTED_VALUE"""),529.0)</f>
        <v>529</v>
      </c>
      <c r="E228" s="34">
        <f>IFERROR(__xludf.DUMMYFUNCTION("""COMPUTED_VALUE"""),1720.1612903225796)</f>
        <v>1720.16129</v>
      </c>
      <c r="F228" s="34">
        <f>IFERROR(__xludf.DUMMYFUNCTION("""COMPUTED_VALUE"""),1318.6451612903218)</f>
        <v>1318.645161</v>
      </c>
      <c r="G228" s="34">
        <f>IFERROR(__xludf.DUMMYFUNCTION("""COMPUTED_VALUE"""),423.2000000000001)</f>
        <v>423.2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11">
        <f>IFERROR(__xludf.DUMMYFUNCTION("""COMPUTED_VALUE"""),1237.0)</f>
        <v>1237</v>
      </c>
      <c r="C229" s="34">
        <f>IFERROR(__xludf.DUMMYFUNCTION("""COMPUTED_VALUE"""),970.0)</f>
        <v>970</v>
      </c>
      <c r="D229" s="34">
        <f>IFERROR(__xludf.DUMMYFUNCTION("""COMPUTED_VALUE"""),344.0)</f>
        <v>344</v>
      </c>
      <c r="E229" s="34">
        <f>IFERROR(__xludf.DUMMYFUNCTION("""COMPUTED_VALUE"""),1077.387096774193)</f>
        <v>1077.387097</v>
      </c>
      <c r="F229" s="34">
        <f>IFERROR(__xludf.DUMMYFUNCTION("""COMPUTED_VALUE"""),844.8387096774188)</f>
        <v>844.8387097</v>
      </c>
      <c r="G229" s="34">
        <f>IFERROR(__xludf.DUMMYFUNCTION("""COMPUTED_VALUE"""),275.20000000000005)</f>
        <v>275.2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11">
        <f>IFERROR(__xludf.DUMMYFUNCTION("""COMPUTED_VALUE"""),362.0)</f>
        <v>362</v>
      </c>
      <c r="C230" s="34">
        <f>IFERROR(__xludf.DUMMYFUNCTION("""COMPUTED_VALUE"""),276.0)</f>
        <v>276</v>
      </c>
      <c r="D230" s="34">
        <f>IFERROR(__xludf.DUMMYFUNCTION("""COMPUTED_VALUE"""),85.0)</f>
        <v>85</v>
      </c>
      <c r="E230" s="34">
        <f>IFERROR(__xludf.DUMMYFUNCTION("""COMPUTED_VALUE"""),315.29032258064495)</f>
        <v>315.2903226</v>
      </c>
      <c r="F230" s="34">
        <f>IFERROR(__xludf.DUMMYFUNCTION("""COMPUTED_VALUE"""),240.3870967741934)</f>
        <v>240.3870968</v>
      </c>
      <c r="G230" s="34">
        <f>IFERROR(__xludf.DUMMYFUNCTION("""COMPUTED_VALUE"""),68.00000000000001)</f>
        <v>68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11">
        <f>IFERROR(__xludf.DUMMYFUNCTION("""COMPUTED_VALUE"""),280.0)</f>
        <v>280</v>
      </c>
      <c r="C231" s="34">
        <f>IFERROR(__xludf.DUMMYFUNCTION("""COMPUTED_VALUE"""),205.0)</f>
        <v>205</v>
      </c>
      <c r="D231" s="34">
        <f>IFERROR(__xludf.DUMMYFUNCTION("""COMPUTED_VALUE"""),80.0)</f>
        <v>80</v>
      </c>
      <c r="E231" s="34">
        <f>IFERROR(__xludf.DUMMYFUNCTION("""COMPUTED_VALUE"""),243.87096774193532)</f>
        <v>243.8709677</v>
      </c>
      <c r="F231" s="34">
        <f>IFERROR(__xludf.DUMMYFUNCTION("""COMPUTED_VALUE"""),178.5483870967741)</f>
        <v>178.5483871</v>
      </c>
      <c r="G231" s="34">
        <f>IFERROR(__xludf.DUMMYFUNCTION("""COMPUTED_VALUE"""),64.00000000000001)</f>
        <v>64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11">
        <f>IFERROR(__xludf.DUMMYFUNCTION("""COMPUTED_VALUE"""),96.0)</f>
        <v>96</v>
      </c>
      <c r="C232" s="34">
        <f>IFERROR(__xludf.DUMMYFUNCTION("""COMPUTED_VALUE"""),63.0)</f>
        <v>63</v>
      </c>
      <c r="D232" s="34">
        <f>IFERROR(__xludf.DUMMYFUNCTION("""COMPUTED_VALUE"""),20.0)</f>
        <v>20</v>
      </c>
      <c r="E232" s="34">
        <f>IFERROR(__xludf.DUMMYFUNCTION("""COMPUTED_VALUE"""),83.6129032258064)</f>
        <v>83.61290323</v>
      </c>
      <c r="F232" s="34">
        <f>IFERROR(__xludf.DUMMYFUNCTION("""COMPUTED_VALUE"""),54.87096774193545)</f>
        <v>54.87096774</v>
      </c>
      <c r="G232" s="34">
        <f>IFERROR(__xludf.DUMMYFUNCTION("""COMPUTED_VALUE"""),16.000000000000004)</f>
        <v>16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1">
        <f>IFERROR(__xludf.DUMMYFUNCTION("""COMPUTED_VALUE"""),2456.0)</f>
        <v>2456</v>
      </c>
      <c r="C233" s="34">
        <f>IFERROR(__xludf.DUMMYFUNCTION("""COMPUTED_VALUE"""),1647.0)</f>
        <v>1647</v>
      </c>
      <c r="D233" s="34">
        <f>IFERROR(__xludf.DUMMYFUNCTION("""COMPUTED_VALUE"""),564.0)</f>
        <v>564</v>
      </c>
      <c r="E233" s="34">
        <f>IFERROR(__xludf.DUMMYFUNCTION("""COMPUTED_VALUE"""),2139.096774193547)</f>
        <v>2139.096774</v>
      </c>
      <c r="F233" s="34">
        <f>IFERROR(__xludf.DUMMYFUNCTION("""COMPUTED_VALUE"""),1434.483870967741)</f>
        <v>1434.483871</v>
      </c>
      <c r="G233" s="34">
        <f>IFERROR(__xludf.DUMMYFUNCTION("""COMPUTED_VALUE"""),451.2000000000001)</f>
        <v>451.2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1">
        <f>IFERROR(__xludf.DUMMYFUNCTION("""COMPUTED_VALUE"""),371.0)</f>
        <v>371</v>
      </c>
      <c r="C234" s="34">
        <f>IFERROR(__xludf.DUMMYFUNCTION("""COMPUTED_VALUE"""),299.0)</f>
        <v>299</v>
      </c>
      <c r="D234" s="34">
        <f>IFERROR(__xludf.DUMMYFUNCTION("""COMPUTED_VALUE"""),102.0)</f>
        <v>102</v>
      </c>
      <c r="E234" s="34">
        <f>IFERROR(__xludf.DUMMYFUNCTION("""COMPUTED_VALUE"""),323.1290322580643)</f>
        <v>323.1290323</v>
      </c>
      <c r="F234" s="34">
        <f>IFERROR(__xludf.DUMMYFUNCTION("""COMPUTED_VALUE"""),260.4193548387095)</f>
        <v>260.4193548</v>
      </c>
      <c r="G234" s="34">
        <f>IFERROR(__xludf.DUMMYFUNCTION("""COMPUTED_VALUE"""),81.60000000000002)</f>
        <v>81.6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1">
        <f>IFERROR(__xludf.DUMMYFUNCTION("""COMPUTED_VALUE"""),360.0)</f>
        <v>360</v>
      </c>
      <c r="C235" s="34">
        <f>IFERROR(__xludf.DUMMYFUNCTION("""COMPUTED_VALUE"""),254.0)</f>
        <v>254</v>
      </c>
      <c r="D235" s="34">
        <f>IFERROR(__xludf.DUMMYFUNCTION("""COMPUTED_VALUE"""),58.0)</f>
        <v>58</v>
      </c>
      <c r="E235" s="34">
        <f>IFERROR(__xludf.DUMMYFUNCTION("""COMPUTED_VALUE"""),313.548387096774)</f>
        <v>313.5483871</v>
      </c>
      <c r="F235" s="34">
        <f>IFERROR(__xludf.DUMMYFUNCTION("""COMPUTED_VALUE"""),221.22580645161275)</f>
        <v>221.2258065</v>
      </c>
      <c r="G235" s="34">
        <f>IFERROR(__xludf.DUMMYFUNCTION("""COMPUTED_VALUE"""),46.400000000000006)</f>
        <v>46.4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1">
        <f>IFERROR(__xludf.DUMMYFUNCTION("""COMPUTED_VALUE"""),221.0)</f>
        <v>221</v>
      </c>
      <c r="C236" s="34">
        <f>IFERROR(__xludf.DUMMYFUNCTION("""COMPUTED_VALUE"""),118.0)</f>
        <v>118</v>
      </c>
      <c r="D236" s="34">
        <f>IFERROR(__xludf.DUMMYFUNCTION("""COMPUTED_VALUE"""),36.0)</f>
        <v>36</v>
      </c>
      <c r="E236" s="34">
        <f>IFERROR(__xludf.DUMMYFUNCTION("""COMPUTED_VALUE"""),192.4838709677418)</f>
        <v>192.483871</v>
      </c>
      <c r="F236" s="34">
        <f>IFERROR(__xludf.DUMMYFUNCTION("""COMPUTED_VALUE"""),102.77419354838703)</f>
        <v>102.7741935</v>
      </c>
      <c r="G236" s="34">
        <f>IFERROR(__xludf.DUMMYFUNCTION("""COMPUTED_VALUE"""),28.800000000000004)</f>
        <v>28.8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1">
        <f>IFERROR(__xludf.DUMMYFUNCTION("""COMPUTED_VALUE"""),1440.0)</f>
        <v>1440</v>
      </c>
      <c r="C237" s="34">
        <f>IFERROR(__xludf.DUMMYFUNCTION("""COMPUTED_VALUE"""),934.0)</f>
        <v>934</v>
      </c>
      <c r="D237" s="34">
        <f>IFERROR(__xludf.DUMMYFUNCTION("""COMPUTED_VALUE"""),355.0)</f>
        <v>355</v>
      </c>
      <c r="E237" s="34">
        <f>IFERROR(__xludf.DUMMYFUNCTION("""COMPUTED_VALUE"""),1254.193548387096)</f>
        <v>1254.193548</v>
      </c>
      <c r="F237" s="34">
        <f>IFERROR(__xludf.DUMMYFUNCTION("""COMPUTED_VALUE"""),813.4838709677414)</f>
        <v>813.483871</v>
      </c>
      <c r="G237" s="34">
        <f>IFERROR(__xludf.DUMMYFUNCTION("""COMPUTED_VALUE"""),284.00000000000006)</f>
        <v>284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1">
        <f>IFERROR(__xludf.DUMMYFUNCTION("""COMPUTED_VALUE"""),64.0)</f>
        <v>64</v>
      </c>
      <c r="C238" s="34">
        <f>IFERROR(__xludf.DUMMYFUNCTION("""COMPUTED_VALUE"""),42.0)</f>
        <v>42</v>
      </c>
      <c r="D238" s="34">
        <f>IFERROR(__xludf.DUMMYFUNCTION("""COMPUTED_VALUE"""),13.0)</f>
        <v>13</v>
      </c>
      <c r="E238" s="34">
        <f>IFERROR(__xludf.DUMMYFUNCTION("""COMPUTED_VALUE"""),55.74193548387093)</f>
        <v>55.74193548</v>
      </c>
      <c r="F238" s="34">
        <f>IFERROR(__xludf.DUMMYFUNCTION("""COMPUTED_VALUE"""),36.5806451612903)</f>
        <v>36.58064516</v>
      </c>
      <c r="G238" s="34">
        <f>IFERROR(__xludf.DUMMYFUNCTION("""COMPUTED_VALUE"""),10.400000000000002)</f>
        <v>10.4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128</v>
      </c>
      <c r="B1" s="1" t="s">
        <v>129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130</v>
      </c>
      <c r="B1" s="4" t="s">
        <v>131</v>
      </c>
      <c r="C1" s="4" t="s">
        <v>132</v>
      </c>
    </row>
    <row r="2">
      <c r="A2" s="4" t="s">
        <v>133</v>
      </c>
      <c r="B2" s="4" t="s">
        <v>134</v>
      </c>
      <c r="C2" s="8">
        <v>88.0</v>
      </c>
    </row>
    <row r="3">
      <c r="A3" s="4"/>
      <c r="B3" s="4" t="s">
        <v>135</v>
      </c>
      <c r="C3" s="8">
        <v>26.0</v>
      </c>
    </row>
    <row r="4">
      <c r="A4" s="4" t="s">
        <v>136</v>
      </c>
      <c r="B4" s="4" t="s">
        <v>134</v>
      </c>
      <c r="C4" s="8">
        <v>147.0</v>
      </c>
    </row>
    <row r="5">
      <c r="A5" s="4"/>
      <c r="B5" s="4" t="s">
        <v>135</v>
      </c>
      <c r="C5" s="8">
        <v>80.0</v>
      </c>
    </row>
    <row r="6">
      <c r="A6" s="4" t="s">
        <v>137</v>
      </c>
      <c r="B6" s="4" t="s">
        <v>134</v>
      </c>
      <c r="C6" s="8">
        <v>9.0</v>
      </c>
    </row>
    <row r="7">
      <c r="A7" s="4"/>
      <c r="B7" s="4" t="s">
        <v>135</v>
      </c>
      <c r="C7" s="8">
        <v>1.0</v>
      </c>
    </row>
    <row r="8">
      <c r="A8" s="4" t="s">
        <v>138</v>
      </c>
      <c r="B8" s="4" t="s">
        <v>134</v>
      </c>
      <c r="C8" s="8">
        <v>47.0</v>
      </c>
    </row>
    <row r="9">
      <c r="A9" s="4"/>
      <c r="B9" s="4" t="s">
        <v>135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7" t="s">
        <v>139</v>
      </c>
    </row>
    <row r="2">
      <c r="A2" s="38" t="s">
        <v>140</v>
      </c>
      <c r="B2" s="38" t="s">
        <v>141</v>
      </c>
      <c r="C2" s="38" t="s">
        <v>142</v>
      </c>
      <c r="D2" s="38" t="s">
        <v>143</v>
      </c>
    </row>
    <row r="3">
      <c r="A3" s="39" t="s">
        <v>144</v>
      </c>
      <c r="B3" s="39"/>
      <c r="C3" s="39"/>
      <c r="D3" s="39"/>
    </row>
    <row r="4">
      <c r="A4" s="39" t="s">
        <v>145</v>
      </c>
      <c r="B4" s="39" t="s">
        <v>146</v>
      </c>
      <c r="C4" s="39" t="s">
        <v>147</v>
      </c>
      <c r="D4" s="39" t="s">
        <v>148</v>
      </c>
    </row>
    <row r="5">
      <c r="A5" s="39" t="s">
        <v>149</v>
      </c>
      <c r="B5" s="39" t="s">
        <v>146</v>
      </c>
      <c r="C5" s="39" t="s">
        <v>150</v>
      </c>
      <c r="D5" s="39" t="s">
        <v>148</v>
      </c>
    </row>
    <row r="6">
      <c r="A6" s="39" t="s">
        <v>151</v>
      </c>
      <c r="B6" s="39" t="s">
        <v>146</v>
      </c>
      <c r="C6" s="39" t="s">
        <v>152</v>
      </c>
      <c r="D6" s="39" t="s">
        <v>148</v>
      </c>
    </row>
    <row r="7">
      <c r="A7" s="39" t="s">
        <v>153</v>
      </c>
      <c r="B7" s="39" t="s">
        <v>146</v>
      </c>
      <c r="C7" s="39" t="s">
        <v>154</v>
      </c>
      <c r="D7" s="39" t="s">
        <v>148</v>
      </c>
    </row>
    <row r="8">
      <c r="A8" s="39" t="s">
        <v>155</v>
      </c>
      <c r="B8" s="39" t="s">
        <v>146</v>
      </c>
      <c r="C8" s="39" t="s">
        <v>156</v>
      </c>
      <c r="D8" s="39" t="s">
        <v>148</v>
      </c>
    </row>
    <row r="9">
      <c r="A9" s="39" t="s">
        <v>157</v>
      </c>
      <c r="B9" s="39" t="s">
        <v>146</v>
      </c>
      <c r="C9" s="39" t="s">
        <v>158</v>
      </c>
      <c r="D9" s="39" t="s">
        <v>148</v>
      </c>
    </row>
    <row r="10">
      <c r="A10" s="39" t="s">
        <v>159</v>
      </c>
      <c r="B10" s="39" t="s">
        <v>146</v>
      </c>
      <c r="C10" s="39" t="s">
        <v>160</v>
      </c>
      <c r="D10" s="39" t="s">
        <v>148</v>
      </c>
    </row>
    <row r="11">
      <c r="A11" s="39" t="s">
        <v>161</v>
      </c>
      <c r="B11" s="39" t="s">
        <v>146</v>
      </c>
      <c r="C11" s="39" t="s">
        <v>162</v>
      </c>
      <c r="D11" s="39" t="s">
        <v>148</v>
      </c>
    </row>
    <row r="12">
      <c r="A12" s="39" t="s">
        <v>163</v>
      </c>
      <c r="B12" s="39" t="s">
        <v>146</v>
      </c>
      <c r="C12" s="39" t="s">
        <v>164</v>
      </c>
      <c r="D12" s="39" t="s">
        <v>148</v>
      </c>
    </row>
    <row r="13">
      <c r="A13" s="39" t="s">
        <v>165</v>
      </c>
      <c r="B13" s="39" t="s">
        <v>146</v>
      </c>
      <c r="C13" s="39" t="s">
        <v>166</v>
      </c>
      <c r="D13" s="39" t="s">
        <v>148</v>
      </c>
    </row>
    <row r="14">
      <c r="A14" s="39" t="s">
        <v>167</v>
      </c>
      <c r="B14" s="39" t="s">
        <v>146</v>
      </c>
      <c r="C14" s="39" t="s">
        <v>168</v>
      </c>
      <c r="D14" s="39" t="s">
        <v>148</v>
      </c>
    </row>
    <row r="15">
      <c r="A15" s="39" t="s">
        <v>169</v>
      </c>
      <c r="B15" s="39" t="s">
        <v>146</v>
      </c>
      <c r="C15" s="39" t="s">
        <v>170</v>
      </c>
      <c r="D15" s="39"/>
    </row>
    <row r="16">
      <c r="A16" s="39" t="s">
        <v>171</v>
      </c>
      <c r="B16" s="39" t="s">
        <v>146</v>
      </c>
      <c r="C16" s="39" t="s">
        <v>147</v>
      </c>
      <c r="D16" s="39" t="s">
        <v>172</v>
      </c>
    </row>
    <row r="17">
      <c r="A17" s="39" t="s">
        <v>173</v>
      </c>
      <c r="B17" s="39" t="s">
        <v>146</v>
      </c>
      <c r="C17" s="39" t="s">
        <v>150</v>
      </c>
      <c r="D17" s="39" t="s">
        <v>172</v>
      </c>
    </row>
    <row r="18">
      <c r="A18" s="39" t="s">
        <v>174</v>
      </c>
      <c r="B18" s="39" t="s">
        <v>146</v>
      </c>
      <c r="C18" s="39" t="s">
        <v>152</v>
      </c>
      <c r="D18" s="39" t="s">
        <v>172</v>
      </c>
    </row>
    <row r="19">
      <c r="A19" s="39" t="s">
        <v>175</v>
      </c>
      <c r="B19" s="39" t="s">
        <v>146</v>
      </c>
      <c r="C19" s="39" t="s">
        <v>154</v>
      </c>
      <c r="D19" s="39" t="s">
        <v>172</v>
      </c>
    </row>
    <row r="20">
      <c r="A20" s="39" t="s">
        <v>176</v>
      </c>
      <c r="B20" s="39" t="s">
        <v>146</v>
      </c>
      <c r="C20" s="39" t="s">
        <v>156</v>
      </c>
      <c r="D20" s="39" t="s">
        <v>172</v>
      </c>
    </row>
    <row r="21">
      <c r="A21" s="39" t="s">
        <v>177</v>
      </c>
      <c r="B21" s="39" t="s">
        <v>146</v>
      </c>
      <c r="C21" s="39" t="s">
        <v>158</v>
      </c>
      <c r="D21" s="39" t="s">
        <v>172</v>
      </c>
    </row>
    <row r="22">
      <c r="A22" s="39" t="s">
        <v>178</v>
      </c>
      <c r="B22" s="39" t="s">
        <v>146</v>
      </c>
      <c r="C22" s="39" t="s">
        <v>160</v>
      </c>
      <c r="D22" s="39" t="s">
        <v>172</v>
      </c>
    </row>
    <row r="23">
      <c r="A23" s="39" t="s">
        <v>179</v>
      </c>
      <c r="B23" s="39" t="s">
        <v>146</v>
      </c>
      <c r="C23" s="39" t="s">
        <v>162</v>
      </c>
      <c r="D23" s="39" t="s">
        <v>172</v>
      </c>
    </row>
    <row r="24">
      <c r="A24" s="39" t="s">
        <v>180</v>
      </c>
      <c r="B24" s="39" t="s">
        <v>146</v>
      </c>
      <c r="C24" s="39" t="s">
        <v>164</v>
      </c>
      <c r="D24" s="39" t="s">
        <v>172</v>
      </c>
    </row>
    <row r="25">
      <c r="A25" s="39" t="s">
        <v>181</v>
      </c>
      <c r="B25" s="39" t="s">
        <v>146</v>
      </c>
      <c r="C25" s="39" t="s">
        <v>166</v>
      </c>
      <c r="D25" s="39" t="s">
        <v>172</v>
      </c>
    </row>
    <row r="26">
      <c r="A26" s="39" t="s">
        <v>182</v>
      </c>
      <c r="B26" s="39" t="s">
        <v>146</v>
      </c>
      <c r="C26" s="39" t="s">
        <v>168</v>
      </c>
      <c r="D26" s="39" t="s">
        <v>172</v>
      </c>
    </row>
    <row r="27">
      <c r="A27" s="39" t="s">
        <v>183</v>
      </c>
      <c r="B27" s="39" t="s">
        <v>146</v>
      </c>
      <c r="C27" s="39" t="s">
        <v>147</v>
      </c>
      <c r="D27" s="39" t="s">
        <v>184</v>
      </c>
    </row>
    <row r="28">
      <c r="A28" s="39" t="s">
        <v>185</v>
      </c>
      <c r="B28" s="39" t="s">
        <v>146</v>
      </c>
      <c r="C28" s="39" t="s">
        <v>150</v>
      </c>
      <c r="D28" s="39" t="s">
        <v>184</v>
      </c>
    </row>
    <row r="29">
      <c r="A29" s="39" t="s">
        <v>186</v>
      </c>
      <c r="B29" s="39" t="s">
        <v>146</v>
      </c>
      <c r="C29" s="39" t="s">
        <v>152</v>
      </c>
      <c r="D29" s="39" t="s">
        <v>184</v>
      </c>
    </row>
    <row r="30">
      <c r="A30" s="39" t="s">
        <v>187</v>
      </c>
      <c r="B30" s="39" t="s">
        <v>146</v>
      </c>
      <c r="C30" s="39" t="s">
        <v>154</v>
      </c>
      <c r="D30" s="39" t="s">
        <v>184</v>
      </c>
    </row>
    <row r="31">
      <c r="A31" s="39" t="s">
        <v>188</v>
      </c>
      <c r="B31" s="39" t="s">
        <v>146</v>
      </c>
      <c r="C31" s="39" t="s">
        <v>156</v>
      </c>
      <c r="D31" s="39" t="s">
        <v>184</v>
      </c>
    </row>
    <row r="32">
      <c r="A32" s="39" t="s">
        <v>189</v>
      </c>
      <c r="B32" s="39" t="s">
        <v>146</v>
      </c>
      <c r="C32" s="39" t="s">
        <v>158</v>
      </c>
      <c r="D32" s="39" t="s">
        <v>184</v>
      </c>
    </row>
    <row r="33">
      <c r="A33" s="39" t="s">
        <v>190</v>
      </c>
      <c r="B33" s="39" t="s">
        <v>146</v>
      </c>
      <c r="C33" s="39" t="s">
        <v>160</v>
      </c>
      <c r="D33" s="39" t="s">
        <v>184</v>
      </c>
    </row>
    <row r="34">
      <c r="A34" s="39" t="s">
        <v>191</v>
      </c>
      <c r="B34" s="39" t="s">
        <v>146</v>
      </c>
      <c r="C34" s="39" t="s">
        <v>162</v>
      </c>
      <c r="D34" s="39" t="s">
        <v>184</v>
      </c>
    </row>
    <row r="35">
      <c r="A35" s="39" t="s">
        <v>192</v>
      </c>
      <c r="B35" s="39" t="s">
        <v>146</v>
      </c>
      <c r="C35" s="39" t="s">
        <v>164</v>
      </c>
      <c r="D35" s="39" t="s">
        <v>184</v>
      </c>
    </row>
    <row r="36">
      <c r="A36" s="39" t="s">
        <v>193</v>
      </c>
      <c r="B36" s="39" t="s">
        <v>146</v>
      </c>
      <c r="C36" s="39" t="s">
        <v>166</v>
      </c>
      <c r="D36" s="39" t="s">
        <v>184</v>
      </c>
    </row>
    <row r="37">
      <c r="A37" s="39" t="s">
        <v>194</v>
      </c>
      <c r="B37" s="39" t="s">
        <v>146</v>
      </c>
      <c r="C37" s="39" t="s">
        <v>168</v>
      </c>
      <c r="D37" s="39" t="s">
        <v>184</v>
      </c>
    </row>
    <row r="38">
      <c r="A38" s="39" t="s">
        <v>195</v>
      </c>
      <c r="B38" s="39"/>
      <c r="C38" s="39"/>
      <c r="D38" s="39"/>
    </row>
    <row r="39">
      <c r="A39" s="39" t="s">
        <v>196</v>
      </c>
      <c r="B39" s="39" t="s">
        <v>146</v>
      </c>
      <c r="C39" s="39" t="s">
        <v>197</v>
      </c>
      <c r="D39" s="39" t="s">
        <v>198</v>
      </c>
    </row>
    <row r="40">
      <c r="A40" s="39" t="s">
        <v>199</v>
      </c>
      <c r="B40" s="39" t="s">
        <v>146</v>
      </c>
      <c r="C40" s="39" t="s">
        <v>197</v>
      </c>
      <c r="D40" s="39" t="s">
        <v>200</v>
      </c>
    </row>
    <row r="41">
      <c r="A41" s="39" t="s">
        <v>201</v>
      </c>
      <c r="B41" s="39" t="s">
        <v>146</v>
      </c>
      <c r="C41" s="39" t="s">
        <v>197</v>
      </c>
      <c r="D41" s="39" t="s">
        <v>202</v>
      </c>
    </row>
    <row r="42">
      <c r="A42" s="39" t="s">
        <v>203</v>
      </c>
      <c r="B42" s="39" t="s">
        <v>146</v>
      </c>
      <c r="C42" s="39" t="s">
        <v>197</v>
      </c>
      <c r="D42" s="39" t="s">
        <v>204</v>
      </c>
    </row>
    <row r="43">
      <c r="A43" s="39" t="s">
        <v>205</v>
      </c>
      <c r="B43" s="39" t="s">
        <v>146</v>
      </c>
      <c r="C43" s="39" t="s">
        <v>197</v>
      </c>
      <c r="D43" s="39" t="s">
        <v>206</v>
      </c>
    </row>
    <row r="44">
      <c r="A44" s="39" t="s">
        <v>207</v>
      </c>
      <c r="B44" s="39" t="s">
        <v>146</v>
      </c>
      <c r="C44" s="39" t="s">
        <v>170</v>
      </c>
      <c r="D44" s="39" t="s">
        <v>208</v>
      </c>
    </row>
    <row r="45">
      <c r="A45" s="39" t="s">
        <v>209</v>
      </c>
      <c r="B45" s="39" t="s">
        <v>146</v>
      </c>
      <c r="C45" s="39" t="s">
        <v>197</v>
      </c>
      <c r="D45" s="39" t="s">
        <v>210</v>
      </c>
    </row>
    <row r="46">
      <c r="A46" s="39" t="s">
        <v>211</v>
      </c>
      <c r="B46" s="39" t="s">
        <v>146</v>
      </c>
      <c r="C46" s="39" t="s">
        <v>197</v>
      </c>
      <c r="D46" s="39" t="s">
        <v>212</v>
      </c>
    </row>
    <row r="47">
      <c r="A47" s="39" t="s">
        <v>213</v>
      </c>
      <c r="B47" s="39" t="s">
        <v>146</v>
      </c>
      <c r="C47" s="39" t="s">
        <v>197</v>
      </c>
      <c r="D47" s="39" t="s">
        <v>214</v>
      </c>
    </row>
    <row r="48">
      <c r="A48" s="39" t="s">
        <v>215</v>
      </c>
      <c r="B48" s="39" t="s">
        <v>146</v>
      </c>
      <c r="C48" s="39" t="s">
        <v>197</v>
      </c>
      <c r="D48" s="39" t="s">
        <v>216</v>
      </c>
    </row>
    <row r="49">
      <c r="A49" s="39" t="s">
        <v>217</v>
      </c>
      <c r="B49" s="39" t="s">
        <v>146</v>
      </c>
      <c r="C49" s="39" t="s">
        <v>197</v>
      </c>
      <c r="D49" s="39" t="s">
        <v>218</v>
      </c>
    </row>
    <row r="50">
      <c r="A50" s="39" t="s">
        <v>219</v>
      </c>
      <c r="B50" s="39" t="s">
        <v>146</v>
      </c>
      <c r="C50" s="39" t="s">
        <v>197</v>
      </c>
      <c r="D50" s="39" t="s">
        <v>220</v>
      </c>
    </row>
    <row r="51">
      <c r="A51" s="39" t="s">
        <v>221</v>
      </c>
      <c r="B51" s="39" t="s">
        <v>146</v>
      </c>
      <c r="C51" s="39" t="s">
        <v>197</v>
      </c>
      <c r="D51" s="39" t="s">
        <v>222</v>
      </c>
    </row>
    <row r="52">
      <c r="A52" s="39" t="s">
        <v>223</v>
      </c>
      <c r="B52" s="39" t="s">
        <v>146</v>
      </c>
      <c r="C52" s="39" t="s">
        <v>197</v>
      </c>
      <c r="D52" s="39" t="s">
        <v>224</v>
      </c>
    </row>
    <row r="53">
      <c r="A53" s="39" t="s">
        <v>225</v>
      </c>
      <c r="B53" s="39" t="s">
        <v>146</v>
      </c>
      <c r="C53" s="39" t="s">
        <v>197</v>
      </c>
      <c r="D53" s="39" t="s">
        <v>226</v>
      </c>
    </row>
    <row r="54">
      <c r="A54" s="39" t="s">
        <v>130</v>
      </c>
      <c r="B54" s="39" t="s">
        <v>146</v>
      </c>
      <c r="C54" s="39" t="s">
        <v>197</v>
      </c>
      <c r="D54" s="39" t="s">
        <v>227</v>
      </c>
    </row>
    <row r="55">
      <c r="A55" s="39" t="s">
        <v>228</v>
      </c>
      <c r="B55" s="39" t="s">
        <v>146</v>
      </c>
      <c r="C55" s="39" t="s">
        <v>197</v>
      </c>
      <c r="D55" s="39" t="s">
        <v>229</v>
      </c>
    </row>
    <row r="56">
      <c r="A56" s="39" t="s">
        <v>230</v>
      </c>
      <c r="B56" s="39" t="s">
        <v>146</v>
      </c>
      <c r="C56" s="39" t="s">
        <v>197</v>
      </c>
      <c r="D56" s="39" t="s">
        <v>231</v>
      </c>
    </row>
    <row r="57">
      <c r="A57" s="39" t="s">
        <v>232</v>
      </c>
      <c r="B57" s="39" t="s">
        <v>146</v>
      </c>
      <c r="C57" s="39" t="s">
        <v>197</v>
      </c>
      <c r="D57" s="39" t="s">
        <v>233</v>
      </c>
    </row>
    <row r="58">
      <c r="A58" s="39" t="s">
        <v>234</v>
      </c>
      <c r="B58" s="39" t="s">
        <v>146</v>
      </c>
      <c r="C58" s="39" t="s">
        <v>170</v>
      </c>
      <c r="D58" s="39" t="s">
        <v>235</v>
      </c>
    </row>
    <row r="59">
      <c r="A59" s="39" t="s">
        <v>236</v>
      </c>
      <c r="B59" s="39" t="s">
        <v>146</v>
      </c>
      <c r="C59" s="39" t="s">
        <v>197</v>
      </c>
      <c r="D59" s="39" t="s">
        <v>237</v>
      </c>
    </row>
    <row r="60">
      <c r="A60" s="39" t="s">
        <v>238</v>
      </c>
      <c r="B60" s="39" t="s">
        <v>146</v>
      </c>
      <c r="C60" s="39" t="s">
        <v>197</v>
      </c>
      <c r="D60" s="39" t="s">
        <v>239</v>
      </c>
    </row>
    <row r="61">
      <c r="A61" s="39" t="s">
        <v>240</v>
      </c>
      <c r="B61" s="39" t="s">
        <v>146</v>
      </c>
      <c r="C61" s="39" t="s">
        <v>197</v>
      </c>
      <c r="D61" s="39" t="s">
        <v>241</v>
      </c>
    </row>
    <row r="62">
      <c r="A62" s="39" t="s">
        <v>242</v>
      </c>
      <c r="B62" s="39" t="s">
        <v>146</v>
      </c>
      <c r="C62" s="39" t="s">
        <v>197</v>
      </c>
      <c r="D62" s="39" t="s">
        <v>243</v>
      </c>
    </row>
    <row r="63">
      <c r="A63" s="39" t="s">
        <v>244</v>
      </c>
      <c r="B63" s="39" t="s">
        <v>146</v>
      </c>
      <c r="C63" s="39" t="s">
        <v>197</v>
      </c>
      <c r="D63" s="39" t="s">
        <v>245</v>
      </c>
    </row>
    <row r="64">
      <c r="A64" s="39" t="s">
        <v>246</v>
      </c>
      <c r="B64" s="39" t="s">
        <v>146</v>
      </c>
      <c r="C64" s="39" t="s">
        <v>197</v>
      </c>
      <c r="D64" s="39" t="s">
        <v>247</v>
      </c>
    </row>
    <row r="65">
      <c r="A65" s="39" t="s">
        <v>248</v>
      </c>
      <c r="B65" s="39" t="s">
        <v>146</v>
      </c>
      <c r="C65" s="39" t="s">
        <v>249</v>
      </c>
      <c r="D65" s="39" t="s">
        <v>250</v>
      </c>
    </row>
    <row r="66">
      <c r="A66" s="39" t="s">
        <v>251</v>
      </c>
      <c r="B66" s="39" t="s">
        <v>146</v>
      </c>
      <c r="C66" s="39" t="s">
        <v>197</v>
      </c>
      <c r="D66" s="39" t="s">
        <v>252</v>
      </c>
    </row>
    <row r="67">
      <c r="A67" s="39" t="s">
        <v>253</v>
      </c>
      <c r="B67" s="39" t="s">
        <v>146</v>
      </c>
      <c r="C67" s="39" t="s">
        <v>197</v>
      </c>
      <c r="D67" s="39" t="s">
        <v>254</v>
      </c>
    </row>
    <row r="68">
      <c r="A68" s="39" t="s">
        <v>255</v>
      </c>
      <c r="B68" s="39" t="s">
        <v>146</v>
      </c>
      <c r="C68" s="39" t="s">
        <v>249</v>
      </c>
      <c r="D68" s="39"/>
    </row>
    <row r="69">
      <c r="A69" s="39" t="s">
        <v>256</v>
      </c>
      <c r="B69" s="39" t="s">
        <v>146</v>
      </c>
      <c r="C69" s="39" t="s">
        <v>170</v>
      </c>
      <c r="D69" s="39" t="s">
        <v>257</v>
      </c>
    </row>
    <row r="70">
      <c r="A70" s="39" t="s">
        <v>258</v>
      </c>
      <c r="B70" s="39" t="s">
        <v>146</v>
      </c>
      <c r="C70" s="39" t="s">
        <v>197</v>
      </c>
      <c r="D70" s="39" t="s">
        <v>259</v>
      </c>
    </row>
    <row r="71">
      <c r="A71" s="39" t="s">
        <v>260</v>
      </c>
      <c r="B71" s="39" t="s">
        <v>146</v>
      </c>
      <c r="C71" s="39" t="s">
        <v>197</v>
      </c>
      <c r="D71" s="39" t="s">
        <v>261</v>
      </c>
    </row>
    <row r="72">
      <c r="A72" s="39" t="s">
        <v>262</v>
      </c>
      <c r="B72" s="39" t="s">
        <v>146</v>
      </c>
      <c r="C72" s="39" t="s">
        <v>197</v>
      </c>
      <c r="D72" s="39" t="s">
        <v>263</v>
      </c>
    </row>
    <row r="73">
      <c r="A73" s="39" t="s">
        <v>264</v>
      </c>
      <c r="B73" s="39" t="s">
        <v>146</v>
      </c>
      <c r="C73" s="39" t="s">
        <v>197</v>
      </c>
      <c r="D73" s="39" t="s">
        <v>265</v>
      </c>
    </row>
    <row r="74">
      <c r="A74" s="39" t="s">
        <v>266</v>
      </c>
      <c r="B74" s="39" t="s">
        <v>146</v>
      </c>
      <c r="C74" s="39" t="s">
        <v>197</v>
      </c>
      <c r="D74" s="39" t="s">
        <v>257</v>
      </c>
    </row>
    <row r="75">
      <c r="A75" s="39" t="s">
        <v>267</v>
      </c>
      <c r="B75" s="39" t="s">
        <v>146</v>
      </c>
      <c r="C75" s="39" t="s">
        <v>197</v>
      </c>
      <c r="D75" s="39" t="s">
        <v>268</v>
      </c>
    </row>
    <row r="76">
      <c r="A76" s="39" t="s">
        <v>269</v>
      </c>
      <c r="B76" s="39" t="s">
        <v>146</v>
      </c>
      <c r="C76" s="39" t="s">
        <v>197</v>
      </c>
      <c r="D76" s="39" t="s">
        <v>270</v>
      </c>
    </row>
    <row r="77">
      <c r="A77" s="39" t="s">
        <v>271</v>
      </c>
      <c r="B77" s="39" t="s">
        <v>146</v>
      </c>
      <c r="C77" s="39" t="s">
        <v>197</v>
      </c>
      <c r="D77" s="39" t="s">
        <v>272</v>
      </c>
    </row>
    <row r="78">
      <c r="A78" s="39" t="s">
        <v>273</v>
      </c>
      <c r="B78" s="39" t="s">
        <v>146</v>
      </c>
      <c r="C78" s="39" t="s">
        <v>197</v>
      </c>
      <c r="D78" s="39" t="s">
        <v>274</v>
      </c>
    </row>
    <row r="79">
      <c r="A79" s="39" t="s">
        <v>275</v>
      </c>
      <c r="B79" s="39" t="s">
        <v>146</v>
      </c>
      <c r="C79" s="39" t="s">
        <v>197</v>
      </c>
      <c r="D79" s="39" t="s">
        <v>276</v>
      </c>
    </row>
    <row r="80">
      <c r="A80" s="39" t="s">
        <v>277</v>
      </c>
      <c r="B80" s="39"/>
      <c r="C80" s="39"/>
      <c r="D80" s="39"/>
    </row>
    <row r="81">
      <c r="A81" s="39" t="s">
        <v>278</v>
      </c>
      <c r="B81" s="39" t="s">
        <v>146</v>
      </c>
      <c r="C81" s="39" t="s">
        <v>170</v>
      </c>
      <c r="D81" s="39" t="s">
        <v>279</v>
      </c>
    </row>
    <row r="82">
      <c r="A82" s="39" t="s">
        <v>280</v>
      </c>
      <c r="B82" s="39" t="s">
        <v>146</v>
      </c>
      <c r="C82" s="39" t="s">
        <v>197</v>
      </c>
      <c r="D82" s="39" t="s">
        <v>281</v>
      </c>
    </row>
    <row r="83">
      <c r="A83" s="39" t="s">
        <v>282</v>
      </c>
      <c r="B83" s="39" t="s">
        <v>146</v>
      </c>
      <c r="C83" s="39" t="s">
        <v>197</v>
      </c>
      <c r="D83" s="39" t="s">
        <v>283</v>
      </c>
    </row>
    <row r="84">
      <c r="A84" s="39" t="s">
        <v>284</v>
      </c>
      <c r="B84" s="39" t="s">
        <v>146</v>
      </c>
      <c r="C84" s="39" t="s">
        <v>197</v>
      </c>
      <c r="D84" s="39" t="s">
        <v>285</v>
      </c>
    </row>
    <row r="85">
      <c r="A85" s="39" t="s">
        <v>286</v>
      </c>
      <c r="B85" s="39" t="s">
        <v>146</v>
      </c>
      <c r="C85" s="39" t="s">
        <v>197</v>
      </c>
      <c r="D85" s="39" t="s">
        <v>287</v>
      </c>
    </row>
    <row r="86">
      <c r="A86" s="39" t="s">
        <v>288</v>
      </c>
      <c r="B86" s="39" t="s">
        <v>146</v>
      </c>
      <c r="C86" s="39" t="s">
        <v>249</v>
      </c>
      <c r="D86" s="39" t="s">
        <v>289</v>
      </c>
    </row>
    <row r="87">
      <c r="A87" s="39" t="s">
        <v>290</v>
      </c>
      <c r="B87" s="39" t="s">
        <v>146</v>
      </c>
      <c r="C87" s="39" t="s">
        <v>197</v>
      </c>
      <c r="D87" s="39" t="s">
        <v>291</v>
      </c>
    </row>
    <row r="88">
      <c r="A88" s="39" t="s">
        <v>292</v>
      </c>
      <c r="B88" s="39"/>
      <c r="C88" s="39"/>
      <c r="D88" s="39"/>
    </row>
    <row r="89">
      <c r="A89" s="39" t="s">
        <v>293</v>
      </c>
      <c r="B89" s="39" t="s">
        <v>294</v>
      </c>
      <c r="C89" s="39"/>
      <c r="D89" s="39"/>
    </row>
    <row r="90">
      <c r="A90" s="39" t="s">
        <v>295</v>
      </c>
      <c r="B90" s="39" t="s">
        <v>294</v>
      </c>
      <c r="C90" s="39"/>
      <c r="D90" s="39"/>
    </row>
    <row r="91">
      <c r="A91" s="39" t="s">
        <v>296</v>
      </c>
      <c r="B91" s="39" t="s">
        <v>294</v>
      </c>
      <c r="C91" s="39"/>
      <c r="D91" s="39"/>
    </row>
    <row r="92">
      <c r="A92" s="39" t="s">
        <v>132</v>
      </c>
      <c r="B92" s="39" t="s">
        <v>294</v>
      </c>
      <c r="C92" s="39"/>
      <c r="D92" s="39"/>
    </row>
    <row r="93">
      <c r="A93" s="39" t="s">
        <v>297</v>
      </c>
      <c r="B93" s="39" t="s">
        <v>294</v>
      </c>
      <c r="C93" s="39"/>
      <c r="D93" s="39"/>
    </row>
    <row r="94">
      <c r="A94" s="39" t="s">
        <v>298</v>
      </c>
      <c r="B94" s="39" t="s">
        <v>294</v>
      </c>
      <c r="C94" s="39"/>
      <c r="D94" s="39"/>
    </row>
    <row r="95">
      <c r="A95" s="39" t="s">
        <v>299</v>
      </c>
      <c r="B95" s="39" t="s">
        <v>294</v>
      </c>
      <c r="C95" s="39"/>
      <c r="D95" s="39"/>
    </row>
    <row r="96">
      <c r="A96" s="39" t="s">
        <v>300</v>
      </c>
      <c r="B96" s="39" t="s">
        <v>294</v>
      </c>
      <c r="C96" s="39"/>
      <c r="D96" s="39"/>
    </row>
    <row r="97">
      <c r="A97" s="39" t="s">
        <v>301</v>
      </c>
      <c r="B97" s="39" t="s">
        <v>294</v>
      </c>
      <c r="C97" s="39"/>
      <c r="D97" s="39"/>
    </row>
    <row r="98">
      <c r="A98" s="39" t="s">
        <v>302</v>
      </c>
      <c r="B98" s="39" t="s">
        <v>294</v>
      </c>
      <c r="C98" s="39"/>
      <c r="D98" s="39"/>
    </row>
    <row r="99">
      <c r="A99" s="39" t="s">
        <v>303</v>
      </c>
      <c r="B99" s="39" t="s">
        <v>294</v>
      </c>
      <c r="C99" s="39"/>
      <c r="D99" s="39"/>
    </row>
    <row r="100">
      <c r="A100" s="39" t="s">
        <v>304</v>
      </c>
      <c r="B100" s="39" t="s">
        <v>294</v>
      </c>
      <c r="C100" s="39"/>
      <c r="D100" s="39"/>
    </row>
    <row r="101">
      <c r="A101" s="39" t="s">
        <v>305</v>
      </c>
      <c r="B101" s="39" t="s">
        <v>294</v>
      </c>
      <c r="C101" s="39"/>
      <c r="D101" s="39"/>
    </row>
    <row r="102">
      <c r="A102" s="39" t="s">
        <v>306</v>
      </c>
      <c r="B102" s="39" t="s">
        <v>294</v>
      </c>
      <c r="C102" s="39"/>
      <c r="D102" s="39" t="s">
        <v>307</v>
      </c>
    </row>
    <row r="103">
      <c r="A103" s="39" t="s">
        <v>308</v>
      </c>
      <c r="B103" s="39" t="s">
        <v>294</v>
      </c>
      <c r="C103" s="39"/>
      <c r="D103" s="39"/>
    </row>
    <row r="104">
      <c r="A104" s="39" t="s">
        <v>309</v>
      </c>
      <c r="B104" s="39" t="s">
        <v>294</v>
      </c>
      <c r="C104" s="39"/>
      <c r="D104" s="39"/>
    </row>
    <row r="105">
      <c r="A105" s="39" t="s">
        <v>310</v>
      </c>
      <c r="B105" s="39" t="s">
        <v>294</v>
      </c>
      <c r="C105" s="39"/>
      <c r="D105" s="39" t="s">
        <v>311</v>
      </c>
    </row>
    <row r="106">
      <c r="A106" s="39" t="s">
        <v>312</v>
      </c>
      <c r="B106" s="39" t="s">
        <v>294</v>
      </c>
      <c r="C106" s="39"/>
      <c r="D106" s="39" t="s">
        <v>313</v>
      </c>
    </row>
    <row r="107">
      <c r="A107" s="39" t="s">
        <v>314</v>
      </c>
      <c r="B107" s="39" t="s">
        <v>294</v>
      </c>
      <c r="C107" s="39"/>
      <c r="D107" s="39"/>
    </row>
    <row r="108">
      <c r="A108" s="39" t="s">
        <v>315</v>
      </c>
      <c r="B108" s="39" t="s">
        <v>294</v>
      </c>
      <c r="C108" s="39"/>
      <c r="D108" s="39"/>
    </row>
    <row r="109">
      <c r="A109" s="39" t="s">
        <v>316</v>
      </c>
      <c r="B109" s="39" t="s">
        <v>294</v>
      </c>
      <c r="C109" s="39"/>
      <c r="D109" s="39" t="s">
        <v>317</v>
      </c>
    </row>
    <row r="110">
      <c r="A110" s="39" t="s">
        <v>318</v>
      </c>
      <c r="B110" s="39" t="s">
        <v>294</v>
      </c>
      <c r="C110" s="39"/>
      <c r="D110" s="39" t="s">
        <v>319</v>
      </c>
    </row>
    <row r="111">
      <c r="A111" s="39" t="s">
        <v>320</v>
      </c>
      <c r="B111" s="39" t="s">
        <v>294</v>
      </c>
      <c r="C111" s="39"/>
      <c r="D111" s="39" t="s">
        <v>321</v>
      </c>
    </row>
    <row r="112">
      <c r="A112" s="39" t="s">
        <v>322</v>
      </c>
      <c r="B112" s="39" t="s">
        <v>294</v>
      </c>
      <c r="C112" s="39"/>
      <c r="D112" s="39" t="s">
        <v>323</v>
      </c>
    </row>
    <row r="113">
      <c r="A113" s="39" t="s">
        <v>324</v>
      </c>
      <c r="B113" s="39" t="s">
        <v>294</v>
      </c>
      <c r="C113" s="39"/>
      <c r="D113" s="39" t="s">
        <v>325</v>
      </c>
    </row>
    <row r="114">
      <c r="A114" s="39" t="s">
        <v>326</v>
      </c>
      <c r="B114" s="39" t="s">
        <v>294</v>
      </c>
      <c r="C114" s="39"/>
      <c r="D114" s="39" t="s">
        <v>327</v>
      </c>
    </row>
    <row r="115">
      <c r="A115" s="39" t="s">
        <v>328</v>
      </c>
      <c r="B115" s="39" t="s">
        <v>294</v>
      </c>
      <c r="C115" s="39"/>
      <c r="D115" s="39" t="s">
        <v>329</v>
      </c>
    </row>
    <row r="116">
      <c r="A116" s="39" t="s">
        <v>330</v>
      </c>
      <c r="B116" s="39" t="s">
        <v>294</v>
      </c>
      <c r="C116" s="39"/>
      <c r="D116" s="39" t="s">
        <v>331</v>
      </c>
    </row>
    <row r="117">
      <c r="A117" s="39" t="s">
        <v>332</v>
      </c>
      <c r="B117" s="39" t="s">
        <v>294</v>
      </c>
      <c r="C117" s="39"/>
      <c r="D117" s="39" t="s">
        <v>333</v>
      </c>
    </row>
    <row r="118">
      <c r="A118" s="39" t="s">
        <v>334</v>
      </c>
      <c r="B118" s="39" t="s">
        <v>294</v>
      </c>
      <c r="C118" s="39"/>
      <c r="D118" s="39" t="s">
        <v>335</v>
      </c>
    </row>
    <row r="119">
      <c r="A119" s="39" t="s">
        <v>336</v>
      </c>
      <c r="B119" s="39" t="s">
        <v>294</v>
      </c>
      <c r="C119" s="39"/>
      <c r="D119" s="39" t="s">
        <v>337</v>
      </c>
    </row>
    <row r="120">
      <c r="A120" s="39" t="s">
        <v>338</v>
      </c>
      <c r="B120" s="39" t="s">
        <v>294</v>
      </c>
      <c r="C120" s="39"/>
      <c r="D120" s="39" t="s">
        <v>339</v>
      </c>
    </row>
    <row r="121">
      <c r="A121" s="39" t="s">
        <v>340</v>
      </c>
      <c r="B121" s="39" t="s">
        <v>294</v>
      </c>
      <c r="C121" s="39"/>
      <c r="D121" s="39"/>
    </row>
    <row r="122">
      <c r="A122" s="39" t="s">
        <v>341</v>
      </c>
      <c r="B122" s="39" t="s">
        <v>294</v>
      </c>
      <c r="C122" s="39"/>
      <c r="D122" s="39"/>
    </row>
    <row r="123">
      <c r="A123" s="39" t="s">
        <v>342</v>
      </c>
      <c r="B123" s="39" t="s">
        <v>294</v>
      </c>
      <c r="C123" s="39"/>
      <c r="D123" s="39"/>
    </row>
    <row r="124">
      <c r="A124" s="39" t="s">
        <v>343</v>
      </c>
      <c r="B124" s="39" t="s">
        <v>294</v>
      </c>
      <c r="C124" s="39"/>
      <c r="D124" s="39"/>
    </row>
    <row r="125">
      <c r="A125" s="39" t="s">
        <v>344</v>
      </c>
      <c r="B125" s="39" t="s">
        <v>294</v>
      </c>
      <c r="C125" s="39"/>
      <c r="D125" s="39"/>
    </row>
    <row r="126">
      <c r="A126" s="39" t="s">
        <v>345</v>
      </c>
      <c r="B126" s="39" t="s">
        <v>294</v>
      </c>
      <c r="C126" s="39"/>
      <c r="D126" s="39"/>
    </row>
    <row r="127">
      <c r="A127" s="39" t="s">
        <v>346</v>
      </c>
      <c r="B127" s="39" t="s">
        <v>294</v>
      </c>
      <c r="C127" s="39"/>
      <c r="D127" s="39"/>
    </row>
    <row r="128">
      <c r="A128" s="39" t="s">
        <v>347</v>
      </c>
      <c r="B128" s="39" t="s">
        <v>294</v>
      </c>
      <c r="C128" s="39"/>
      <c r="D128" s="39"/>
    </row>
    <row r="129">
      <c r="A129" s="39" t="s">
        <v>348</v>
      </c>
      <c r="B129" s="39" t="s">
        <v>294</v>
      </c>
      <c r="C129" s="39"/>
      <c r="D129" s="39" t="s">
        <v>349</v>
      </c>
    </row>
    <row r="130">
      <c r="A130" s="39" t="s">
        <v>350</v>
      </c>
      <c r="B130" s="39" t="s">
        <v>294</v>
      </c>
      <c r="C130" s="39"/>
      <c r="D130" s="39" t="s">
        <v>351</v>
      </c>
    </row>
    <row r="131">
      <c r="A131" s="39" t="s">
        <v>352</v>
      </c>
      <c r="B131" s="39" t="s">
        <v>294</v>
      </c>
      <c r="C131" s="39"/>
      <c r="D131" s="39" t="s">
        <v>353</v>
      </c>
    </row>
    <row r="132">
      <c r="A132" s="39" t="s">
        <v>354</v>
      </c>
      <c r="B132" s="39" t="s">
        <v>294</v>
      </c>
      <c r="C132" s="39"/>
      <c r="D132" s="39"/>
    </row>
    <row r="133">
      <c r="A133" s="39" t="s">
        <v>355</v>
      </c>
      <c r="B133" s="39" t="s">
        <v>294</v>
      </c>
      <c r="C133" s="39"/>
      <c r="D133" s="39"/>
    </row>
    <row r="134">
      <c r="A134" s="39" t="s">
        <v>356</v>
      </c>
      <c r="B134" s="39" t="s">
        <v>294</v>
      </c>
      <c r="C134" s="39"/>
      <c r="D134" s="39"/>
    </row>
    <row r="135">
      <c r="A135" s="39" t="s">
        <v>357</v>
      </c>
      <c r="B135" s="39" t="s">
        <v>294</v>
      </c>
      <c r="C135" s="39"/>
      <c r="D135" s="39"/>
    </row>
    <row r="136">
      <c r="A136" s="39" t="s">
        <v>358</v>
      </c>
      <c r="B136" s="39" t="s">
        <v>294</v>
      </c>
      <c r="C136" s="39"/>
      <c r="D136" s="39" t="s">
        <v>359</v>
      </c>
    </row>
    <row r="137">
      <c r="A137" s="39" t="s">
        <v>360</v>
      </c>
      <c r="B137" s="39" t="s">
        <v>294</v>
      </c>
      <c r="C137" s="39"/>
      <c r="D137" s="39" t="s">
        <v>361</v>
      </c>
    </row>
    <row r="138">
      <c r="A138" s="39" t="s">
        <v>362</v>
      </c>
      <c r="B138" s="39"/>
      <c r="C138" s="39"/>
      <c r="D138" s="39"/>
    </row>
    <row r="139">
      <c r="A139" s="39" t="s">
        <v>363</v>
      </c>
      <c r="B139" s="39" t="s">
        <v>294</v>
      </c>
      <c r="C139" s="39"/>
      <c r="D139" s="39"/>
    </row>
    <row r="140">
      <c r="A140" s="39" t="s">
        <v>364</v>
      </c>
      <c r="B140" s="39" t="s">
        <v>294</v>
      </c>
      <c r="C140" s="39"/>
      <c r="D140" s="39"/>
    </row>
    <row r="141">
      <c r="A141" s="39" t="s">
        <v>365</v>
      </c>
      <c r="B141" s="39" t="s">
        <v>294</v>
      </c>
      <c r="C141" s="39"/>
      <c r="D141" s="39"/>
    </row>
    <row r="142">
      <c r="A142" s="39" t="s">
        <v>366</v>
      </c>
      <c r="B142" s="39" t="s">
        <v>294</v>
      </c>
      <c r="C142" s="39"/>
      <c r="D142" s="39"/>
    </row>
    <row r="143">
      <c r="A143" s="39" t="s">
        <v>367</v>
      </c>
      <c r="B143" s="39" t="s">
        <v>294</v>
      </c>
      <c r="C143" s="39"/>
      <c r="D143" s="39"/>
    </row>
    <row r="144">
      <c r="A144" s="39" t="s">
        <v>368</v>
      </c>
      <c r="B144" s="39" t="s">
        <v>294</v>
      </c>
      <c r="C144" s="39"/>
      <c r="D144" s="39"/>
    </row>
    <row r="145">
      <c r="A145" s="39" t="s">
        <v>369</v>
      </c>
      <c r="B145" s="39"/>
      <c r="C145" s="39"/>
      <c r="D145" s="39"/>
    </row>
    <row r="146">
      <c r="A146" s="39" t="s">
        <v>370</v>
      </c>
      <c r="B146" s="39" t="s">
        <v>294</v>
      </c>
      <c r="C146" s="39"/>
      <c r="D146" s="39" t="s">
        <v>371</v>
      </c>
    </row>
    <row r="147">
      <c r="A147" s="39" t="s">
        <v>372</v>
      </c>
      <c r="B147" s="39" t="s">
        <v>294</v>
      </c>
      <c r="C147" s="39"/>
      <c r="D147" s="39" t="s">
        <v>373</v>
      </c>
    </row>
    <row r="148">
      <c r="A148" s="39" t="s">
        <v>374</v>
      </c>
      <c r="B148" s="39" t="s">
        <v>294</v>
      </c>
      <c r="C148" s="39"/>
      <c r="D148" s="39" t="s">
        <v>375</v>
      </c>
    </row>
    <row r="149">
      <c r="A149" s="39" t="s">
        <v>376</v>
      </c>
      <c r="B149" s="39" t="s">
        <v>294</v>
      </c>
      <c r="C149" s="39"/>
      <c r="D149" s="39" t="s">
        <v>377</v>
      </c>
    </row>
    <row r="150">
      <c r="A150" s="39" t="s">
        <v>378</v>
      </c>
      <c r="B150" s="39" t="s">
        <v>294</v>
      </c>
      <c r="C150" s="39"/>
      <c r="D150" s="39" t="s">
        <v>379</v>
      </c>
    </row>
    <row r="151">
      <c r="A151" s="39" t="s">
        <v>380</v>
      </c>
      <c r="B151" s="39" t="s">
        <v>294</v>
      </c>
      <c r="C151" s="39"/>
      <c r="D151" s="39" t="s">
        <v>381</v>
      </c>
    </row>
    <row r="152">
      <c r="A152" s="39" t="s">
        <v>382</v>
      </c>
      <c r="B152" s="39" t="s">
        <v>294</v>
      </c>
      <c r="C152" s="39"/>
      <c r="D152" s="39" t="s">
        <v>383</v>
      </c>
    </row>
    <row r="153">
      <c r="A153" s="39" t="s">
        <v>384</v>
      </c>
      <c r="B153" s="39" t="s">
        <v>294</v>
      </c>
      <c r="C153" s="39"/>
      <c r="D153" s="39" t="s">
        <v>385</v>
      </c>
    </row>
    <row r="154">
      <c r="A154" s="39" t="s">
        <v>386</v>
      </c>
      <c r="B154" s="39" t="s">
        <v>294</v>
      </c>
      <c r="C154" s="39"/>
      <c r="D154" s="39" t="s">
        <v>387</v>
      </c>
    </row>
    <row r="155">
      <c r="A155" s="39" t="s">
        <v>388</v>
      </c>
      <c r="B155" s="39" t="s">
        <v>294</v>
      </c>
      <c r="C155" s="39"/>
      <c r="D155" s="39" t="s">
        <v>389</v>
      </c>
    </row>
    <row r="156">
      <c r="A156" s="39" t="s">
        <v>390</v>
      </c>
      <c r="B156" s="39" t="s">
        <v>294</v>
      </c>
      <c r="C156" s="39"/>
      <c r="D156" s="39" t="s">
        <v>391</v>
      </c>
    </row>
  </sheetData>
</worksheet>
</file>