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<sst xmlns="http://schemas.openxmlformats.org/spreadsheetml/2006/main" count="682" uniqueCount="394">
  <si>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</si>
  <si>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</si>
  <si>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</si>
  <si>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</si>
  <si>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</si>
  <si>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</si>
  <si>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</si>
  <si>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</si>
  <si>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</si>
  <si>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</si>
  <si>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</si>
  <si>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</si>
  <si>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</si>
  <si>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</si>
  <si>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</si>
  <si>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</si>
  <si>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</si>
  <si>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</si>
  <si>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</si>
  <si>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</si>
  <si>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</si>
  <si>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</si>
  <si>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</si>
  <si>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</si>
  <si>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</si>
  <si>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</si>
  <si>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</si>
  <si>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</si>
  <si>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</si>
  <si>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</si>
  <si>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</si>
  <si>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</si>
  <si>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</si>
  <si>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</si>
  <si>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</si>
  <si>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</si>
  <si>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</si>
  <si>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</si>
  <si>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</si>
  <si>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</si>
  <si>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</si>
  <si>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</si>
  <si>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</si>
  <si>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</si>
  <si>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</si>
  <si>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</si>
  <si>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</si>
  <si>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</si>
  <si>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</si>
  <si>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</si>
  <si>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</si>
  <si>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</si>
  <si>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</si>
  <si>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</si>
  <si>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</si>
  <si>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</si>
  <si>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</si>
  <si>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</si>
  <si>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</si>
  <si>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</si>
  <si>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</si>
  <si>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</si>
  <si>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</si>
  <si>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</si>
  <si>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</si>
  <si>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</si>
  <si>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</si>
  <si>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</si>
  <si>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</si>
  <si>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</si>
  <si>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</si>
  <si>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</si>
  <si>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</si>
  <si>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</si>
  <si>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</si>
  <si>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</si>
  <si>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</si>
  <si>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</si>
  <si>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</si>
  <si>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</si>
  <si>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</si>
  <si>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</si>
  <si>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</si>
  <si>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</si>
  <si>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</si>
  <si>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</si>
  <si>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</si>
  <si>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</si>
  <si>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</si>
  <si>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</si>
  <si>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</si>
  <si>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</si>
  <si>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</si>
  <si>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</si>
  <si>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</si>
  <si>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</si>
  <si>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</si>
  <si>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Geral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</si>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</sst>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0" fontId="1" numFmtId="4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Comercial!AE4:AF4"")"),1.7869703007121366E7)</f>
        <v>17869703.01</v>
      </c>
      <c r="B2" s="3">
        <f>IFERROR(__xludf.DUMMYFUNCTION("""COMPUTED_VALUE"""),1.5342606512502441E7)</f>
        <v>15342606.51</v>
      </c>
      <c r="C2" s="3">
        <f>B2-A2</f>
        <v>-2527096.495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"),"Form G4 Incompleto Outros")</f>
        <v>Form G4 Incompleto Outros</v>
      </c>
      <c r="G2" s="5">
        <f>IFERROR(__xludf.DUMMYFUNCTION("""COMPUTED_VALUE"""),-0.4937117903930128)</f>
        <v>-0.4937117904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IFERROR(__xludf.DUMMYFUNCTION("""COMPUTED_VALUE"""),-0.5923012752101813)</f>
        <v>-0.5923012752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"),"[SKL] Outros")</f>
        <v>[SKL] Outros</v>
      </c>
      <c r="K2" s="6">
        <f>IFERROR(__xludf.DUMMYFUNCTION("""COMPUTED_VALUE"""),-12.922705314009663)</f>
        <v>-12.92270531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"),0.7872340425531915)</f>
        <v>0.7872340426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"),0.4444444444444444)</f>
        <v>0.4444444444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IFERROR(__xludf.DUMMYFUNCTION("""COMPUTED_VALUE"""),-0.8838524406309531)</f>
        <v>-0.8838524406</v>
      </c>
      <c r="AC2" s="3">
        <f>IFERROR(__xludf.DUMMYFUNCTION("""COMPUTED_VALUE"""),-3338.346153846154)</f>
        <v>-3338.346154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"),"[SKL] CRM - Email")</f>
        <v>[SKL] CRM - Email</v>
      </c>
      <c r="AE2" s="5">
        <f>IFERROR(__xludf.DUMMYFUNCTION("""COMPUTED_VALUE"""),1.6665160367122707)</f>
        <v>1.666516037</v>
      </c>
      <c r="AF2" s="3">
        <f>IFERROR(__xludf.DUMMYFUNCTION("""COMPUTED_VALUE"""),4683.269565217392)</f>
        <v>4683.269565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IFERROR(__xludf.DUMMYFUNCTION("""COMPUTED_VALUE"""),"[ON] Chat")</f>
        <v>[ON] Chat</v>
      </c>
      <c r="G3" s="5">
        <f>IFERROR(__xludf.DUMMYFUNCTION("""COMPUTED_VALUE"""),-0.479358974358974)</f>
        <v>-0.4793589744</v>
      </c>
      <c r="H3" s="4" t="str">
        <f>IFERROR(__xludf.DUMMYFUNCTION("""COMPUTED_VALUE"""),"[SKL] Site")</f>
        <v>[SKL] Site</v>
      </c>
      <c r="I3" s="5">
        <f>IFERROR(__xludf.DUMMYFUNCTION("""COMPUTED_VALUE"""),-0.5441893123137719)</f>
        <v>-0.5441893123</v>
      </c>
      <c r="J3" s="4" t="str">
        <f>IFERROR(__xludf.DUMMYFUNCTION("""COMPUTED_VALUE"""),"Aplicativo G4 - Indicação")</f>
        <v>Aplicativo G4 - Indicação</v>
      </c>
      <c r="K3" s="6">
        <f>IFERROR(__xludf.DUMMYFUNCTION("""COMPUTED_VALUE"""),-12.69329073482428)</f>
        <v>-12.69329073</v>
      </c>
      <c r="L3" s="4" t="str">
        <f>IFERROR(__xludf.DUMMYFUNCTION("""COMPUTED_VALUE"""),"[CM] Form G4 - Instagram")</f>
        <v>[CM] Form G4 - Instagram</v>
      </c>
      <c r="M3" s="6">
        <f>IFERROR(__xludf.DUMMYFUNCTION("""COMPUTED_VALUE"""),-21.0)</f>
        <v>-21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IFERROR(__xludf.DUMMYFUNCTION("""COMPUTED_VALUE"""),"[SKL] Social")</f>
        <v>[SKL] Social</v>
      </c>
      <c r="AB3" s="5">
        <f>IFERROR(__xludf.DUMMYFUNCTION("""COMPUTED_VALUE"""),-0.6576904253425876)</f>
        <v>-0.6576904253</v>
      </c>
      <c r="AC3" s="3">
        <f>IFERROR(__xludf.DUMMYFUNCTION("""COMPUTED_VALUE"""),-2226.184210526316)</f>
        <v>-2226.184211</v>
      </c>
      <c r="AD3" s="4" t="str">
        <f>IFERROR(__xludf.DUMMYFUNCTION("""COMPUTED_VALUE"""),"Form G4 Google")</f>
        <v>Form G4 Google</v>
      </c>
      <c r="AE3" s="5">
        <f>IFERROR(__xludf.DUMMYFUNCTION("""COMPUTED_VALUE"""),0.7212037767821915)</f>
        <v>0.7212037768</v>
      </c>
      <c r="AF3" s="3">
        <f>IFERROR(__xludf.DUMMYFUNCTION("""COMPUTED_VALUE"""),3846.0300000000007)</f>
        <v>3846.03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Site")</f>
        <v>[SKL] Site</v>
      </c>
      <c r="G4" s="5">
        <f>IFERROR(__xludf.DUMMYFUNCTION("""COMPUTED_VALUE"""),-0.4753436426116835)</f>
        <v>-0.4753436426</v>
      </c>
      <c r="H4" s="4" t="str">
        <f>IFERROR(__xludf.DUMMYFUNCTION("""COMPUTED_VALUE"""),"[ON] Chat")</f>
        <v>[ON] Chat</v>
      </c>
      <c r="I4" s="5">
        <f>IFERROR(__xludf.DUMMYFUNCTION("""COMPUTED_VALUE"""),-0.5001942501942499)</f>
        <v>-0.5001942502</v>
      </c>
      <c r="J4" s="4" t="str">
        <f>IFERROR(__xludf.DUMMYFUNCTION("""COMPUTED_VALUE"""),"[SKL] CRM - WhatsApp")</f>
        <v>[SKL] CRM - WhatsApp</v>
      </c>
      <c r="K4" s="6">
        <f>IFERROR(__xludf.DUMMYFUNCTION("""COMPUTED_VALUE"""),-8.713114754098362)</f>
        <v>-8.713114754</v>
      </c>
      <c r="L4" s="4" t="str">
        <f>IFERROR(__xludf.DUMMYFUNCTION("""COMPUTED_VALUE"""),"[SKL] Site")</f>
        <v>[SKL] Site</v>
      </c>
      <c r="M4" s="6">
        <f>IFERROR(__xludf.DUMMYFUNCTION("""COMPUTED_VALUE"""),-12.714285714285717)</f>
        <v>-12.71428571</v>
      </c>
      <c r="N4" s="4" t="str">
        <f>IFERROR(__xludf.DUMMYFUNCTION("""COMPUTED_VALUE"""),"Aplicativo G4 - Indicação")</f>
        <v>Aplicativo G4 - Indicação</v>
      </c>
      <c r="O4" s="5">
        <f>IFERROR(__xludf.DUMMYFUNCTION("""COMPUTED_VALUE"""),-0.613)</f>
        <v>-0.613</v>
      </c>
      <c r="P4" s="3">
        <f>IFERROR(__xludf.DUMMYFUNCTION("""COMPUTED_VALUE"""),-17777.0)</f>
        <v>-17777</v>
      </c>
      <c r="S4" s="4"/>
      <c r="T4" s="4"/>
      <c r="AA4" s="4" t="str">
        <f>IFERROR(__xludf.DUMMYFUNCTION("""COMPUTED_VALUE"""),"[IM] Social DM")</f>
        <v>[IM] Social DM</v>
      </c>
      <c r="AB4" s="5">
        <f>IFERROR(__xludf.DUMMYFUNCTION("""COMPUTED_VALUE"""),-0.6229066543073525)</f>
        <v>-0.6229066543</v>
      </c>
      <c r="AC4" s="3">
        <f>IFERROR(__xludf.DUMMYFUNCTION("""COMPUTED_VALUE"""),-6835.526999511719)</f>
        <v>-6835.527</v>
      </c>
      <c r="AD4" s="4" t="str">
        <f>IFERROR(__xludf.DUMMYFUNCTION("""COMPUTED_VALUE"""),"Form G4 Instagram Tallis")</f>
        <v>Form G4 Instagram Tallis</v>
      </c>
      <c r="AE4" s="5">
        <f>IFERROR(__xludf.DUMMYFUNCTION("""COMPUTED_VALUE"""),0.6627754631699341)</f>
        <v>0.6627754632</v>
      </c>
      <c r="AF4" s="3">
        <f>IFERROR(__xludf.DUMMYFUNCTION("""COMPUTED_VALUE"""),2709.9813664596277)</f>
        <v>2709.981366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IFERROR(__xludf.DUMMYFUNCTION("""COMPUTED_VALUE"""),"Form G4 Outros - Não Orgânico")</f>
        <v>Form G4 Outros - Não Orgânico</v>
      </c>
      <c r="G5" s="5">
        <f>IFERROR(__xludf.DUMMYFUNCTION("""COMPUTED_VALUE"""),-0.32801635991819994)</f>
        <v>-0.3280163599</v>
      </c>
      <c r="H5" s="4" t="str">
        <f>IFERROR(__xludf.DUMMYFUNCTION("""COMPUTED_VALUE"""),"Form G4 Outros - Não Orgânico")</f>
        <v>Form G4 Outros - Não Orgânico</v>
      </c>
      <c r="I5" s="5">
        <f>IFERROR(__xludf.DUMMYFUNCTION("""COMPUTED_VALUE"""),-0.354752678585009)</f>
        <v>-0.3547526786</v>
      </c>
      <c r="J5" s="4" t="str">
        <f>IFERROR(__xludf.DUMMYFUNCTION("""COMPUTED_VALUE"""),"[SKL] CRM - Email")</f>
        <v>[SKL] CRM - Email</v>
      </c>
      <c r="K5" s="6">
        <f>IFERROR(__xludf.DUMMYFUNCTION("""COMPUTED_VALUE"""),-8.144578313253012)</f>
        <v>-8.144578313</v>
      </c>
      <c r="L5" s="4" t="str">
        <f>IFERROR(__xludf.DUMMYFUNCTION("""COMPUTED_VALUE"""),"[ON] Abandono de carrinho")</f>
        <v>[ON] Abandono de carrinho</v>
      </c>
      <c r="M5" s="6">
        <f>IFERROR(__xludf.DUMMYFUNCTION("""COMPUTED_VALUE"""),-12.558139534883727)</f>
        <v>-12.55813953</v>
      </c>
      <c r="N5" s="4" t="str">
        <f>IFERROR(__xludf.DUMMYFUNCTION("""COMPUTED_VALUE"""),"[FS] Time de vendas")</f>
        <v>[FS] Time de vendas</v>
      </c>
      <c r="O5" s="5">
        <f>IFERROR(__xludf.DUMMYFUNCTION("""COMPUTED_VALUE"""),-0.5629483875631522)</f>
        <v>-0.5629483876</v>
      </c>
      <c r="P5" s="3">
        <f>IFERROR(__xludf.DUMMYFUNCTION("""COMPUTED_VALUE"""),-30149.346050020107)</f>
        <v>-30149.34605</v>
      </c>
      <c r="S5" s="4"/>
      <c r="T5" s="4"/>
      <c r="AA5" s="4" t="str">
        <f>IFERROR(__xludf.DUMMYFUNCTION("""COMPUTED_VALUE"""),"[IM] Form Facebook Ads")</f>
        <v>[IM] Form Facebook Ads</v>
      </c>
      <c r="AB5" s="5">
        <f>IFERROR(__xludf.DUMMYFUNCTION("""COMPUTED_VALUE"""),-0.5984816216455264)</f>
        <v>-0.5984816216</v>
      </c>
      <c r="AC5" s="3">
        <f>IFERROR(__xludf.DUMMYFUNCTION("""COMPUTED_VALUE"""),-3066.251101321585)</f>
        <v>-3066.251101</v>
      </c>
      <c r="AD5" s="4" t="str">
        <f>IFERROR(__xludf.DUMMYFUNCTION("""COMPUTED_VALUE"""),"[IM] Form G4 Facebook Ads - K")</f>
        <v>[IM] Form G4 Facebook Ads - K</v>
      </c>
      <c r="AE5" s="5">
        <f>IFERROR(__xludf.DUMMYFUNCTION("""COMPUTED_VALUE"""),0.3896669693115964)</f>
        <v>0.3896669693</v>
      </c>
      <c r="AF5" s="3">
        <f>IFERROR(__xludf.DUMMYFUNCTION("""COMPUTED_VALUE"""),517.6349892481212)</f>
        <v>517.6349892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IFERROR(__xludf.DUMMYFUNCTION("""COMPUTED_VALUE"""),"Form G4 Incompleto Instagram")</f>
        <v>Form G4 Incompleto Instagram</v>
      </c>
      <c r="G6" s="5">
        <f>IFERROR(__xludf.DUMMYFUNCTION("""COMPUTED_VALUE"""),-0.15266666666666606)</f>
        <v>-0.1526666667</v>
      </c>
      <c r="H6" s="4" t="str">
        <f>IFERROR(__xludf.DUMMYFUNCTION("""COMPUTED_VALUE"""),"[ON] Outros")</f>
        <v>[ON] Outros</v>
      </c>
      <c r="I6" s="5">
        <f>IFERROR(__xludf.DUMMYFUNCTION("""COMPUTED_VALUE"""),-0.29858625374435194)</f>
        <v>-0.2985862537</v>
      </c>
      <c r="J6" s="4" t="str">
        <f>IFERROR(__xludf.DUMMYFUNCTION("""COMPUTED_VALUE"""),"[IM] Link de Indicação")</f>
        <v>[IM] Link de Indicação</v>
      </c>
      <c r="K6" s="6">
        <f>IFERROR(__xludf.DUMMYFUNCTION("""COMPUTED_VALUE"""),-6.9313725490196045)</f>
        <v>-6.931372549</v>
      </c>
      <c r="L6" s="4" t="str">
        <f>IFERROR(__xludf.DUMMYFUNCTION("""COMPUTED_VALUE"""),"[ON] Form G4")</f>
        <v>[ON] Form G4</v>
      </c>
      <c r="M6" s="6">
        <f>IFERROR(__xludf.DUMMYFUNCTION("""COMPUTED_VALUE"""),-12.010989010989013)</f>
        <v>-12.01098901</v>
      </c>
      <c r="N6" s="4" t="str">
        <f>IFERROR(__xludf.DUMMYFUNCTION("""COMPUTED_VALUE"""),"[IM] Social DM")</f>
        <v>[IM] Social DM</v>
      </c>
      <c r="O6" s="5">
        <f>IFERROR(__xludf.DUMMYFUNCTION("""COMPUTED_VALUE"""),-0.5138854566720815)</f>
        <v>-0.5138854567</v>
      </c>
      <c r="P6" s="3">
        <f>IFERROR(__xludf.DUMMYFUNCTION("""COMPUTED_VALUE"""),-16444.33461350661)</f>
        <v>-16444.33461</v>
      </c>
      <c r="Q6" s="7"/>
      <c r="S6" s="4"/>
      <c r="T6" s="4"/>
      <c r="AA6" s="4" t="str">
        <f>IFERROR(__xludf.DUMMYFUNCTION("""COMPUTED_VALUE"""),"Form G4 Outros - Orgânico")</f>
        <v>Form G4 Outros - Orgânico</v>
      </c>
      <c r="AB6" s="5">
        <f>IFERROR(__xludf.DUMMYFUNCTION("""COMPUTED_VALUE"""),-0.4963201038998395)</f>
        <v>-0.4963201039</v>
      </c>
      <c r="AC6" s="3">
        <f>IFERROR(__xludf.DUMMYFUNCTION("""COMPUTED_VALUE"""),-3504.2045158140113)</f>
        <v>-3504.204516</v>
      </c>
      <c r="AD6" s="4" t="str">
        <f>IFERROR(__xludf.DUMMYFUNCTION("""COMPUTED_VALUE"""),"[SKL] CRM - WhatsApp")</f>
        <v>[SKL] CRM - WhatsApp</v>
      </c>
      <c r="AE6" s="5">
        <f>IFERROR(__xludf.DUMMYFUNCTION("""COMPUTED_VALUE"""),0.37479618473520926)</f>
        <v>0.3747961847</v>
      </c>
      <c r="AF6" s="3">
        <f>IFERROR(__xludf.DUMMYFUNCTION("""COMPUTED_VALUE"""),1025.98974609375)</f>
        <v>1025.989746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G4 - K Outros")</f>
        <v>Form G4 - K Outros</v>
      </c>
      <c r="G7" s="5">
        <f>IFERROR(__xludf.DUMMYFUNCTION("""COMPUTED_VALUE"""),-0.12687338501291934)</f>
        <v>-0.126873385</v>
      </c>
      <c r="H7" s="4" t="str">
        <f>IFERROR(__xludf.DUMMYFUNCTION("""COMPUTED_VALUE"""),"[IM] Form G4 Facebook Ads - K")</f>
        <v>[IM] Form G4 Facebook Ads - K</v>
      </c>
      <c r="I7" s="5">
        <f>IFERROR(__xludf.DUMMYFUNCTION("""COMPUTED_VALUE"""),-0.1899894140603378)</f>
        <v>-0.1899894141</v>
      </c>
      <c r="J7" s="4" t="str">
        <f>IFERROR(__xludf.DUMMYFUNCTION("""COMPUTED_VALUE"""),"[IM] Social DM")</f>
        <v>[IM] Social DM</v>
      </c>
      <c r="K7" s="6">
        <f>IFERROR(__xludf.DUMMYFUNCTION("""COMPUTED_VALUE"""),-5.333333333333329)</f>
        <v>-5.333333333</v>
      </c>
      <c r="L7" s="4" t="str">
        <f>IFERROR(__xludf.DUMMYFUNCTION("""COMPUTED_VALUE"""),"[SKL] Outros")</f>
        <v>[SKL] Outros</v>
      </c>
      <c r="M7" s="6">
        <f>IFERROR(__xludf.DUMMYFUNCTION("""COMPUTED_VALUE"""),-12.0)</f>
        <v>-12</v>
      </c>
      <c r="N7" s="4" t="str">
        <f>IFERROR(__xludf.DUMMYFUNCTION("""COMPUTED_VALUE"""),"[SKL] Midia Paga - Frio")</f>
        <v>[SKL] Midia Paga - Frio</v>
      </c>
      <c r="O7" s="5">
        <f>IFERROR(__xludf.DUMMYFUNCTION("""COMPUTED_VALUE"""),-0.46320625210456196)</f>
        <v>-0.4632062521</v>
      </c>
      <c r="P7" s="3">
        <f>IFERROR(__xludf.DUMMYFUNCTION("""COMPUTED_VALUE"""),-7909.7099609375)</f>
        <v>-7909.709961</v>
      </c>
      <c r="S7" s="4"/>
      <c r="T7" s="4"/>
      <c r="AA7" s="4" t="str">
        <f>IFERROR(__xludf.DUMMYFUNCTION("""COMPUTED_VALUE"""),"[ON] Form G4")</f>
        <v>[ON] Form G4</v>
      </c>
      <c r="AB7" s="5">
        <f>IFERROR(__xludf.DUMMYFUNCTION("""COMPUTED_VALUE"""),-0.4845432175429035)</f>
        <v>-0.4845432175</v>
      </c>
      <c r="AC7" s="3">
        <f>IFERROR(__xludf.DUMMYFUNCTION("""COMPUTED_VALUE"""),-1470.6857078468406)</f>
        <v>-1470.685708</v>
      </c>
      <c r="AD7" s="4" t="str">
        <f>IFERROR(__xludf.DUMMYFUNCTION("""COMPUTED_VALUE"""),"[ON] Chat")</f>
        <v>[ON] Chat</v>
      </c>
      <c r="AE7" s="5">
        <f>IFERROR(__xludf.DUMMYFUNCTION("""COMPUTED_VALUE"""),0.21825501183802265)</f>
        <v>0.2182550118</v>
      </c>
      <c r="AF7" s="3">
        <f>IFERROR(__xludf.DUMMYFUNCTION("""COMPUTED_VALUE"""),411.1293103448272)</f>
        <v>411.1293103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IFERROR(__xludf.DUMMYFUNCTION("""COMPUTED_VALUE"""),"[ON] Abandono de carrinho")</f>
        <v>[ON] Abandono de carrinho</v>
      </c>
      <c r="G8" s="5">
        <f>IFERROR(__xludf.DUMMYFUNCTION("""COMPUTED_VALUE"""),-0.12166666666666612)</f>
        <v>-0.1216666667</v>
      </c>
      <c r="H8" s="4" t="str">
        <f>IFERROR(__xludf.DUMMYFUNCTION("""COMPUTED_VALUE"""),"Form G4 Incompleto Instagram")</f>
        <v>Form G4 Incompleto Instagram</v>
      </c>
      <c r="I8" s="5">
        <f>IFERROR(__xludf.DUMMYFUNCTION("""COMPUTED_VALUE"""),-0.15871462306993597)</f>
        <v>-0.1587146231</v>
      </c>
      <c r="J8" s="4" t="str">
        <f>IFERROR(__xludf.DUMMYFUNCTION("""COMPUTED_VALUE"""),"[CM] Form G4 - Instagram")</f>
        <v>[CM] Form G4 - Instagram</v>
      </c>
      <c r="K8" s="6">
        <f>IFERROR(__xludf.DUMMYFUNCTION("""COMPUTED_VALUE"""),-5.215189873417724)</f>
        <v>-5.215189873</v>
      </c>
      <c r="L8" s="4" t="str">
        <f>IFERROR(__xludf.DUMMYFUNCTION("""COMPUTED_VALUE"""),"Form G4 Outros - Orgânico")</f>
        <v>Form G4 Outros - Orgânico</v>
      </c>
      <c r="M8" s="6">
        <f>IFERROR(__xludf.DUMMYFUNCTION("""COMPUTED_VALUE"""),-11.58064516129032)</f>
        <v>-11.58064516</v>
      </c>
      <c r="N8" s="4" t="str">
        <f>IFERROR(__xludf.DUMMYFUNCTION("""COMPUTED_VALUE"""),"[ON] Outros")</f>
        <v>[ON] Outros</v>
      </c>
      <c r="O8" s="5">
        <f>IFERROR(__xludf.DUMMYFUNCTION("""COMPUTED_VALUE"""),-0.4253283974491153)</f>
        <v>-0.4253283974</v>
      </c>
      <c r="P8" s="3">
        <f>IFERROR(__xludf.DUMMYFUNCTION("""COMPUTED_VALUE"""),-6069.5123891020285)</f>
        <v>-6069.512389</v>
      </c>
      <c r="Q8" s="4"/>
      <c r="S8" s="4"/>
      <c r="T8" s="4"/>
      <c r="AA8" s="4" t="str">
        <f>IFERROR(__xludf.DUMMYFUNCTION("""COMPUTED_VALUE"""),"[IM] Chat")</f>
        <v>[IM] Chat</v>
      </c>
      <c r="AB8" s="5">
        <f>IFERROR(__xludf.DUMMYFUNCTION("""COMPUTED_VALUE"""),-0.4769270409397589)</f>
        <v>-0.4769270409</v>
      </c>
      <c r="AC8" s="3">
        <f>IFERROR(__xludf.DUMMYFUNCTION("""COMPUTED_VALUE"""),-2392.739303968439)</f>
        <v>-2392.739304</v>
      </c>
      <c r="AD8" s="4" t="str">
        <f>IFERROR(__xludf.DUMMYFUNCTION("""COMPUTED_VALUE"""),"[CM] Form G4 - Outros")</f>
        <v>[CM] Form G4 - Outros</v>
      </c>
      <c r="AE8" s="5">
        <f>IFERROR(__xludf.DUMMYFUNCTION("""COMPUTED_VALUE"""),0.19728617554870342)</f>
        <v>0.1972861755</v>
      </c>
      <c r="AF8" s="3">
        <f>IFERROR(__xludf.DUMMYFUNCTION("""COMPUTED_VALUE"""),1514.2857142857138)</f>
        <v>1514.285714</v>
      </c>
    </row>
    <row r="9">
      <c r="F9" s="4" t="str">
        <f>IFERROR(__xludf.DUMMYFUNCTION("""COMPUTED_VALUE"""),"[SKL] Social")</f>
        <v>[SKL] Social</v>
      </c>
      <c r="G9" s="5">
        <f>IFERROR(__xludf.DUMMYFUNCTION("""COMPUTED_VALUE"""),-0.02866666666666599)</f>
        <v>-0.02866666667</v>
      </c>
      <c r="H9" s="4" t="str">
        <f>IFERROR(__xludf.DUMMYFUNCTION("""COMPUTED_VALUE"""),"[IM] Form Facebook Ads")</f>
        <v>[IM] Form Facebook Ads</v>
      </c>
      <c r="I9" s="5">
        <f>IFERROR(__xludf.DUMMYFUNCTION("""COMPUTED_VALUE"""),-0.15369537979290349)</f>
        <v>-0.1536953798</v>
      </c>
      <c r="J9" s="4" t="str">
        <f>IFERROR(__xludf.DUMMYFUNCTION("""COMPUTED_VALUE"""),"[SKL] Midia Paga - Quente")</f>
        <v>[SKL] Midia Paga - Quente</v>
      </c>
      <c r="K9" s="6">
        <f>IFERROR(__xludf.DUMMYFUNCTION("""COMPUTED_VALUE"""),-4.886900584795323)</f>
        <v>-4.886900585</v>
      </c>
      <c r="L9" s="4" t="str">
        <f>IFERROR(__xludf.DUMMYFUNCTION("""COMPUTED_VALUE"""),"Form G4 Instagram Outros")</f>
        <v>Form G4 Instagram Outros</v>
      </c>
      <c r="M9" s="6">
        <f>IFERROR(__xludf.DUMMYFUNCTION("""COMPUTED_VALUE"""),-11.394957983193276)</f>
        <v>-11.39495798</v>
      </c>
      <c r="N9" s="9" t="str">
        <f>IFERROR(__xludf.DUMMYFUNCTION("""COMPUTED_VALUE"""),"[SKL] Midia Paga - Quente")</f>
        <v>[SKL] Midia Paga - Quente</v>
      </c>
      <c r="O9" s="5">
        <f>IFERROR(__xludf.DUMMYFUNCTION("""COMPUTED_VALUE"""),-0.3851236186551789)</f>
        <v>-0.3851236187</v>
      </c>
      <c r="P9" s="3">
        <f>IFERROR(__xludf.DUMMYFUNCTION("""COMPUTED_VALUE"""),-8224.7)</f>
        <v>-8224.7</v>
      </c>
      <c r="S9" s="4"/>
      <c r="T9" s="4"/>
      <c r="AA9" s="4" t="str">
        <f>IFERROR(__xludf.DUMMYFUNCTION("""COMPUTED_VALUE"""),"Form G4 Instagram G4")</f>
        <v>Form G4 Instagram G4</v>
      </c>
      <c r="AB9" s="5">
        <f>IFERROR(__xludf.DUMMYFUNCTION("""COMPUTED_VALUE"""),-0.41758876121468524)</f>
        <v>-0.4175887612</v>
      </c>
      <c r="AC9" s="3">
        <f>IFERROR(__xludf.DUMMYFUNCTION("""COMPUTED_VALUE"""),-2589.2599992163396)</f>
        <v>-2589.259999</v>
      </c>
      <c r="AD9" s="4" t="str">
        <f>IFERROR(__xludf.DUMMYFUNCTION("""COMPUTED_VALUE"""),"Form G4 - K Instagram")</f>
        <v>Form G4 - K Instagram</v>
      </c>
      <c r="AE9" s="5">
        <f>IFERROR(__xludf.DUMMYFUNCTION("""COMPUTED_VALUE"""),0.09938917641520817)</f>
        <v>0.09938917642</v>
      </c>
      <c r="AF9" s="3">
        <f>IFERROR(__xludf.DUMMYFUNCTION("""COMPUTED_VALUE"""),131.01045815461612)</f>
        <v>131.0104582</v>
      </c>
    </row>
    <row r="10">
      <c r="F10" s="4" t="str">
        <f>IFERROR(__xludf.DUMMYFUNCTION("""COMPUTED_VALUE"""),"[IM] Form G4 Facebook Ads - K")</f>
        <v>[IM] Form G4 Facebook Ads - K</v>
      </c>
      <c r="G10" s="5">
        <f>IFERROR(__xludf.DUMMYFUNCTION("""COMPUTED_VALUE"""),-0.019658119658118926)</f>
        <v>-0.01965811966</v>
      </c>
      <c r="H10" s="4" t="str">
        <f>IFERROR(__xludf.DUMMYFUNCTION("""COMPUTED_VALUE"""),"[ON] Abandono de carrinho")</f>
        <v>[ON] Abandono de carrinho</v>
      </c>
      <c r="I10" s="5">
        <f>IFERROR(__xludf.DUMMYFUNCTION("""COMPUTED_VALUE"""),-0.1385950617364499)</f>
        <v>-0.1385950617</v>
      </c>
      <c r="J10" s="4" t="str">
        <f>IFERROR(__xludf.DUMMYFUNCTION("""COMPUTED_VALUE"""),"[SKL] Midia Paga - Frio")</f>
        <v>[SKL] Midia Paga - Frio</v>
      </c>
      <c r="K10" s="6">
        <f>IFERROR(__xludf.DUMMYFUNCTION("""COMPUTED_VALUE"""),-4.427980295566503)</f>
        <v>-4.427980296</v>
      </c>
      <c r="L10" s="4" t="str">
        <f>IFERROR(__xludf.DUMMYFUNCTION("""COMPUTED_VALUE"""),"Aplicativo G4 - Indicação")</f>
        <v>Aplicativo G4 - Indicação</v>
      </c>
      <c r="M10" s="6">
        <f>IFERROR(__xludf.DUMMYFUNCTION("""COMPUTED_VALUE"""),-9.153846153846153)</f>
        <v>-9.153846154</v>
      </c>
      <c r="N10" s="9" t="str">
        <f>IFERROR(__xludf.DUMMYFUNCTION("""COMPUTED_VALUE"""),"Form G4 Instagram G4")</f>
        <v>Form G4 Instagram G4</v>
      </c>
      <c r="O10" s="5">
        <f>IFERROR(__xludf.DUMMYFUNCTION("""COMPUTED_VALUE"""),-0.3203126440781814)</f>
        <v>-0.3203126441</v>
      </c>
      <c r="P10" s="3">
        <f>IFERROR(__xludf.DUMMYFUNCTION("""COMPUTED_VALUE"""),-10250.004610501805)</f>
        <v>-10250.00461</v>
      </c>
      <c r="Q10" s="4"/>
      <c r="S10" s="4"/>
      <c r="T10" s="4"/>
      <c r="AA10" s="4" t="str">
        <f>IFERROR(__xludf.DUMMYFUNCTION("""COMPUTED_VALUE"""),"[ON] Outros")</f>
        <v>[ON] Outros</v>
      </c>
      <c r="AB10" s="5">
        <f>IFERROR(__xludf.DUMMYFUNCTION("""COMPUTED_VALUE"""),-0.41686801257519224)</f>
        <v>-0.4168680126</v>
      </c>
      <c r="AC10" s="3">
        <f>IFERROR(__xludf.DUMMYFUNCTION("""COMPUTED_VALUE"""),-1010.8664327971464)</f>
        <v>-1010.866433</v>
      </c>
    </row>
    <row r="11">
      <c r="F11" s="4" t="str">
        <f>IFERROR(__xludf.DUMMYFUNCTION("""COMPUTED_VALUE"""),"[SKL] CRM - Email")</f>
        <v>[SKL] CRM - Email</v>
      </c>
      <c r="G11" s="5">
        <f>IFERROR(__xludf.DUMMYFUNCTION("""COMPUTED_VALUE"""),-0.010124610591899619)</f>
        <v>-0.01012461059</v>
      </c>
      <c r="H11" s="4" t="str">
        <f>IFERROR(__xludf.DUMMYFUNCTION("""COMPUTED_VALUE"""),"[SKL] CRM - Email")</f>
        <v>[SKL] CRM - Email</v>
      </c>
      <c r="I11" s="5">
        <f>IFERROR(__xludf.DUMMYFUNCTION("""COMPUTED_VALUE"""),-0.10711491518735482)</f>
        <v>-0.1071149152</v>
      </c>
      <c r="J11" s="4" t="str">
        <f>IFERROR(__xludf.DUMMYFUNCTION("""COMPUTED_VALUE"""),"[ON] Outros")</f>
        <v>[ON] Outros</v>
      </c>
      <c r="K11" s="6">
        <f>IFERROR(__xludf.DUMMYFUNCTION("""COMPUTED_VALUE"""),-1.9797085472666842)</f>
        <v>-1.979708547</v>
      </c>
      <c r="L11" s="4" t="str">
        <f>IFERROR(__xludf.DUMMYFUNCTION("""COMPUTED_VALUE"""),"[SKL] Social")</f>
        <v>[SKL] Social</v>
      </c>
      <c r="M11" s="6">
        <f>IFERROR(__xludf.DUMMYFUNCTION("""COMPUTED_VALUE"""),-8.105263157894738)</f>
        <v>-8.105263158</v>
      </c>
      <c r="N11" s="9" t="str">
        <f>IFERROR(__xludf.DUMMYFUNCTION("""COMPUTED_VALUE"""),"[IM] Form Facebook Ads")</f>
        <v>[IM] Form Facebook Ads</v>
      </c>
      <c r="O11" s="5">
        <f>IFERROR(__xludf.DUMMYFUNCTION("""COMPUTED_VALUE"""),-0.3163628185907047)</f>
        <v>-0.3163628186</v>
      </c>
      <c r="P11" s="3">
        <f>IFERROR(__xludf.DUMMYFUNCTION("""COMPUTED_VALUE"""),-9174.521739130436)</f>
        <v>-9174.521739</v>
      </c>
      <c r="AA11" s="4" t="str">
        <f>IFERROR(__xludf.DUMMYFUNCTION("""COMPUTED_VALUE"""),"Form G4 Incompleto Instagram")</f>
        <v>Form G4 Incompleto Instagram</v>
      </c>
      <c r="AB11" s="5">
        <f>IFERROR(__xludf.DUMMYFUNCTION("""COMPUTED_VALUE"""),-0.35687534060822546)</f>
        <v>-0.3568753406</v>
      </c>
      <c r="AC11" s="3">
        <f>IFERROR(__xludf.DUMMYFUNCTION("""COMPUTED_VALUE"""),-746.6695402298849)</f>
        <v>-746.6695402</v>
      </c>
    </row>
    <row r="12">
      <c r="F12" s="4" t="str">
        <f>IFERROR(__xludf.DUMMYFUNCTION("""COMPUTED_VALUE"""),"[SKL] Outros")</f>
        <v>[SKL] Outros</v>
      </c>
      <c r="G12" s="5">
        <f>IFERROR(__xludf.DUMMYFUNCTION("""COMPUTED_VALUE"""),-0.009190672153634498)</f>
        <v>-0.009190672154</v>
      </c>
      <c r="H12" s="4" t="str">
        <f>IFERROR(__xludf.DUMMYFUNCTION("""COMPUTED_VALUE"""),"Form G4 - K Outros")</f>
        <v>Form G4 - K Outros</v>
      </c>
      <c r="I12" s="5">
        <f>IFERROR(__xludf.DUMMYFUNCTION("""COMPUTED_VALUE"""),-0.096350935742418)</f>
        <v>-0.09635093574</v>
      </c>
      <c r="J12" s="4" t="str">
        <f>IFERROR(__xludf.DUMMYFUNCTION("""COMPUTED_VALUE"""),"[ON] Abandono de carrinho")</f>
        <v>[ON] Abandono de carrinho</v>
      </c>
      <c r="K12" s="6">
        <f>IFERROR(__xludf.DUMMYFUNCTION("""COMPUTED_VALUE"""),-1.6069651741293545)</f>
        <v>-1.606965174</v>
      </c>
      <c r="L12" s="4" t="str">
        <f>IFERROR(__xludf.DUMMYFUNCTION("""COMPUTED_VALUE"""),"[IM] Social DM")</f>
        <v>[IM] Social DM</v>
      </c>
      <c r="M12" s="6">
        <f>IFERROR(__xludf.DUMMYFUNCTION("""COMPUTED_VALUE"""),-8.000000000000002)</f>
        <v>-8</v>
      </c>
      <c r="N12" s="9" t="str">
        <f>IFERROR(__xludf.DUMMYFUNCTION("""COMPUTED_VALUE"""),"[SKL] Social")</f>
        <v>[SKL] Social</v>
      </c>
      <c r="O12" s="5">
        <f>IFERROR(__xludf.DUMMYFUNCTION("""COMPUTED_VALUE"""),-0.3161111111111111)</f>
        <v>-0.3161111111</v>
      </c>
      <c r="P12" s="3">
        <f>IFERROR(__xludf.DUMMYFUNCTION("""COMPUTED_VALUE"""),-6638.333333333334)</f>
        <v>-6638.333333</v>
      </c>
      <c r="AA12" s="4" t="str">
        <f>IFERROR(__xludf.DUMMYFUNCTION("""COMPUTED_VALUE"""),"Form G4 Instagram Outros")</f>
        <v>Form G4 Instagram Outros</v>
      </c>
      <c r="AB12" s="5">
        <f>IFERROR(__xludf.DUMMYFUNCTION("""COMPUTED_VALUE"""),-0.35195421719455655)</f>
        <v>-0.3519542172</v>
      </c>
      <c r="AC12" s="3">
        <f>IFERROR(__xludf.DUMMYFUNCTION("""COMPUTED_VALUE"""),-2210.3193277310934)</f>
        <v>-2210.319328</v>
      </c>
    </row>
    <row r="13">
      <c r="F13" s="4"/>
      <c r="G13" s="4"/>
      <c r="H13" s="4" t="str">
        <f>IFERROR(__xludf.DUMMYFUNCTION("""COMPUTED_VALUE"""),"Form G4 - K Instagram")</f>
        <v>Form G4 - K Instagram</v>
      </c>
      <c r="I13" s="5">
        <f>IFERROR(__xludf.DUMMYFUNCTION("""COMPUTED_VALUE"""),-0.015633892316467234)</f>
        <v>-0.01563389232</v>
      </c>
      <c r="J13" s="4" t="str">
        <f>IFERROR(__xludf.DUMMYFUNCTION("""COMPUTED_VALUE"""),"Form G4 Facebook")</f>
        <v>Form G4 Facebook</v>
      </c>
      <c r="K13" s="6">
        <f>IFERROR(__xludf.DUMMYFUNCTION("""COMPUTED_VALUE"""),-0.21428571428571686)</f>
        <v>-0.2142857143</v>
      </c>
      <c r="L13" s="4" t="str">
        <f>IFERROR(__xludf.DUMMYFUNCTION("""COMPUTED_VALUE"""),"Form G4 Incompleto Outros")</f>
        <v>Form G4 Incompleto Outros</v>
      </c>
      <c r="M13" s="6">
        <f>IFERROR(__xludf.DUMMYFUNCTION("""COMPUTED_VALUE"""),-7.999999999999999)</f>
        <v>-8</v>
      </c>
      <c r="N13" s="9" t="str">
        <f>IFERROR(__xludf.DUMMYFUNCTION("""COMPUTED_VALUE"""),"[IM] Chat")</f>
        <v>[IM] Chat</v>
      </c>
      <c r="O13" s="5">
        <f>IFERROR(__xludf.DUMMYFUNCTION("""COMPUTED_VALUE"""),-0.2426044380142844)</f>
        <v>-0.242604438</v>
      </c>
      <c r="P13" s="3">
        <f>IFERROR(__xludf.DUMMYFUNCTION("""COMPUTED_VALUE"""),-6307.7153883713945)</f>
        <v>-6307.715388</v>
      </c>
      <c r="AA13" s="4" t="str">
        <f>IFERROR(__xludf.DUMMYFUNCTION("""COMPUTED_VALUE"""),"Form G4 - K Outros")</f>
        <v>Form G4 - K Outros</v>
      </c>
      <c r="AB13" s="5">
        <f>IFERROR(__xludf.DUMMYFUNCTION("""COMPUTED_VALUE"""),-0.2728221377185427)</f>
        <v>-0.2728221377</v>
      </c>
      <c r="AC13" s="3">
        <f>IFERROR(__xludf.DUMMYFUNCTION("""COMPUTED_VALUE"""),-570.5587715015074)</f>
        <v>-570.5587715</v>
      </c>
    </row>
    <row r="14">
      <c r="F14" s="4"/>
      <c r="G14" s="4"/>
      <c r="H14" s="4" t="str">
        <f>IFERROR(__xludf.DUMMYFUNCTION("""COMPUTED_VALUE"""),"[IM] Chat")</f>
        <v>[IM] Chat</v>
      </c>
      <c r="I14" s="5">
        <f>IFERROR(__xludf.DUMMYFUNCTION("""COMPUTED_VALUE"""),-6.293823819991846E-4)</f>
        <v>-0.000629382382</v>
      </c>
      <c r="J14" s="4" t="str">
        <f>IFERROR(__xludf.DUMMYFUNCTION("""COMPUTED_VALUE"""),"Form G4 Incompleto Outros")</f>
        <v>Form G4 Incompleto Outros</v>
      </c>
      <c r="K14" s="6">
        <f>IFERROR(__xludf.DUMMYFUNCTION("""COMPUTED_VALUE"""),-0.177215189873417)</f>
        <v>-0.1772151899</v>
      </c>
      <c r="L14" s="4" t="str">
        <f>IFERROR(__xludf.DUMMYFUNCTION("""COMPUTED_VALUE"""),"[IM] Form Facebook Ads")</f>
        <v>[IM] Form Facebook Ads</v>
      </c>
      <c r="M14" s="6">
        <f>IFERROR(__xludf.DUMMYFUNCTION("""COMPUTED_VALUE"""),-7.367841409691629)</f>
        <v>-7.36784141</v>
      </c>
      <c r="N14" s="9" t="str">
        <f>IFERROR(__xludf.DUMMYFUNCTION("""COMPUTED_VALUE"""),"Form G4 Outros - Orgânico")</f>
        <v>Form G4 Outros - Orgânico</v>
      </c>
      <c r="O14" s="5">
        <f>IFERROR(__xludf.DUMMYFUNCTION("""COMPUTED_VALUE"""),-0.17338225301106772)</f>
        <v>-0.173382253</v>
      </c>
      <c r="P14" s="3">
        <f>IFERROR(__xludf.DUMMYFUNCTION("""COMPUTED_VALUE"""),-4161.174072265625)</f>
        <v>-4161.174072</v>
      </c>
      <c r="AA14" s="4" t="str">
        <f>IFERROR(__xludf.DUMMYFUNCTION("""COMPUTED_VALUE"""),"Form G4 Facebook")</f>
        <v>Form G4 Facebook</v>
      </c>
      <c r="AB14" s="5">
        <f>IFERROR(__xludf.DUMMYFUNCTION("""COMPUTED_VALUE"""),-0.26733866941392626)</f>
        <v>-0.2673386694</v>
      </c>
      <c r="AC14" s="3">
        <f>IFERROR(__xludf.DUMMYFUNCTION("""COMPUTED_VALUE"""),-894.3555555555554)</f>
        <v>-894.3555556</v>
      </c>
    </row>
    <row r="15">
      <c r="F15" s="4"/>
      <c r="G15" s="4"/>
      <c r="H15" s="4"/>
      <c r="I15" s="4"/>
      <c r="J15" s="4"/>
      <c r="K15" s="4"/>
      <c r="L15" s="9" t="str">
        <f>IFERROR(__xludf.DUMMYFUNCTION("""COMPUTED_VALUE"""),"[IM] Chat")</f>
        <v>[IM] Chat</v>
      </c>
      <c r="M15" s="6">
        <f>IFERROR(__xludf.DUMMYFUNCTION("""COMPUTED_VALUE"""),-6.064676616915424)</f>
        <v>-6.064676617</v>
      </c>
      <c r="N15" s="9" t="str">
        <f>IFERROR(__xludf.DUMMYFUNCTION("""COMPUTED_VALUE"""),"Form G4 Incompleto Instagram")</f>
        <v>Form G4 Incompleto Instagram</v>
      </c>
      <c r="O15" s="5">
        <f>IFERROR(__xludf.DUMMYFUNCTION("""COMPUTED_VALUE"""),-0.17264889705882352)</f>
        <v>-0.1726488971</v>
      </c>
      <c r="P15" s="3">
        <f>IFERROR(__xludf.DUMMYFUNCTION("""COMPUTED_VALUE"""),-2935.03125)</f>
        <v>-2935.03125</v>
      </c>
      <c r="AA15" s="4" t="str">
        <f>IFERROR(__xludf.DUMMYFUNCTION("""COMPUTED_VALUE"""),"[SKL] Outros")</f>
        <v>[SKL] Outros</v>
      </c>
      <c r="AB15" s="5">
        <f>IFERROR(__xludf.DUMMYFUNCTION("""COMPUTED_VALUE"""),-0.26499578294141746)</f>
        <v>-0.2649957829</v>
      </c>
      <c r="AC15" s="3">
        <f>IFERROR(__xludf.DUMMYFUNCTION("""COMPUTED_VALUE"""),-1900.539999999999)</f>
        <v>-1900.54</v>
      </c>
    </row>
    <row r="16">
      <c r="F16" s="4"/>
      <c r="G16" s="4"/>
      <c r="H16" s="4"/>
      <c r="I16" s="4"/>
      <c r="J16" s="4"/>
      <c r="K16" s="4"/>
      <c r="L16" s="9" t="str">
        <f>IFERROR(__xludf.DUMMYFUNCTION("""COMPUTED_VALUE"""),"Form G4 - K Instagram")</f>
        <v>Form G4 - K Instagram</v>
      </c>
      <c r="M16" s="6">
        <f>IFERROR(__xludf.DUMMYFUNCTION("""COMPUTED_VALUE"""),-5.888888888888891)</f>
        <v>-5.888888889</v>
      </c>
      <c r="N16" s="9" t="str">
        <f>IFERROR(__xludf.DUMMYFUNCTION("""COMPUTED_VALUE"""),"[IM] Time de vendas")</f>
        <v>[IM] Time de vendas</v>
      </c>
      <c r="O16" s="5">
        <f>IFERROR(__xludf.DUMMYFUNCTION("""COMPUTED_VALUE"""),-0.16761421250554775)</f>
        <v>-0.1676142125</v>
      </c>
      <c r="P16" s="3">
        <f>IFERROR(__xludf.DUMMYFUNCTION("""COMPUTED_VALUE"""),-5015.2706986121375)</f>
        <v>-5015.270699</v>
      </c>
      <c r="AA16" s="4" t="str">
        <f>IFERROR(__xludf.DUMMYFUNCTION("""COMPUTED_VALUE"""),"[SKL] Midia Paga - Frio")</f>
        <v>[SKL] Midia Paga - Frio</v>
      </c>
      <c r="AB16" s="5">
        <f>IFERROR(__xludf.DUMMYFUNCTION("""COMPUTED_VALUE"""),-0.21917486618297033)</f>
        <v>-0.2191748662</v>
      </c>
      <c r="AC16" s="3">
        <f>IFERROR(__xludf.DUMMYFUNCTION("""COMPUTED_VALUE"""),-232.38735940148308)</f>
        <v>-232.3873594</v>
      </c>
    </row>
    <row r="17">
      <c r="F17" s="4"/>
      <c r="G17" s="4"/>
      <c r="H17" s="4"/>
      <c r="I17" s="4"/>
      <c r="J17" s="4"/>
      <c r="K17" s="4"/>
      <c r="L17" s="9" t="str">
        <f>IFERROR(__xludf.DUMMYFUNCTION("""COMPUTED_VALUE"""),"[SKL] CRM - Email")</f>
        <v>[SKL] CRM - Email</v>
      </c>
      <c r="M17" s="6">
        <f>IFERROR(__xludf.DUMMYFUNCTION("""COMPUTED_VALUE"""),-5.156521739130435)</f>
        <v>-5.156521739</v>
      </c>
      <c r="N17" s="9" t="str">
        <f>IFERROR(__xludf.DUMMYFUNCTION("""COMPUTED_VALUE"""),"[IM] Link de Indicação")</f>
        <v>[IM] Link de Indicação</v>
      </c>
      <c r="O17" s="5">
        <f>IFERROR(__xludf.DUMMYFUNCTION("""COMPUTED_VALUE"""),-0.138375)</f>
        <v>-0.138375</v>
      </c>
      <c r="P17" s="3">
        <f>IFERROR(__xludf.DUMMYFUNCTION("""COMPUTED_VALUE"""),-3321.0)</f>
        <v>-3321</v>
      </c>
      <c r="AA17" s="4" t="str">
        <f>IFERROR(__xludf.DUMMYFUNCTION("""COMPUTED_VALUE"""),"[ON] Abandono de carrinho")</f>
        <v>[ON] Abandono de carrinho</v>
      </c>
      <c r="AB17" s="5">
        <f>IFERROR(__xludf.DUMMYFUNCTION("""COMPUTED_VALUE"""),-0.20295616069878653)</f>
        <v>-0.2029561607</v>
      </c>
      <c r="AC17" s="3">
        <f>IFERROR(__xludf.DUMMYFUNCTION("""COMPUTED_VALUE"""),-582.8485989734795)</f>
        <v>-582.848599</v>
      </c>
    </row>
    <row r="18">
      <c r="F18" s="4"/>
      <c r="G18" s="4"/>
      <c r="H18" s="4"/>
      <c r="I18" s="4"/>
      <c r="J18" s="4"/>
      <c r="K18" s="4"/>
      <c r="L18" s="9" t="str">
        <f>IFERROR(__xludf.DUMMYFUNCTION("""COMPUTED_VALUE"""),"[SKL] CRM - WhatsApp")</f>
        <v>[SKL] CRM - WhatsApp</v>
      </c>
      <c r="M18" s="6">
        <f>IFERROR(__xludf.DUMMYFUNCTION("""COMPUTED_VALUE"""),-3.615384615384615)</f>
        <v>-3.615384615</v>
      </c>
      <c r="N18" s="9" t="str">
        <f>IFERROR(__xludf.DUMMYFUNCTION("""COMPUTED_VALUE"""),"Form G4 - K Outros")</f>
        <v>Form G4 - K Outros</v>
      </c>
      <c r="O18" s="5">
        <f>IFERROR(__xludf.DUMMYFUNCTION("""COMPUTED_VALUE"""),-0.09524010962182351)</f>
        <v>-0.09524010962</v>
      </c>
      <c r="P18" s="3">
        <f>IFERROR(__xludf.DUMMYFUNCTION("""COMPUTED_VALUE"""),-1238.1214250837056)</f>
        <v>-1238.121425</v>
      </c>
      <c r="AA18" s="4" t="str">
        <f>IFERROR(__xludf.DUMMYFUNCTION("""COMPUTED_VALUE"""),"[SKL] Site")</f>
        <v>[SKL] Site</v>
      </c>
      <c r="AB18" s="5">
        <f>IFERROR(__xludf.DUMMYFUNCTION("""COMPUTED_VALUE"""),-0.1786844235344638)</f>
        <v>-0.1786844235</v>
      </c>
      <c r="AC18" s="3">
        <f>IFERROR(__xludf.DUMMYFUNCTION("""COMPUTED_VALUE"""),-976.5249982561381)</f>
        <v>-976.5249983</v>
      </c>
    </row>
    <row r="19">
      <c r="F19" s="4"/>
      <c r="G19" s="4"/>
      <c r="H19" s="4"/>
      <c r="I19" s="4"/>
      <c r="J19" s="4"/>
      <c r="K19" s="4"/>
      <c r="L19" s="9" t="str">
        <f>IFERROR(__xludf.DUMMYFUNCTION("""COMPUTED_VALUE"""),"Form G4 - K Outros")</f>
        <v>Form G4 - K Outros</v>
      </c>
      <c r="M19" s="6">
        <f>IFERROR(__xludf.DUMMYFUNCTION("""COMPUTED_VALUE"""),-3.2192982456140355)</f>
        <v>-3.219298246</v>
      </c>
      <c r="N19" s="9" t="str">
        <f>IFERROR(__xludf.DUMMYFUNCTION("""COMPUTED_VALUE"""),"Form G4 Facebook")</f>
        <v>Form G4 Facebook</v>
      </c>
      <c r="O19" s="5">
        <f>IFERROR(__xludf.DUMMYFUNCTION("""COMPUTED_VALUE"""),-0.08996521739130438)</f>
        <v>-0.08996521739</v>
      </c>
      <c r="P19" s="3">
        <f>IFERROR(__xludf.DUMMYFUNCTION("""COMPUTED_VALUE"""),-2069.2000000000007)</f>
        <v>-2069.2</v>
      </c>
      <c r="AA19" s="4" t="str">
        <f>IFERROR(__xludf.DUMMYFUNCTION("""COMPUTED_VALUE"""),"[IM] Link de Indicação")</f>
        <v>[IM] Link de Indicação</v>
      </c>
      <c r="AB19" s="5">
        <f>IFERROR(__xludf.DUMMYFUNCTION("""COMPUTED_VALUE"""),-0.13631852896053553)</f>
        <v>-0.136318529</v>
      </c>
      <c r="AC19" s="3">
        <f>IFERROR(__xludf.DUMMYFUNCTION("""COMPUTED_VALUE"""),-820.2272727272739)</f>
        <v>-820.2272727</v>
      </c>
    </row>
    <row r="20">
      <c r="F20" s="4"/>
      <c r="G20" s="4"/>
      <c r="H20" s="4"/>
      <c r="I20" s="4"/>
      <c r="J20" s="4"/>
      <c r="K20" s="4"/>
      <c r="L20" s="9" t="str">
        <f>IFERROR(__xludf.DUMMYFUNCTION("""COMPUTED_VALUE"""),"Form G4 Instagram G4")</f>
        <v>Form G4 Instagram G4</v>
      </c>
      <c r="M20" s="6">
        <f>IFERROR(__xludf.DUMMYFUNCTION("""COMPUTED_VALUE"""),-2.9506172839506184)</f>
        <v>-2.950617284</v>
      </c>
      <c r="N20" s="9" t="str">
        <f>IFERROR(__xludf.DUMMYFUNCTION("""COMPUTED_VALUE"""),"[ON] Abandono de carrinho")</f>
        <v>[ON] Abandono de carrinho</v>
      </c>
      <c r="O20" s="5">
        <f>IFERROR(__xludf.DUMMYFUNCTION("""COMPUTED_VALUE"""),-0.06797656953204456)</f>
        <v>-0.06797656953</v>
      </c>
      <c r="P20" s="3">
        <f>IFERROR(__xludf.DUMMYFUNCTION("""COMPUTED_VALUE"""),-231.12033640895152)</f>
        <v>-231.1203364</v>
      </c>
      <c r="AA20" s="4" t="str">
        <f>IFERROR(__xludf.DUMMYFUNCTION("""COMPUTED_VALUE"""),"Form G4 Incompleto Outros")</f>
        <v>Form G4 Incompleto Outros</v>
      </c>
      <c r="AB20" s="5">
        <f>IFERROR(__xludf.DUMMYFUNCTION("""COMPUTED_VALUE"""),-0.11069585335468912)</f>
        <v>-0.1106958534</v>
      </c>
      <c r="AC20" s="3">
        <f>IFERROR(__xludf.DUMMYFUNCTION("""COMPUTED_VALUE"""),-221.99999999999977)</f>
        <v>-222</v>
      </c>
    </row>
    <row r="21">
      <c r="F21" s="4"/>
      <c r="G21" s="4"/>
      <c r="H21" s="4"/>
      <c r="I21" s="4"/>
      <c r="J21" s="4"/>
      <c r="K21" s="4"/>
      <c r="L21" s="9" t="str">
        <f>IFERROR(__xludf.DUMMYFUNCTION("""COMPUTED_VALUE"""),"Form G4 Facebook")</f>
        <v>Form G4 Facebook</v>
      </c>
      <c r="M21" s="6">
        <f>IFERROR(__xludf.DUMMYFUNCTION("""COMPUTED_VALUE"""),-2.888888888888891)</f>
        <v>-2.888888889</v>
      </c>
      <c r="O21" s="4"/>
      <c r="P21" s="4"/>
      <c r="AA21" s="4" t="str">
        <f>IFERROR(__xludf.DUMMYFUNCTION("""COMPUTED_VALUE"""),"[SKL] Midia Paga - Quente")</f>
        <v>[SKL] Midia Paga - Quente</v>
      </c>
      <c r="AB21" s="5">
        <f>IFERROR(__xludf.DUMMYFUNCTION("""COMPUTED_VALUE"""),-0.08655020821525405)</f>
        <v>-0.08655020822</v>
      </c>
      <c r="AC21" s="3">
        <f>IFERROR(__xludf.DUMMYFUNCTION("""COMPUTED_VALUE"""),-168.77105116279085)</f>
        <v>-168.7710512</v>
      </c>
    </row>
    <row r="22">
      <c r="F22" s="4"/>
      <c r="G22" s="4"/>
      <c r="H22" s="4"/>
      <c r="I22" s="4"/>
      <c r="J22" s="4"/>
      <c r="K22" s="4"/>
      <c r="L22" s="9" t="str">
        <f>IFERROR(__xludf.DUMMYFUNCTION("""COMPUTED_VALUE"""),"Form G4 Incompleto Instagram")</f>
        <v>Form G4 Incompleto Instagram</v>
      </c>
      <c r="M22" s="6">
        <f>IFERROR(__xludf.DUMMYFUNCTION("""COMPUTED_VALUE"""),-2.804597701149425)</f>
        <v>-2.804597701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IFERROR(__xludf.DUMMYFUNCTION("""COMPUTED_VALUE"""),"[IM] Form G4 Facebook Ads - K")</f>
        <v>[IM] Form G4 Facebook Ads - K</v>
      </c>
      <c r="M23" s="6">
        <f>IFERROR(__xludf.DUMMYFUNCTION("""COMPUTED_VALUE"""),-2.6701395619306068)</f>
        <v>-2.670139562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IFERROR(__xludf.DUMMYFUNCTION("""COMPUTED_VALUE"""),"[ON] Chat")</f>
        <v>[ON] Chat</v>
      </c>
      <c r="M24" s="6">
        <f>IFERROR(__xludf.DUMMYFUNCTION("""COMPUTED_VALUE"""),-1.6896551724137954)</f>
        <v>-1.689655172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IFERROR(__xludf.DUMMYFUNCTION("""COMPUTED_VALUE"""),"[IM] Link de Indicação")</f>
        <v>[IM] Link de Indicação</v>
      </c>
      <c r="M25" s="6">
        <f>IFERROR(__xludf.DUMMYFUNCTION("""COMPUTED_VALUE"""),-0.2727272727272745)</f>
        <v>-0.2727272727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M26" s="4"/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M27" s="4"/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0">
        <f>IFERROR(__xludf.DUMMYFUNCTION("IMPORTRANGE(""https://docs.google.com/spreadsheets/d/1D6uzcbxSwPrh4oDMzqUQcTT-8H5GNx5DfmYrtr-kz2w"",""Visão ""&amp;'Parâmetro'!B1&amp;"" - Metas Comercial!AE1"")"),1.9081370002265207E7)</f>
        <v>19081370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Comercial!AF4"")"),1.5342606512502441E7)</f>
        <v>15342606.51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Comercial!AE4"")"),1.7869703007121366E7)</f>
        <v>17869703.01</v>
      </c>
    </row>
    <row r="5">
      <c r="A5" s="1" t="s">
        <v>36</v>
      </c>
      <c r="B5" s="1" t="s">
        <v>2</v>
      </c>
      <c r="C5" s="3">
        <f>C3-C4</f>
        <v>-2527096.495</v>
      </c>
    </row>
    <row r="6">
      <c r="A6" s="1" t="s">
        <v>36</v>
      </c>
      <c r="B6" s="1" t="s">
        <v>39</v>
      </c>
      <c r="C6" s="5">
        <f>C3/C2</f>
        <v>0.8040621041</v>
      </c>
    </row>
    <row r="7">
      <c r="A7" s="1" t="s">
        <v>36</v>
      </c>
      <c r="B7" s="1" t="s">
        <v>40</v>
      </c>
      <c r="C7" s="5">
        <f>C3/C4</f>
        <v>0.8585820652</v>
      </c>
    </row>
    <row r="8">
      <c r="A8" s="1" t="s">
        <v>36</v>
      </c>
      <c r="B8" s="1" t="s">
        <v>41</v>
      </c>
      <c r="C8" s="5">
        <f>C9-C6</f>
        <v>0.1324378959</v>
      </c>
    </row>
    <row r="9">
      <c r="A9" s="1" t="s">
        <v>36</v>
      </c>
      <c r="B9" s="1" t="s">
        <v>42</v>
      </c>
      <c r="C9" s="7">
        <f>C4/C2</f>
        <v>0.9365</v>
      </c>
    </row>
    <row r="10">
      <c r="A10" s="1" t="s">
        <v>36</v>
      </c>
      <c r="B10" s="1" t="s">
        <v>43</v>
      </c>
      <c r="C10" s="11">
        <v>5000000.0</v>
      </c>
    </row>
    <row r="11">
      <c r="A11" s="1" t="s">
        <v>36</v>
      </c>
      <c r="B11" s="1" t="s">
        <v>44</v>
      </c>
      <c r="C11" s="3">
        <f>C3+C10</f>
        <v>20342606.51</v>
      </c>
    </row>
    <row r="12">
      <c r="A12" s="1" t="s">
        <v>36</v>
      </c>
      <c r="B12" s="1" t="s">
        <v>45</v>
      </c>
      <c r="C12" s="10">
        <f>C2-C11</f>
        <v>-1261236.51</v>
      </c>
    </row>
    <row r="13">
      <c r="A13" s="1" t="s">
        <v>46</v>
      </c>
      <c r="B13" s="1" t="s">
        <v>47</v>
      </c>
      <c r="C13" s="7">
        <f t="array" ref="C13:C14">TRANSPOSE('Dados Relatório'!Q2:R2)</f>
        <v>0.7872340426</v>
      </c>
    </row>
    <row r="14">
      <c r="A14" s="1" t="s">
        <v>46</v>
      </c>
      <c r="B14" s="1" t="s">
        <v>48</v>
      </c>
      <c r="C14" s="7">
        <v>0.4444444444444444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Geral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Form Facebook Ads")</f>
        <v>[IM] Form Facebook Ads</v>
      </c>
      <c r="B2" s="10">
        <f>IFERROR(__xludf.DUMMYFUNCTION("""COMPUTED_VALUE"""),-193769.5341267848)</f>
        <v>-193769.5341</v>
      </c>
      <c r="C2" s="7">
        <f t="shared" ref="C2:C1000" si="1">IF(B2="","",B2/SUM($B$2:$B$1000))</f>
        <v>0.2468041196</v>
      </c>
      <c r="D2" s="7">
        <f>IF(B2="","",C2)</f>
        <v>0.2468041196</v>
      </c>
      <c r="E2" s="3">
        <f t="array" ref="E2">XLOOKUP(A2,'Dados Funil'!$A:$A,'Dados Funil'!$K:$K,"")</f>
        <v>-119.3162156</v>
      </c>
      <c r="F2" s="5">
        <f t="array" ref="F2">XLOOKUP(A2,'Dados Funil'!$A:$A,'Dados Funil'!$L:$L,"")</f>
        <v>-0.1536953798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)"),"[SKL] Outros")</f>
        <v>[SKL] Outros</v>
      </c>
      <c r="H2" s="10">
        <f>IFERROR(__xludf.DUMMYFUNCTION("""COMPUTED_VALUE"""),-369150.0)</f>
        <v>-369150</v>
      </c>
      <c r="I2" s="7">
        <f t="shared" ref="I2:I1000" si="2">IF(H2="","",H2/SUM($H$2:$H$1000))</f>
        <v>0.8393778849</v>
      </c>
      <c r="J2" s="7">
        <f>IF(H2="","",I2)</f>
        <v>0.8393778849</v>
      </c>
      <c r="K2" s="6">
        <f t="array" ref="K2">XLOOKUP(G2,'Dados Funil'!A:A,'Dados Funil'!O:O,"")</f>
        <v>-12.92270531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0">
        <f>IFERROR(__xludf.DUMMYFUNCTION("""COMPUTED_VALUE"""),-1048650.2996826174)</f>
        <v>-1048650.3</v>
      </c>
      <c r="N2" s="7">
        <f t="shared" ref="N2:N1000" si="3">IF(M2="","",M2/SUM($M$2:$M$1000))</f>
        <v>0.2788580949</v>
      </c>
      <c r="O2" s="7">
        <f>IF(M2="","",N2)</f>
        <v>0.2788580949</v>
      </c>
      <c r="P2" s="10">
        <f t="array" ref="P2">XLOOKUP(L2,'Dados Funil'!A:A,'Dados Funil'!AM:AM,"")</f>
        <v>-2589.259999</v>
      </c>
      <c r="Q2" s="5">
        <f t="array" ref="Q2">XLOOKUP(L2,'Dados Funil'!A:A,'Dados Funil'!AN:AN,"")</f>
        <v>-0.4258651315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Google")</f>
        <v>Form G4 Google</v>
      </c>
      <c r="S2" s="10">
        <f>IFERROR(__xludf.DUMMYFUNCTION("""COMPUTED_VALUE"""),290625.1358467161)</f>
        <v>290625.1358</v>
      </c>
      <c r="T2" s="7">
        <f t="shared" ref="T2:T1000" si="4">IF(S2="","",S2/SUM($S$2:$S$1000))</f>
        <v>0.2019543727</v>
      </c>
      <c r="U2" s="7">
        <f>IF(S2="","",T2)</f>
        <v>0.2019543727</v>
      </c>
      <c r="V2" s="3">
        <f t="array" ref="V2">XLOOKUP(R2,'Dados Funil'!$A:$A,'Dados Funil'!$K:$K,"")</f>
        <v>142.295895</v>
      </c>
      <c r="W2" s="5">
        <f t="array" ref="W2">XLOOKUP(R2,'Dados Funil'!$A:$A,'Dados Funil'!$L:$L,"")</f>
        <v>1.720542104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)"),"Form G4 Instagram Tallis")</f>
        <v>Form G4 Instagram Tallis</v>
      </c>
      <c r="Y2" s="10">
        <f>IFERROR(__xludf.DUMMYFUNCTION("""COMPUTED_VALUE"""),169430.39999999994)</f>
        <v>169430.4</v>
      </c>
      <c r="Z2" s="7">
        <f t="shared" ref="Z2:Z1000" si="5">IF(Y2="","",Y2/SUM($Y$2:$Y$1000))</f>
        <v>0.2430853689</v>
      </c>
      <c r="AA2" s="7">
        <f>IF(Y2="","",Z2)</f>
        <v>0.2430853689</v>
      </c>
      <c r="AB2" s="6">
        <f t="array" ref="AB2">XLOOKUP(X2,'Dados Funil'!A:A,'Dados Funil'!O:O,"")</f>
        <v>11.2247191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Instagram Tallis")</f>
        <v>Form G4 Instagram Tallis</v>
      </c>
      <c r="AD2" s="10">
        <f>IFERROR(__xludf.DUMMYFUNCTION("""COMPUTED_VALUE"""),436307.00000000006)</f>
        <v>436307</v>
      </c>
      <c r="AE2" s="7">
        <f t="shared" ref="AE2:AE1000" si="6">IF(AD2="","",AD2/SUM($AD$2:$AD$1000))</f>
        <v>0.5045177492</v>
      </c>
      <c r="AF2" s="7">
        <f>IF(AD2="","",AE2)</f>
        <v>0.5045177492</v>
      </c>
      <c r="AG2" s="10">
        <f t="array" ref="AG2">XLOOKUP(AC2,'Dados Funil'!A:A,'Dados Funil'!AM:AM,"")</f>
        <v>2709.981366</v>
      </c>
      <c r="AH2" s="5">
        <f t="array" ref="AH2">XLOOKUP(AC2,'Dados Funil'!A:A,'Dados Funil'!AN:AN,"")</f>
        <v>0.6391465487</v>
      </c>
      <c r="AI2" s="9" t="str">
        <f>IFERROR(__xludf.DUMMYFUNCTION("QUERY('Dados Funil'!A2:AP100,""SELECT Col1, Col9, Col13, Col37 WHERE Col9 &gt; 0"")"),"Form G4 Instagram G4")</f>
        <v>Form G4 Instagram G4</v>
      </c>
      <c r="AJ2" s="12">
        <f>IFERROR(__xludf.DUMMYFUNCTION("""COMPUTED_VALUE"""),1118.8383249094745)</f>
        <v>1118.838325</v>
      </c>
      <c r="AK2" s="13">
        <f>IFERROR(__xludf.DUMMYFUNCTION("""COMPUTED_VALUE"""),0.34)</f>
        <v>0.34</v>
      </c>
      <c r="AL2" s="9">
        <f>IFERROR(__xludf.DUMMYFUNCTION("""COMPUTED_VALUE"""),6080.000000000001)</f>
        <v>6080</v>
      </c>
      <c r="AM2" s="9">
        <f t="shared" ref="AM2:AM35" si="7">AJ2*AK2*AL2</f>
        <v>2312862.585</v>
      </c>
      <c r="AN2" s="9" t="str">
        <f>IFERROR(__xludf.DUMMYFUNCTION("QUERY('Dados Funil'!A2:AZ100,""SELECT Col1, Col10, Col14, Col38 WHERE Col9 &gt; 0"")"),"Form G4 Instagram G4")</f>
        <v>Form G4 Instagram G4</v>
      </c>
      <c r="AO2" s="12">
        <f>IFERROR(__xludf.DUMMYFUNCTION("""COMPUTED_VALUE"""),1183.0)</f>
        <v>1183</v>
      </c>
      <c r="AP2" s="13">
        <f>IFERROR(__xludf.DUMMYFUNCTION("""COMPUTED_VALUE"""),0.3423499577345731)</f>
        <v>0.3423499577</v>
      </c>
      <c r="AQ2" s="14">
        <f>IFERROR(__xludf.DUMMYFUNCTION("""COMPUTED_VALUE"""),3490.7400007836613)</f>
        <v>3490.740001</v>
      </c>
      <c r="AR2" s="9">
        <f t="shared" ref="AR2:AR35" si="8">AO2*AP2*AQ2</f>
        <v>1413749.7</v>
      </c>
    </row>
    <row r="3">
      <c r="A3" s="4" t="str">
        <f>IFERROR(__xludf.DUMMYFUNCTION("""COMPUTED_VALUE"""),"[SKL] Site")</f>
        <v>[SKL] Site</v>
      </c>
      <c r="B3" s="10">
        <f>IFERROR(__xludf.DUMMYFUNCTION("""COMPUTED_VALUE"""),-132292.92543568928)</f>
        <v>-132292.9254</v>
      </c>
      <c r="C3" s="7">
        <f t="shared" si="1"/>
        <v>0.1685014063</v>
      </c>
      <c r="D3" s="7">
        <f t="shared" ref="D3:D1000" si="9">IF(B3="","",C3+D2)</f>
        <v>0.4153055259</v>
      </c>
      <c r="E3" s="3">
        <f t="array" ref="E3">XLOOKUP(A3,'Dados Funil'!$A:$A,'Dados Funil'!$K:$K,"")</f>
        <v>-171.9206308</v>
      </c>
      <c r="F3" s="5">
        <f t="array" ref="F3">XLOOKUP(A3,'Dados Funil'!$A:$A,'Dados Funil'!$L:$L,"")</f>
        <v>-0.5441893123</v>
      </c>
      <c r="G3" s="4" t="str">
        <f>IFERROR(__xludf.DUMMYFUNCTION("""COMPUTED_VALUE"""),"[IM] Social DM")</f>
        <v>[IM] Social DM</v>
      </c>
      <c r="H3" s="10">
        <f>IFERROR(__xludf.DUMMYFUNCTION("""COMPUTED_VALUE"""),-69631.99999999994)</f>
        <v>-69632</v>
      </c>
      <c r="I3" s="7">
        <f t="shared" si="2"/>
        <v>0.1583301121</v>
      </c>
      <c r="J3" s="7">
        <f t="shared" ref="J3:J1000" si="10">IF(H3="","",I3+J2)</f>
        <v>0.997707997</v>
      </c>
      <c r="K3" s="6">
        <f t="array" ref="K3">XLOOKUP(G3,'Dados Funil'!A:A,'Dados Funil'!O:O,"")</f>
        <v>-5.333333333</v>
      </c>
      <c r="L3" s="4" t="str">
        <f>IFERROR(__xludf.DUMMYFUNCTION("""COMPUTED_VALUE"""),"[IM] Form Facebook Ads")</f>
        <v>[IM] Form Facebook Ads</v>
      </c>
      <c r="M3" s="10">
        <f>IFERROR(__xludf.DUMMYFUNCTION("""COMPUTED_VALUE"""),-696038.9999999998)</f>
        <v>-696039</v>
      </c>
      <c r="N3" s="7">
        <f t="shared" si="3"/>
        <v>0.1850913594</v>
      </c>
      <c r="O3" s="7">
        <f t="shared" ref="O3:O1000" si="11">IF(N3="","",N3+O2)</f>
        <v>0.4639494543</v>
      </c>
      <c r="P3" s="10">
        <f t="array" ref="P3">XLOOKUP(L3,'Dados Funil'!A:A,'Dados Funil'!AM:AM,"")</f>
        <v>-3066.251101</v>
      </c>
      <c r="Q3" s="5">
        <f t="array" ref="Q3">XLOOKUP(L3,'Dados Funil'!A:A,'Dados Funil'!AN:AN,"")</f>
        <v>-0.6041874091</v>
      </c>
      <c r="R3" s="4" t="str">
        <f>IFERROR(__xludf.DUMMYFUNCTION("""COMPUTED_VALUE"""),"Aplicativo G4 - Indicação")</f>
        <v>Aplicativo G4 - Indicação</v>
      </c>
      <c r="S3" s="10">
        <f>IFERROR(__xludf.DUMMYFUNCTION("""COMPUTED_VALUE"""),164677.48779831643)</f>
        <v>164677.4878</v>
      </c>
      <c r="T3" s="7">
        <f t="shared" si="4"/>
        <v>0.1144338003</v>
      </c>
      <c r="U3" s="7">
        <f t="shared" ref="U3:U1000" si="12">IF(S3="","",T3+U2)</f>
        <v>0.316388173</v>
      </c>
      <c r="V3" s="3">
        <f t="array" ref="V3">XLOOKUP(R3,'Dados Funil'!$A:$A,'Dados Funil'!$K:$K,"")</f>
        <v>208.0049107</v>
      </c>
      <c r="W3" s="5">
        <f t="array" ref="W3">XLOOKUP(R3,'Dados Funil'!$A:$A,'Dados Funil'!$L:$L,"")</f>
        <v>1.981091802</v>
      </c>
      <c r="X3" s="4" t="str">
        <f>IFERROR(__xludf.DUMMYFUNCTION("""COMPUTED_VALUE"""),"[IM] Chat")</f>
        <v>[IM] Chat</v>
      </c>
      <c r="Y3" s="10">
        <f>IFERROR(__xludf.DUMMYFUNCTION("""COMPUTED_VALUE"""),95243.19999999997)</f>
        <v>95243.2</v>
      </c>
      <c r="Z3" s="7">
        <f t="shared" si="5"/>
        <v>0.1366474281</v>
      </c>
      <c r="AA3" s="7">
        <f t="shared" ref="AA3:AA1000" si="13">IF(Y3="","",Z3+AA2)</f>
        <v>0.379732797</v>
      </c>
      <c r="AB3" s="6">
        <f t="array" ref="AB3">XLOOKUP(X3,'Dados Funil'!A:A,'Dados Funil'!O:O,"")</f>
        <v>2.970724191</v>
      </c>
      <c r="AC3" s="4" t="str">
        <f>IFERROR(__xludf.DUMMYFUNCTION("""COMPUTED_VALUE"""),"Form G4 Google")</f>
        <v>Form G4 Google</v>
      </c>
      <c r="AD3" s="10">
        <f>IFERROR(__xludf.DUMMYFUNCTION("""COMPUTED_VALUE"""),384603.00000000006)</f>
        <v>384603</v>
      </c>
      <c r="AE3" s="7">
        <f t="shared" si="6"/>
        <v>0.4447305221</v>
      </c>
      <c r="AF3" s="7">
        <f t="shared" ref="AF3:AF11" si="14">IF(AE3="","",AE3+AF2)</f>
        <v>0.9492482713</v>
      </c>
      <c r="AG3" s="10">
        <f t="array" ref="AG3">XLOOKUP(AC3,'Dados Funil'!A:A,'Dados Funil'!AM:AM,"")</f>
        <v>3846.03</v>
      </c>
      <c r="AH3" s="5">
        <f t="array" ref="AH3">XLOOKUP(AC3,'Dados Funil'!A:A,'Dados Funil'!AN:AN,"")</f>
        <v>0.6967445652</v>
      </c>
      <c r="AI3" s="9" t="str">
        <f>IFERROR(__xludf.DUMMYFUNCTION("""COMPUTED_VALUE"""),"[IM] Form Facebook Ads")</f>
        <v>[IM] Form Facebook Ads</v>
      </c>
      <c r="AJ3" s="12">
        <f>IFERROR(__xludf.DUMMYFUNCTION("""COMPUTED_VALUE"""),776.3162155953108)</f>
        <v>776.3162156</v>
      </c>
      <c r="AK3" s="13">
        <f>IFERROR(__xludf.DUMMYFUNCTION("""COMPUTED_VALUE"""),0.32)</f>
        <v>0.32</v>
      </c>
      <c r="AL3" s="9">
        <f>IFERROR(__xludf.DUMMYFUNCTION("""COMPUTED_VALUE"""),5074.999999999999)</f>
        <v>5075</v>
      </c>
      <c r="AM3" s="9">
        <f t="shared" si="7"/>
        <v>1260737.534</v>
      </c>
      <c r="AN3" s="9" t="str">
        <f>IFERROR(__xludf.DUMMYFUNCTION("""COMPUTED_VALUE"""),"[IM] Form Facebook Ads")</f>
        <v>[IM] Form Facebook Ads</v>
      </c>
      <c r="AO3" s="12">
        <f>IFERROR(__xludf.DUMMYFUNCTION("""COMPUTED_VALUE"""),657.0)</f>
        <v>657</v>
      </c>
      <c r="AP3" s="13">
        <f>IFERROR(__xludf.DUMMYFUNCTION("""COMPUTED_VALUE"""),0.3455098934550989)</f>
        <v>0.3455098935</v>
      </c>
      <c r="AQ3" s="14">
        <f>IFERROR(__xludf.DUMMYFUNCTION("""COMPUTED_VALUE"""),2008.7488986784142)</f>
        <v>2008.748899</v>
      </c>
      <c r="AR3" s="9">
        <f t="shared" si="8"/>
        <v>455986</v>
      </c>
    </row>
    <row r="4">
      <c r="A4" s="4" t="str">
        <f>IFERROR(__xludf.DUMMYFUNCTION("""COMPUTED_VALUE"""),"Form G4 Incompleto Outros")</f>
        <v>Form G4 Incompleto Outros</v>
      </c>
      <c r="B4" s="10">
        <f>IFERROR(__xludf.DUMMYFUNCTION("""COMPUTED_VALUE"""),-132215.65625969868)</f>
        <v>-132215.6563</v>
      </c>
      <c r="C4" s="7">
        <f t="shared" si="1"/>
        <v>0.1684029886</v>
      </c>
      <c r="D4" s="7">
        <f t="shared" si="9"/>
        <v>0.5837085145</v>
      </c>
      <c r="E4" s="3">
        <f t="array" ref="E4">XLOOKUP(A4,'Dados Funil'!$A:$A,'Dados Funil'!$K:$K,"")</f>
        <v>-459.0821398</v>
      </c>
      <c r="F4" s="5">
        <f t="array" ref="F4">XLOOKUP(A4,'Dados Funil'!$A:$A,'Dados Funil'!$L:$L,"")</f>
        <v>-0.5923012752</v>
      </c>
      <c r="G4" s="4" t="str">
        <f>IFERROR(__xludf.DUMMYFUNCTION("""COMPUTED_VALUE"""),"Form G4 Incompleto Outros")</f>
        <v>Form G4 Incompleto Outros</v>
      </c>
      <c r="H4" s="10">
        <f>IFERROR(__xludf.DUMMYFUNCTION("""COMPUTED_VALUE"""),-1007.9999999999958)</f>
        <v>-1008</v>
      </c>
      <c r="I4" s="7">
        <f t="shared" si="2"/>
        <v>0.002292003001</v>
      </c>
      <c r="J4" s="7">
        <f t="shared" si="10"/>
        <v>1</v>
      </c>
      <c r="K4" s="6">
        <f t="array" ref="K4">XLOOKUP(G4,'Dados Funil'!A:A,'Dados Funil'!O:O,"")</f>
        <v>-0.1772151899</v>
      </c>
      <c r="L4" s="4" t="str">
        <f>IFERROR(__xludf.DUMMYFUNCTION("""COMPUTED_VALUE"""),"Form G4 Outros - Orgânico")</f>
        <v>Form G4 Outros - Orgânico</v>
      </c>
      <c r="M4" s="10">
        <f>IFERROR(__xludf.DUMMYFUNCTION("""COMPUTED_VALUE"""),-543151.6999511718)</f>
        <v>-543151.7</v>
      </c>
      <c r="N4" s="7">
        <f t="shared" si="3"/>
        <v>0.1444354217</v>
      </c>
      <c r="O4" s="7">
        <f t="shared" si="11"/>
        <v>0.6083848761</v>
      </c>
      <c r="P4" s="10">
        <f t="array" ref="P4">XLOOKUP(L4,'Dados Funil'!A:A,'Dados Funil'!AM:AM,"")</f>
        <v>-3504.204516</v>
      </c>
      <c r="Q4" s="5">
        <f t="array" ref="Q4">XLOOKUP(L4,'Dados Funil'!A:A,'Dados Funil'!AN:AN,"")</f>
        <v>-0.5034776603</v>
      </c>
      <c r="R4" s="4" t="str">
        <f>IFERROR(__xludf.DUMMYFUNCTION("""COMPUTED_VALUE"""),"Form G4 Instagram G4")</f>
        <v>Form G4 Instagram G4</v>
      </c>
      <c r="S4" s="10">
        <f>IFERROR(__xludf.DUMMYFUNCTION("""COMPUTED_VALUE"""),132635.0147471343)</f>
        <v>132635.0147</v>
      </c>
      <c r="T4" s="7">
        <f t="shared" si="4"/>
        <v>0.09216759978</v>
      </c>
      <c r="U4" s="7">
        <f t="shared" si="12"/>
        <v>0.4085557728</v>
      </c>
      <c r="V4" s="3">
        <f t="array" ref="V4">XLOOKUP(R4,'Dados Funil'!$A:$A,'Dados Funil'!$K:$K,"")</f>
        <v>64.16167509</v>
      </c>
      <c r="W4" s="5">
        <f t="array" ref="W4">XLOOKUP(R4,'Dados Funil'!$A:$A,'Dados Funil'!$L:$L,"")</f>
        <v>0.05734669046</v>
      </c>
      <c r="X4" s="4" t="str">
        <f>IFERROR(__xludf.DUMMYFUNCTION("""COMPUTED_VALUE"""),"Form G4 Google")</f>
        <v>Form G4 Google</v>
      </c>
      <c r="Y4" s="10">
        <f>IFERROR(__xludf.DUMMYFUNCTION("""COMPUTED_VALUE"""),92459.99999999999)</f>
        <v>92460</v>
      </c>
      <c r="Z4" s="7">
        <f t="shared" si="5"/>
        <v>0.1326543124</v>
      </c>
      <c r="AA4" s="7">
        <f t="shared" si="13"/>
        <v>0.5123871093</v>
      </c>
      <c r="AB4" s="6">
        <f t="array" ref="AB4">XLOOKUP(X4,'Dados Funil'!A:A,'Dados Funil'!O:O,"")</f>
        <v>7.444444444</v>
      </c>
      <c r="AC4" s="4" t="str">
        <f>IFERROR(__xludf.DUMMYFUNCTION("""COMPUTED_VALUE"""),"[ON] Chat")</f>
        <v>[ON] Chat</v>
      </c>
      <c r="AD4" s="10">
        <f>IFERROR(__xludf.DUMMYFUNCTION("""COMPUTED_VALUE"""),23845.499999999978)</f>
        <v>23845.5</v>
      </c>
      <c r="AE4" s="7">
        <f t="shared" si="6"/>
        <v>0.02757342419</v>
      </c>
      <c r="AF4" s="7">
        <f t="shared" si="14"/>
        <v>0.9768216954</v>
      </c>
      <c r="AG4" s="10">
        <f t="array" ref="AG4">XLOOKUP(AC4,'Dados Funil'!A:A,'Dados Funil'!AM:AM,"")</f>
        <v>411.1293103</v>
      </c>
      <c r="AH4" s="5">
        <f t="array" ref="AH4">XLOOKUP(AC4,'Dados Funil'!A:A,'Dados Funil'!AN:AN,"")</f>
        <v>0.2009429669</v>
      </c>
      <c r="AI4" s="9" t="str">
        <f>IFERROR(__xludf.DUMMYFUNCTION("""COMPUTED_VALUE"""),"Form G4 Outros - Orgânico")</f>
        <v>Form G4 Outros - Orgânico</v>
      </c>
      <c r="AJ4" s="12">
        <f>IFERROR(__xludf.DUMMYFUNCTION("""COMPUTED_VALUE"""),313.05355296302366)</f>
        <v>313.053553</v>
      </c>
      <c r="AK4" s="13">
        <f>IFERROR(__xludf.DUMMYFUNCTION("""COMPUTED_VALUE"""),0.42)</f>
        <v>0.42</v>
      </c>
      <c r="AL4" s="9">
        <f>IFERROR(__xludf.DUMMYFUNCTION("""COMPUTED_VALUE"""),6959.999999999999)</f>
        <v>6960</v>
      </c>
      <c r="AM4" s="9">
        <f t="shared" si="7"/>
        <v>915118.146</v>
      </c>
      <c r="AN4" s="9" t="str">
        <f>IFERROR(__xludf.DUMMYFUNCTION("""COMPUTED_VALUE"""),"Form G4 Outros - Orgânico")</f>
        <v>Form G4 Outros - Orgânico</v>
      </c>
      <c r="AO4" s="12">
        <f>IFERROR(__xludf.DUMMYFUNCTION("""COMPUTED_VALUE"""),340.0)</f>
        <v>340</v>
      </c>
      <c r="AP4" s="13">
        <f>IFERROR(__xludf.DUMMYFUNCTION("""COMPUTED_VALUE"""),0.45588235294117646)</f>
        <v>0.4558823529</v>
      </c>
      <c r="AQ4" s="14">
        <f>IFERROR(__xludf.DUMMYFUNCTION("""COMPUTED_VALUE"""),3455.795484185988)</f>
        <v>3455.795484</v>
      </c>
      <c r="AR4" s="9">
        <f t="shared" si="8"/>
        <v>535648.3</v>
      </c>
    </row>
    <row r="5">
      <c r="A5" s="4" t="str">
        <f>IFERROR(__xludf.DUMMYFUNCTION("""COMPUTED_VALUE"""),"Form G4 Outros - Não Orgânico")</f>
        <v>Form G4 Outros - Não Orgânico</v>
      </c>
      <c r="B5" s="10">
        <f>IFERROR(__xludf.DUMMYFUNCTION("""COMPUTED_VALUE"""),-102599.68374446532)</f>
        <v>-102599.6837</v>
      </c>
      <c r="C5" s="7">
        <f t="shared" si="1"/>
        <v>0.1306811452</v>
      </c>
      <c r="D5" s="7">
        <f t="shared" si="9"/>
        <v>0.7143896597</v>
      </c>
      <c r="E5" s="3">
        <f t="array" ref="E5">XLOOKUP(A5,'Dados Funil'!$A:$A,'Dados Funil'!$K:$K,"")</f>
        <v>-47.83202039</v>
      </c>
      <c r="F5" s="5">
        <f t="array" ref="F5">XLOOKUP(A5,'Dados Funil'!$A:$A,'Dados Funil'!$L:$L,"")</f>
        <v>-0.3547526786</v>
      </c>
      <c r="G5" s="4"/>
      <c r="H5" s="4"/>
      <c r="I5" s="7" t="str">
        <f t="shared" si="2"/>
        <v/>
      </c>
      <c r="J5" s="4" t="str">
        <f t="shared" si="10"/>
        <v/>
      </c>
      <c r="K5" s="4" t="str">
        <f t="array" ref="K5">XLOOKUP(G5,'Dados Funil'!A:A,'Dados Funil'!O:O,"")</f>
        <v/>
      </c>
      <c r="L5" s="4" t="str">
        <f>IFERROR(__xludf.DUMMYFUNCTION("""COMPUTED_VALUE"""),"[IM] Chat")</f>
        <v>[IM] Chat</v>
      </c>
      <c r="M5" s="10">
        <f>IFERROR(__xludf.DUMMYFUNCTION("""COMPUTED_VALUE"""),-480940.6000976562)</f>
        <v>-480940.6001</v>
      </c>
      <c r="N5" s="7">
        <f t="shared" si="3"/>
        <v>0.1278921863</v>
      </c>
      <c r="O5" s="7">
        <f t="shared" si="11"/>
        <v>0.7362770624</v>
      </c>
      <c r="P5" s="10">
        <f t="array" ref="P5">XLOOKUP(L5,'Dados Funil'!A:A,'Dados Funil'!AM:AM,"")</f>
        <v>-2392.739304</v>
      </c>
      <c r="Q5" s="5">
        <f t="array" ref="Q5">XLOOKUP(L5,'Dados Funil'!A:A,'Dados Funil'!AN:AN,"")</f>
        <v>-0.484360183</v>
      </c>
      <c r="R5" s="4" t="str">
        <f>IFERROR(__xludf.DUMMYFUNCTION("""COMPUTED_VALUE"""),"[IM] Social DM")</f>
        <v>[IM] Social DM</v>
      </c>
      <c r="S5" s="10">
        <f>IFERROR(__xludf.DUMMYFUNCTION("""COMPUTED_VALUE"""),121689.23297491074)</f>
        <v>121689.233</v>
      </c>
      <c r="T5" s="7">
        <f t="shared" si="4"/>
        <v>0.08456141498</v>
      </c>
      <c r="U5" s="7">
        <f t="shared" si="12"/>
        <v>0.4931171878</v>
      </c>
      <c r="V5" s="3">
        <f t="array" ref="V5">XLOOKUP(R5,'Dados Funil'!$A:$A,'Dados Funil'!$K:$K,"")</f>
        <v>23.79717478</v>
      </c>
      <c r="W5" s="5">
        <f t="array" ref="W5">XLOOKUP(R5,'Dados Funil'!$A:$A,'Dados Funil'!$L:$L,"")</f>
        <v>0.2473646146</v>
      </c>
      <c r="X5" s="4" t="str">
        <f>IFERROR(__xludf.DUMMYFUNCTION("""COMPUTED_VALUE"""),"[IM] Form Facebook Ads")</f>
        <v>[IM] Form Facebook Ads</v>
      </c>
      <c r="Y5" s="10">
        <f>IFERROR(__xludf.DUMMYFUNCTION("""COMPUTED_VALUE"""),85056.9999999999)</f>
        <v>85057</v>
      </c>
      <c r="Z5" s="7">
        <f t="shared" si="5"/>
        <v>0.1220330721</v>
      </c>
      <c r="AA5" s="7">
        <f t="shared" si="13"/>
        <v>0.6344201814</v>
      </c>
      <c r="AB5" s="6">
        <f t="array" ref="AB5">XLOOKUP(X5,'Dados Funil'!A:A,'Dados Funil'!O:O,"")</f>
        <v>2.550989346</v>
      </c>
      <c r="AC5" s="4" t="str">
        <f>IFERROR(__xludf.DUMMYFUNCTION("""COMPUTED_VALUE"""),"Form G4 - K Instagram")</f>
        <v>Form G4 - K Instagram</v>
      </c>
      <c r="AD5" s="10">
        <f>IFERROR(__xludf.DUMMYFUNCTION("""COMPUTED_VALUE"""),20044.600097656265)</f>
        <v>20044.6001</v>
      </c>
      <c r="AE5" s="7">
        <f t="shared" si="6"/>
        <v>0.02317830455</v>
      </c>
      <c r="AF5" s="7">
        <f t="shared" si="14"/>
        <v>1</v>
      </c>
      <c r="AG5" s="10">
        <f t="array" ref="AG5">XLOOKUP(AC5,'Dados Funil'!A:A,'Dados Funil'!AM:AM,"")</f>
        <v>131.0104582</v>
      </c>
      <c r="AH5" s="5">
        <f t="array" ref="AH5">XLOOKUP(AC5,'Dados Funil'!A:A,'Dados Funil'!AN:AN,"")</f>
        <v>0.08376627759</v>
      </c>
      <c r="AI5" s="9" t="str">
        <f>IFERROR(__xludf.DUMMYFUNCTION("""COMPUTED_VALUE"""),"[IM] Chat")</f>
        <v>[IM] Chat</v>
      </c>
      <c r="AJ5" s="12">
        <f>IFERROR(__xludf.DUMMYFUNCTION("""COMPUTED_VALUE"""),649.4087264111197)</f>
        <v>649.4087264</v>
      </c>
      <c r="AK5" s="13">
        <f>IFERROR(__xludf.DUMMYFUNCTION("""COMPUTED_VALUE"""),0.28)</f>
        <v>0.28</v>
      </c>
      <c r="AL5" s="9">
        <f>IFERROR(__xludf.DUMMYFUNCTION("""COMPUTED_VALUE"""),4940.0)</f>
        <v>4940</v>
      </c>
      <c r="AM5" s="9">
        <f t="shared" si="7"/>
        <v>898262.1504</v>
      </c>
      <c r="AN5" s="9" t="str">
        <f>IFERROR(__xludf.DUMMYFUNCTION("""COMPUTED_VALUE"""),"[IM] Chat")</f>
        <v>[IM] Chat</v>
      </c>
      <c r="AO5" s="12">
        <f>IFERROR(__xludf.DUMMYFUNCTION("""COMPUTED_VALUE"""),649.0)</f>
        <v>649</v>
      </c>
      <c r="AP5" s="13">
        <f>IFERROR(__xludf.DUMMYFUNCTION("""COMPUTED_VALUE"""),0.30970724191063176)</f>
        <v>0.3097072419</v>
      </c>
      <c r="AQ5" s="14">
        <f>IFERROR(__xludf.DUMMYFUNCTION("""COMPUTED_VALUE"""),2547.260696031561)</f>
        <v>2547.260696</v>
      </c>
      <c r="AR5" s="9">
        <f t="shared" si="8"/>
        <v>511999.3999</v>
      </c>
    </row>
    <row r="6">
      <c r="A6" s="4" t="str">
        <f>IFERROR(__xludf.DUMMYFUNCTION("""COMPUTED_VALUE"""),"[ON] Chat")</f>
        <v>[ON] Chat</v>
      </c>
      <c r="B6" s="10">
        <f>IFERROR(__xludf.DUMMYFUNCTION("""COMPUTED_VALUE"""),-90073.4999999999)</f>
        <v>-90073.5</v>
      </c>
      <c r="C6" s="7">
        <f t="shared" si="1"/>
        <v>0.1147265537</v>
      </c>
      <c r="D6" s="7">
        <f t="shared" si="9"/>
        <v>0.8291162134</v>
      </c>
      <c r="E6" s="3">
        <f t="array" ref="E6">XLOOKUP(A6,'Dados Funil'!$A:$A,'Dados Funil'!$K:$K,"")</f>
        <v>-83.06451613</v>
      </c>
      <c r="F6" s="5">
        <f t="array" ref="F6">XLOOKUP(A6,'Dados Funil'!$A:$A,'Dados Funil'!$L:$L,"")</f>
        <v>-0.5001942502</v>
      </c>
      <c r="G6" s="4"/>
      <c r="H6" s="4"/>
      <c r="I6" s="7" t="str">
        <f t="shared" si="2"/>
        <v/>
      </c>
      <c r="J6" s="4" t="str">
        <f t="shared" si="10"/>
        <v/>
      </c>
      <c r="K6" s="4" t="str">
        <f t="array" ref="K6">XLOOKUP(G6,'Dados Funil'!A:A,'Dados Funil'!O:O,"")</f>
        <v/>
      </c>
      <c r="L6" s="4" t="str">
        <f>IFERROR(__xludf.DUMMYFUNCTION("""COMPUTED_VALUE"""),"[IM] Social DM")</f>
        <v>[IM] Social DM</v>
      </c>
      <c r="M6" s="10">
        <f>IFERROR(__xludf.DUMMYFUNCTION("""COMPUTED_VALUE"""),-341776.34997558594)</f>
        <v>-341776.35</v>
      </c>
      <c r="N6" s="7">
        <f t="shared" si="3"/>
        <v>0.09088549526</v>
      </c>
      <c r="O6" s="7">
        <f t="shared" si="11"/>
        <v>0.8271625577</v>
      </c>
      <c r="P6" s="10">
        <f t="array" ref="P6">XLOOKUP(L6,'Dados Funil'!A:A,'Dados Funil'!AM:AM,"")</f>
        <v>-6835.527</v>
      </c>
      <c r="Q6" s="5">
        <f t="array" ref="Q6">XLOOKUP(L6,'Dados Funil'!A:A,'Dados Funil'!AN:AN,"")</f>
        <v>-0.6282653492</v>
      </c>
      <c r="R6" s="4" t="str">
        <f>IFERROR(__xludf.DUMMYFUNCTION("""COMPUTED_VALUE"""),"[ON] Form G4")</f>
        <v>[ON] Form G4</v>
      </c>
      <c r="S6" s="10">
        <f>IFERROR(__xludf.DUMMYFUNCTION("""COMPUTED_VALUE"""),104525.52399928408)</f>
        <v>104525.524</v>
      </c>
      <c r="T6" s="7">
        <f t="shared" si="4"/>
        <v>0.07263441468</v>
      </c>
      <c r="U6" s="7">
        <f t="shared" si="12"/>
        <v>0.5657516025</v>
      </c>
      <c r="V6" s="3">
        <f t="array" ref="V6">XLOOKUP(R6,'Dados Funil'!$A:$A,'Dados Funil'!$K:$K,"")</f>
        <v>129.4754416</v>
      </c>
      <c r="W6" s="5">
        <f t="array" ref="W6">XLOOKUP(R6,'Dados Funil'!$A:$A,'Dados Funil'!$L:$L,"")</f>
        <v>0.6978884235</v>
      </c>
      <c r="X6" s="4" t="str">
        <f>IFERROR(__xludf.DUMMYFUNCTION("""COMPUTED_VALUE"""),"Form G4 Outros - Orgânico")</f>
        <v>Form G4 Outros - Orgânico</v>
      </c>
      <c r="Y6" s="10">
        <f>IFERROR(__xludf.DUMMYFUNCTION("""COMPUTED_VALUE"""),84912.00000000001)</f>
        <v>84912</v>
      </c>
      <c r="Z6" s="7">
        <f t="shared" si="5"/>
        <v>0.1218250375</v>
      </c>
      <c r="AA6" s="7">
        <f t="shared" si="13"/>
        <v>0.756245219</v>
      </c>
      <c r="AB6" s="6">
        <f t="array" ref="AB6">XLOOKUP(X6,'Dados Funil'!A:A,'Dados Funil'!O:O,"")</f>
        <v>3.588235294</v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Outros")</f>
        <v>[SKL] Outros</v>
      </c>
      <c r="AJ6" s="12">
        <f>IFERROR(__xludf.DUMMYFUNCTION("""COMPUTED_VALUE"""),413.54892604574894)</f>
        <v>413.548926</v>
      </c>
      <c r="AK6" s="13">
        <f>IFERROR(__xludf.DUMMYFUNCTION("""COMPUTED_VALUE"""),0.25)</f>
        <v>0.25</v>
      </c>
      <c r="AL6" s="9">
        <f>IFERROR(__xludf.DUMMYFUNCTION("""COMPUTED_VALUE"""),6899.999999999999)</f>
        <v>6900</v>
      </c>
      <c r="AM6" s="9">
        <f t="shared" si="7"/>
        <v>713371.8974</v>
      </c>
      <c r="AN6" s="9" t="str">
        <f>IFERROR(__xludf.DUMMYFUNCTION("""COMPUTED_VALUE"""),"[SKL] Outros")</f>
        <v>[SKL] Outros</v>
      </c>
      <c r="AO6" s="12">
        <f>IFERROR(__xludf.DUMMYFUNCTION("""COMPUTED_VALUE"""),414.0)</f>
        <v>414</v>
      </c>
      <c r="AP6" s="13">
        <f>IFERROR(__xludf.DUMMYFUNCTION("""COMPUTED_VALUE"""),0.12077294685990338)</f>
        <v>0.1207729469</v>
      </c>
      <c r="AQ6" s="14">
        <f>IFERROR(__xludf.DUMMYFUNCTION("""COMPUTED_VALUE"""),4999.46)</f>
        <v>4999.46</v>
      </c>
      <c r="AR6" s="9">
        <f t="shared" si="8"/>
        <v>249973</v>
      </c>
    </row>
    <row r="7">
      <c r="A7" s="4" t="str">
        <f>IFERROR(__xludf.DUMMYFUNCTION("""COMPUTED_VALUE"""),"[ON] Outros")</f>
        <v>[ON] Outros</v>
      </c>
      <c r="B7" s="10">
        <f>IFERROR(__xludf.DUMMYFUNCTION("""COMPUTED_VALUE"""),-42468.48162259391)</f>
        <v>-42468.48162</v>
      </c>
      <c r="C7" s="7">
        <f t="shared" si="1"/>
        <v>0.05409207524</v>
      </c>
      <c r="D7" s="7">
        <f t="shared" si="9"/>
        <v>0.8832082886</v>
      </c>
      <c r="E7" s="3">
        <f t="array" ref="E7">XLOOKUP(A7,'Dados Funil'!$A:$A,'Dados Funil'!$K:$K,"")</f>
        <v>-128.1333063</v>
      </c>
      <c r="F7" s="5">
        <f t="array" ref="F7">XLOOKUP(A7,'Dados Funil'!$A:$A,'Dados Funil'!$L:$L,"")</f>
        <v>-0.2985862537</v>
      </c>
      <c r="G7" s="4"/>
      <c r="H7" s="4"/>
      <c r="I7" s="7" t="str">
        <f t="shared" si="2"/>
        <v/>
      </c>
      <c r="J7" s="4" t="str">
        <f t="shared" si="10"/>
        <v/>
      </c>
      <c r="K7" s="4" t="str">
        <f t="array" ref="K7">XLOOKUP(G7,'Dados Funil'!A:A,'Dados Funil'!O:O,"")</f>
        <v/>
      </c>
      <c r="L7" s="4" t="str">
        <f>IFERROR(__xludf.DUMMYFUNCTION("""COMPUTED_VALUE"""),"Form G4 Instagram Outros")</f>
        <v>Form G4 Instagram Outros</v>
      </c>
      <c r="M7" s="10">
        <f>IFERROR(__xludf.DUMMYFUNCTION("""COMPUTED_VALUE"""),-263028.0000000001)</f>
        <v>-263028</v>
      </c>
      <c r="N7" s="7">
        <f t="shared" si="3"/>
        <v>0.0699446584</v>
      </c>
      <c r="O7" s="7">
        <f t="shared" si="11"/>
        <v>0.8971072161</v>
      </c>
      <c r="P7" s="10">
        <f t="array" ref="P7">XLOOKUP(L7,'Dados Funil'!A:A,'Dados Funil'!AM:AM,"")</f>
        <v>-2210.319328</v>
      </c>
      <c r="Q7" s="5">
        <f t="array" ref="Q7">XLOOKUP(L7,'Dados Funil'!A:A,'Dados Funil'!AN:AN,"")</f>
        <v>-0.3611632888</v>
      </c>
      <c r="R7" s="4" t="str">
        <f>IFERROR(__xludf.DUMMYFUNCTION("""COMPUTED_VALUE"""),"Form G4 Instagram Tallis")</f>
        <v>Form G4 Instagram Tallis</v>
      </c>
      <c r="S7" s="10">
        <f>IFERROR(__xludf.DUMMYFUNCTION("""COMPUTED_VALUE"""),102039.20647950108)</f>
        <v>102039.2065</v>
      </c>
      <c r="T7" s="7">
        <f t="shared" si="4"/>
        <v>0.07090668149</v>
      </c>
      <c r="U7" s="7">
        <f t="shared" si="12"/>
        <v>0.636658284</v>
      </c>
      <c r="V7" s="3">
        <f t="array" ref="V7">XLOOKUP(R7,'Dados Funil'!$A:$A,'Dados Funil'!$K:$K,"")</f>
        <v>70.78191348</v>
      </c>
      <c r="W7" s="5">
        <f t="array" ref="W7">XLOOKUP(R7,'Dados Funil'!$A:$A,'Dados Funil'!$L:$L,"")</f>
        <v>0.2481676893</v>
      </c>
      <c r="X7" s="4" t="str">
        <f>IFERROR(__xludf.DUMMYFUNCTION("""COMPUTED_VALUE"""),"Form G4 Instagram Outros")</f>
        <v>Form G4 Instagram Outros</v>
      </c>
      <c r="Y7" s="10">
        <f>IFERROR(__xludf.DUMMYFUNCTION("""COMPUTED_VALUE"""),41493.6)</f>
        <v>41493.6</v>
      </c>
      <c r="Z7" s="7">
        <f t="shared" si="5"/>
        <v>0.05953174319</v>
      </c>
      <c r="AA7" s="7">
        <f t="shared" si="13"/>
        <v>0.8157769622</v>
      </c>
      <c r="AB7" s="6">
        <f t="array" ref="AB7">XLOOKUP(X7,'Dados Funil'!A:A,'Dados Funil'!O:O,"")</f>
        <v>1.872928177</v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IFERROR(__xludf.DUMMYFUNCTION("""COMPUTED_VALUE"""),"Form G4 Instagram Outros")</f>
        <v>Form G4 Instagram Outros</v>
      </c>
      <c r="AJ7" s="12">
        <f>IFERROR(__xludf.DUMMYFUNCTION("""COMPUTED_VALUE"""),317.68985999859314)</f>
        <v>317.68986</v>
      </c>
      <c r="AK7" s="13">
        <f>IFERROR(__xludf.DUMMYFUNCTION("""COMPUTED_VALUE"""),0.31)</f>
        <v>0.31</v>
      </c>
      <c r="AL7" s="9">
        <f>IFERROR(__xludf.DUMMYFUNCTION("""COMPUTED_VALUE"""),6120.000000000001)</f>
        <v>6120</v>
      </c>
      <c r="AM7" s="9">
        <f t="shared" si="7"/>
        <v>602721.2024</v>
      </c>
      <c r="AN7" s="9" t="str">
        <f>IFERROR(__xludf.DUMMYFUNCTION("""COMPUTED_VALUE"""),"Form G4 Instagram Outros")</f>
        <v>Form G4 Instagram Outros</v>
      </c>
      <c r="AO7" s="12">
        <f>IFERROR(__xludf.DUMMYFUNCTION("""COMPUTED_VALUE"""),362.0)</f>
        <v>362</v>
      </c>
      <c r="AP7" s="13">
        <f>IFERROR(__xludf.DUMMYFUNCTION("""COMPUTED_VALUE"""),0.3287292817679558)</f>
        <v>0.3287292818</v>
      </c>
      <c r="AQ7" s="14">
        <f>IFERROR(__xludf.DUMMYFUNCTION("""COMPUTED_VALUE"""),3909.6806722689075)</f>
        <v>3909.680672</v>
      </c>
      <c r="AR7" s="9">
        <f t="shared" si="8"/>
        <v>465252</v>
      </c>
    </row>
    <row r="8">
      <c r="A8" s="4" t="str">
        <f>IFERROR(__xludf.DUMMYFUNCTION("""COMPUTED_VALUE"""),"Form G4 Incompleto Instagram")</f>
        <v>Form G4 Incompleto Instagram</v>
      </c>
      <c r="B8" s="10">
        <f>IFERROR(__xludf.DUMMYFUNCTION("""COMPUTED_VALUE"""),-29768.989120060975)</f>
        <v>-29768.98912</v>
      </c>
      <c r="C8" s="7">
        <f t="shared" si="1"/>
        <v>0.03791674055</v>
      </c>
      <c r="D8" s="7">
        <f t="shared" si="9"/>
        <v>0.9211250292</v>
      </c>
      <c r="E8" s="3">
        <f t="array" ref="E8">XLOOKUP(A8,'Dados Funil'!$A:$A,'Dados Funil'!$K:$K,"")</f>
        <v>-83.38652415</v>
      </c>
      <c r="F8" s="5">
        <f t="array" ref="F8">XLOOKUP(A8,'Dados Funil'!$A:$A,'Dados Funil'!$L:$L,"")</f>
        <v>-0.1587146231</v>
      </c>
      <c r="G8" s="4"/>
      <c r="H8" s="4"/>
      <c r="I8" s="7" t="str">
        <f t="shared" si="2"/>
        <v/>
      </c>
      <c r="J8" s="4" t="str">
        <f t="shared" si="10"/>
        <v/>
      </c>
      <c r="K8" s="4" t="str">
        <f t="array" ref="K8">XLOOKUP(G8,'Dados Funil'!A:A,'Dados Funil'!O:O,"")</f>
        <v/>
      </c>
      <c r="L8" s="4" t="str">
        <f>IFERROR(__xludf.DUMMYFUNCTION("""COMPUTED_VALUE"""),"Form G4 Outros - Não Orgânico")</f>
        <v>Form G4 Outros - Não Orgânico</v>
      </c>
      <c r="M8" s="10">
        <f>IFERROR(__xludf.DUMMYFUNCTION("""COMPUTED_VALUE"""),-188500.0)</f>
        <v>-188500</v>
      </c>
      <c r="N8" s="7">
        <f t="shared" si="3"/>
        <v>0.05012610105</v>
      </c>
      <c r="O8" s="7">
        <f t="shared" si="11"/>
        <v>0.9472333171</v>
      </c>
      <c r="P8" s="10">
        <f t="array" ref="P8">XLOOKUP(L8,'Dados Funil'!A:A,'Dados Funil'!AM:AM,"")</f>
        <v>-6500</v>
      </c>
      <c r="Q8" s="5">
        <f t="array" ref="Q8">XLOOKUP(L8,'Dados Funil'!A:A,'Dados Funil'!AN:AN,"")</f>
        <v>-1</v>
      </c>
      <c r="R8" s="4" t="str">
        <f>IFERROR(__xludf.DUMMYFUNCTION("""COMPUTED_VALUE"""),"[SKL] Midia Paga - Quente")</f>
        <v>[SKL] Midia Paga - Quente</v>
      </c>
      <c r="S8" s="10">
        <f>IFERROR(__xludf.DUMMYFUNCTION("""COMPUTED_VALUE"""),95791.29800551206)</f>
        <v>95791.29801</v>
      </c>
      <c r="T8" s="7">
        <f t="shared" si="4"/>
        <v>0.06656503212</v>
      </c>
      <c r="U8" s="7">
        <f t="shared" si="12"/>
        <v>0.7032233161</v>
      </c>
      <c r="V8" s="3">
        <f t="array" ref="V8">XLOOKUP(R8,'Dados Funil'!$A:$A,'Dados Funil'!$K:$K,"")</f>
        <v>323.55</v>
      </c>
      <c r="W8" s="5">
        <f t="array" ref="W8">XLOOKUP(R8,'Dados Funil'!$A:$A,'Dados Funil'!$L:$L,"")</f>
        <v>0.897627965</v>
      </c>
      <c r="X8" s="4" t="str">
        <f>IFERROR(__xludf.DUMMYFUNCTION("""COMPUTED_VALUE"""),"[SKL] Site")</f>
        <v>[SKL] Site</v>
      </c>
      <c r="Y8" s="10">
        <f>IFERROR(__xludf.DUMMYFUNCTION("""COMPUTED_VALUE"""),32832.00000000001)</f>
        <v>32832</v>
      </c>
      <c r="Z8" s="7">
        <f t="shared" si="5"/>
        <v>0.04710476296</v>
      </c>
      <c r="AA8" s="7">
        <f t="shared" si="13"/>
        <v>0.8628817251</v>
      </c>
      <c r="AB8" s="6">
        <f t="array" ref="AB8">XLOOKUP(X8,'Dados Funil'!A:A,'Dados Funil'!O:O,"")</f>
        <v>4.444444444</v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IFERROR(__xludf.DUMMYFUNCTION("""COMPUTED_VALUE"""),"[IM] Social DM")</f>
        <v>[IM] Social DM</v>
      </c>
      <c r="AJ8" s="12">
        <f>IFERROR(__xludf.DUMMYFUNCTION("""COMPUTED_VALUE"""),96.20282521610788)</f>
        <v>96.20282522</v>
      </c>
      <c r="AK8" s="13">
        <f>IFERROR(__xludf.DUMMYFUNCTION("""COMPUTED_VALUE"""),0.47)</f>
        <v>0.47</v>
      </c>
      <c r="AL8" s="9">
        <f>IFERROR(__xludf.DUMMYFUNCTION("""COMPUTED_VALUE"""),10880.0)</f>
        <v>10880</v>
      </c>
      <c r="AM8" s="9">
        <f t="shared" si="7"/>
        <v>491942.767</v>
      </c>
      <c r="AN8" s="9" t="str">
        <f>IFERROR(__xludf.DUMMYFUNCTION("""COMPUTED_VALUE"""),"[IM] Social DM")</f>
        <v>[IM] Social DM</v>
      </c>
      <c r="AO8" s="12">
        <f>IFERROR(__xludf.DUMMYFUNCTION("""COMPUTED_VALUE"""),120.0)</f>
        <v>120</v>
      </c>
      <c r="AP8" s="13">
        <f>IFERROR(__xludf.DUMMYFUNCTION("""COMPUTED_VALUE"""),0.4166666666666667)</f>
        <v>0.4166666667</v>
      </c>
      <c r="AQ8" s="14">
        <f>IFERROR(__xludf.DUMMYFUNCTION("""COMPUTED_VALUE"""),4044.4730004882813)</f>
        <v>4044.473</v>
      </c>
      <c r="AR8" s="9">
        <f t="shared" si="8"/>
        <v>202223.65</v>
      </c>
    </row>
    <row r="9">
      <c r="A9" s="4" t="str">
        <f>IFERROR(__xludf.DUMMYFUNCTION("""COMPUTED_VALUE"""),"[ON] Abandono de carrinho")</f>
        <v>[ON] Abandono de carrinho</v>
      </c>
      <c r="B9" s="10">
        <f>IFERROR(__xludf.DUMMYFUNCTION("""COMPUTED_VALUE"""),-20231.738199943848)</f>
        <v>-20231.7382</v>
      </c>
      <c r="C9" s="7">
        <f t="shared" si="1"/>
        <v>0.02576915075</v>
      </c>
      <c r="D9" s="7">
        <f t="shared" si="9"/>
        <v>0.9468941799</v>
      </c>
      <c r="E9" s="3">
        <f t="array" ref="E9">XLOOKUP(A9,'Dados Funil'!$A:$A,'Dados Funil'!$K:$K,"")</f>
        <v>-32.33973497</v>
      </c>
      <c r="F9" s="5">
        <f t="array" ref="F9">XLOOKUP(A9,'Dados Funil'!$A:$A,'Dados Funil'!$L:$L,"")</f>
        <v>-0.1385950617</v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 t="str">
        <f>IFERROR(__xludf.DUMMYFUNCTION("""COMPUTED_VALUE"""),"[SKL] Outros")</f>
        <v>[SKL] Outros</v>
      </c>
      <c r="M9" s="10">
        <f>IFERROR(__xludf.DUMMYFUNCTION("""COMPUTED_VALUE"""),-95026.99999999996)</f>
        <v>-95027</v>
      </c>
      <c r="N9" s="7">
        <f t="shared" si="3"/>
        <v>0.02526967111</v>
      </c>
      <c r="O9" s="7">
        <f t="shared" si="11"/>
        <v>0.9725029882</v>
      </c>
      <c r="P9" s="10">
        <f t="array" ref="P9">XLOOKUP(L9,'Dados Funil'!A:A,'Dados Funil'!AM:AM,"")</f>
        <v>-1900.54</v>
      </c>
      <c r="Q9" s="5">
        <f t="array" ref="Q9">XLOOKUP(L9,'Dados Funil'!A:A,'Dados Funil'!AN:AN,"")</f>
        <v>-0.2754405797</v>
      </c>
      <c r="R9" s="4" t="str">
        <f>IFERROR(__xludf.DUMMYFUNCTION("""COMPUTED_VALUE"""),"Form G4 Instagram Outros")</f>
        <v>Form G4 Instagram Outros</v>
      </c>
      <c r="S9" s="10">
        <f>IFERROR(__xludf.DUMMYFUNCTION("""COMPUTED_VALUE"""),84065.1976106691)</f>
        <v>84065.19761</v>
      </c>
      <c r="T9" s="7">
        <f t="shared" si="4"/>
        <v>0.05841660668</v>
      </c>
      <c r="U9" s="7">
        <f t="shared" si="12"/>
        <v>0.7616399228</v>
      </c>
      <c r="V9" s="3">
        <f t="array" ref="V9">XLOOKUP(R9,'Dados Funil'!$A:$A,'Dados Funil'!$K:$K,"")</f>
        <v>44.31014</v>
      </c>
      <c r="W9" s="5">
        <f t="array" ref="W9">XLOOKUP(R9,'Dados Funil'!$A:$A,'Dados Funil'!$L:$L,"")</f>
        <v>0.1394760916</v>
      </c>
      <c r="X9" s="4" t="str">
        <f>IFERROR(__xludf.DUMMYFUNCTION("""COMPUTED_VALUE"""),"[ON] Chat")</f>
        <v>[ON] Chat</v>
      </c>
      <c r="Y9" s="10">
        <f>IFERROR(__xludf.DUMMYFUNCTION("""COMPUTED_VALUE"""),28664.460000000003)</f>
        <v>28664.46</v>
      </c>
      <c r="Z9" s="7">
        <f t="shared" si="5"/>
        <v>0.04112550541</v>
      </c>
      <c r="AA9" s="7">
        <f t="shared" si="13"/>
        <v>0.9040072305</v>
      </c>
      <c r="AB9" s="6">
        <f t="array" ref="AB9">XLOOKUP(X9,'Dados Funil'!A:A,'Dados Funil'!O:O,"")</f>
        <v>16.87951807</v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Instagram Tallis")</f>
        <v>Form G4 Instagram Tallis</v>
      </c>
      <c r="AJ9" s="12">
        <f>IFERROR(__xludf.DUMMYFUNCTION("""COMPUTED_VALUE"""),285.21808651532945)</f>
        <v>285.2180865</v>
      </c>
      <c r="AK9" s="13">
        <f>IFERROR(__xludf.DUMMYFUNCTION("""COMPUTED_VALUE"""),0.34)</f>
        <v>0.34</v>
      </c>
      <c r="AL9" s="9">
        <f>IFERROR(__xludf.DUMMYFUNCTION("""COMPUTED_VALUE"""),4240.0)</f>
        <v>4240</v>
      </c>
      <c r="AM9" s="9">
        <f t="shared" si="7"/>
        <v>411170.3935</v>
      </c>
      <c r="AN9" s="9" t="str">
        <f>IFERROR(__xludf.DUMMYFUNCTION("""COMPUTED_VALUE"""),"Form G4 Instagram Tallis")</f>
        <v>Form G4 Instagram Tallis</v>
      </c>
      <c r="AO9" s="12">
        <f>IFERROR(__xludf.DUMMYFUNCTION("""COMPUTED_VALUE"""),356.0)</f>
        <v>356</v>
      </c>
      <c r="AP9" s="13">
        <f>IFERROR(__xludf.DUMMYFUNCTION("""COMPUTED_VALUE"""),0.45224719101123595)</f>
        <v>0.452247191</v>
      </c>
      <c r="AQ9" s="14">
        <f>IFERROR(__xludf.DUMMYFUNCTION("""COMPUTED_VALUE"""),6949.981366459628)</f>
        <v>6949.981366</v>
      </c>
      <c r="AR9" s="9">
        <f t="shared" si="8"/>
        <v>1118947</v>
      </c>
    </row>
    <row r="10">
      <c r="A10" s="4" t="str">
        <f>IFERROR(__xludf.DUMMYFUNCTION("""COMPUTED_VALUE"""),"[IM] Form G4 Facebook Ads - K")</f>
        <v>[IM] Form G4 Facebook Ads - K</v>
      </c>
      <c r="B10" s="10">
        <f>IFERROR(__xludf.DUMMYFUNCTION("""COMPUTED_VALUE"""),-13979.392824933419)</f>
        <v>-13979.39282</v>
      </c>
      <c r="C10" s="7">
        <f t="shared" si="1"/>
        <v>0.01780554283</v>
      </c>
      <c r="D10" s="7">
        <f t="shared" si="9"/>
        <v>0.9646997227</v>
      </c>
      <c r="E10" s="3">
        <f t="array" ref="E10">XLOOKUP(A10,'Dados Funil'!$A:$A,'Dados Funil'!$K:$K,"")</f>
        <v>-37.05917915</v>
      </c>
      <c r="F10" s="5">
        <f t="array" ref="F10">XLOOKUP(A10,'Dados Funil'!$A:$A,'Dados Funil'!$L:$L,"")</f>
        <v>-0.1899894141</v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 t="str">
        <f>IFERROR(__xludf.DUMMYFUNCTION("""COMPUTED_VALUE"""),"Form G4 Incompleto Instagram")</f>
        <v>Form G4 Incompleto Instagram</v>
      </c>
      <c r="M10" s="10">
        <f>IFERROR(__xludf.DUMMYFUNCTION("""COMPUTED_VALUE"""),-64960.249999999985)</f>
        <v>-64960.25</v>
      </c>
      <c r="N10" s="7">
        <f t="shared" si="3"/>
        <v>0.01727429207</v>
      </c>
      <c r="O10" s="7">
        <f t="shared" si="11"/>
        <v>0.9897772803</v>
      </c>
      <c r="P10" s="10">
        <f t="array" ref="P10">XLOOKUP(L10,'Dados Funil'!A:A,'Dados Funil'!AM:AM,"")</f>
        <v>-746.6695402</v>
      </c>
      <c r="Q10" s="5">
        <f t="array" ref="Q10">XLOOKUP(L10,'Dados Funil'!A:A,'Dados Funil'!AN:AN,"")</f>
        <v>-0.3660144805</v>
      </c>
      <c r="R10" s="4" t="str">
        <f>IFERROR(__xludf.DUMMYFUNCTION("""COMPUTED_VALUE"""),"Form G4 Outros - Orgânico")</f>
        <v>Form G4 Outros - Orgânico</v>
      </c>
      <c r="S10" s="10">
        <f>IFERROR(__xludf.DUMMYFUNCTION("""COMPUTED_VALUE"""),78769.85397848922)</f>
        <v>78769.85398</v>
      </c>
      <c r="T10" s="7">
        <f t="shared" si="4"/>
        <v>0.05473689124</v>
      </c>
      <c r="U10" s="7">
        <f t="shared" si="12"/>
        <v>0.816376814</v>
      </c>
      <c r="V10" s="3">
        <f t="array" ref="V10">XLOOKUP(R10,'Dados Funil'!$A:$A,'Dados Funil'!$K:$K,"")</f>
        <v>26.94644704</v>
      </c>
      <c r="W10" s="5">
        <f t="array" ref="W10">XLOOKUP(R10,'Dados Funil'!$A:$A,'Dados Funil'!$L:$L,"")</f>
        <v>0.08607615784</v>
      </c>
      <c r="X10" s="4" t="str">
        <f>IFERROR(__xludf.DUMMYFUNCTION("""COMPUTED_VALUE"""),"Form G4 - K Instagram")</f>
        <v>Form G4 - K Instagram</v>
      </c>
      <c r="Y10" s="10">
        <f>IFERROR(__xludf.DUMMYFUNCTION("""COMPUTED_VALUE"""),28433.520000000004)</f>
        <v>28433.52</v>
      </c>
      <c r="Z10" s="7">
        <f t="shared" si="5"/>
        <v>0.04079417092</v>
      </c>
      <c r="AA10" s="7">
        <f t="shared" si="13"/>
        <v>0.9448014015</v>
      </c>
      <c r="AB10" s="6">
        <f t="array" ref="AB10">XLOOKUP(X10,'Dados Funil'!A:A,'Dados Funil'!O:O,"")</f>
        <v>2.831775701</v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IFERROR(__xludf.DUMMYFUNCTION("""COMPUTED_VALUE"""),"Form G4 Outros - Não Orgânico")</f>
        <v>Form G4 Outros - Não Orgânico</v>
      </c>
      <c r="AJ10" s="12">
        <f>IFERROR(__xludf.DUMMYFUNCTION("""COMPUTED_VALUE"""),134.83202039369013)</f>
        <v>134.8320204</v>
      </c>
      <c r="AK10" s="13">
        <f>IFERROR(__xludf.DUMMYFUNCTION("""COMPUTED_VALUE"""),0.33)</f>
        <v>0.33</v>
      </c>
      <c r="AL10" s="9">
        <f>IFERROR(__xludf.DUMMYFUNCTION("""COMPUTED_VALUE"""),6500.0)</f>
        <v>6500</v>
      </c>
      <c r="AM10" s="9">
        <f t="shared" si="7"/>
        <v>289214.6837</v>
      </c>
      <c r="AN10" s="9" t="str">
        <f>IFERROR(__xludf.DUMMYFUNCTION("""COMPUTED_VALUE"""),"Form G4 Outros - Não Orgânico")</f>
        <v>Form G4 Outros - Não Orgânico</v>
      </c>
      <c r="AO10" s="12">
        <f>IFERROR(__xludf.DUMMYFUNCTION("""COMPUTED_VALUE"""),87.0)</f>
        <v>87</v>
      </c>
      <c r="AP10" s="13">
        <f>IFERROR(__xludf.DUMMYFUNCTION("""COMPUTED_VALUE"""),0.3333333333333333)</f>
        <v>0.3333333333</v>
      </c>
      <c r="AQ10" s="14">
        <f>IFERROR(__xludf.DUMMYFUNCTION("""COMPUTED_VALUE"""),0.0)</f>
        <v>0</v>
      </c>
      <c r="AR10" s="9">
        <f t="shared" si="8"/>
        <v>0</v>
      </c>
    </row>
    <row r="11">
      <c r="A11" s="4" t="str">
        <f>IFERROR(__xludf.DUMMYFUNCTION("""COMPUTED_VALUE"""),"[SKL] CRM - Email")</f>
        <v>[SKL] CRM - Email</v>
      </c>
      <c r="B11" s="10">
        <f>IFERROR(__xludf.DUMMYFUNCTION("""COMPUTED_VALUE"""),-12598.34867157431)</f>
        <v>-12598.34867</v>
      </c>
      <c r="C11" s="7">
        <f t="shared" si="1"/>
        <v>0.01604650786</v>
      </c>
      <c r="D11" s="7">
        <f t="shared" si="9"/>
        <v>0.9807462306</v>
      </c>
      <c r="E11" s="3">
        <f t="array" ref="E11">XLOOKUP(A11,'Dados Funil'!$A:$A,'Dados Funil'!$K:$K,"")</f>
        <v>-19.91418182</v>
      </c>
      <c r="F11" s="5">
        <f t="array" ref="F11">XLOOKUP(A11,'Dados Funil'!$A:$A,'Dados Funil'!$L:$L,"")</f>
        <v>-0.1071149152</v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IFERROR(__xludf.DUMMYFUNCTION("""COMPUTED_VALUE"""),"[SKL] Site")</f>
        <v>[SKL] Site</v>
      </c>
      <c r="M11" s="10">
        <f>IFERROR(__xludf.DUMMYFUNCTION("""COMPUTED_VALUE"""),-27342.699951171868)</f>
        <v>-27342.69995</v>
      </c>
      <c r="N11" s="7">
        <f t="shared" si="3"/>
        <v>0.007270997034</v>
      </c>
      <c r="O11" s="7">
        <f t="shared" si="11"/>
        <v>0.9970482773</v>
      </c>
      <c r="P11" s="10">
        <f t="array" ref="P11">XLOOKUP(L11,'Dados Funil'!A:A,'Dados Funil'!AM:AM,"")</f>
        <v>-976.5249983</v>
      </c>
      <c r="Q11" s="5">
        <f t="array" ref="Q11">XLOOKUP(L11,'Dados Funil'!A:A,'Dados Funil'!AN:AN,"")</f>
        <v>-0.1903557501</v>
      </c>
      <c r="R11" s="4" t="str">
        <f>IFERROR(__xludf.DUMMYFUNCTION("""COMPUTED_VALUE"""),"[SKL] CRM - WhatsApp")</f>
        <v>[SKL] CRM - WhatsApp</v>
      </c>
      <c r="S11" s="10">
        <f>IFERROR(__xludf.DUMMYFUNCTION("""COMPUTED_VALUE"""),61171.123367427295)</f>
        <v>61171.12337</v>
      </c>
      <c r="T11" s="7">
        <f t="shared" si="4"/>
        <v>0.04250759596</v>
      </c>
      <c r="U11" s="7">
        <f t="shared" si="12"/>
        <v>0.85888441</v>
      </c>
      <c r="V11" s="3">
        <f t="array" ref="V11">XLOOKUP(R11,'Dados Funil'!$A:$A,'Dados Funil'!$K:$K,"")</f>
        <v>98.51691581</v>
      </c>
      <c r="W11" s="5">
        <f t="array" ref="W11">XLOOKUP(R11,'Dados Funil'!$A:$A,'Dados Funil'!$L:$L,"")</f>
        <v>0.4771185795</v>
      </c>
      <c r="X11" s="4" t="str">
        <f>IFERROR(__xludf.DUMMYFUNCTION("""COMPUTED_VALUE"""),"Form G4 Incompleto Instagram")</f>
        <v>Form G4 Incompleto Instagram</v>
      </c>
      <c r="Y11" s="10">
        <f>IFERROR(__xludf.DUMMYFUNCTION("""COMPUTED_VALUE"""),19686.000000000004)</f>
        <v>19686</v>
      </c>
      <c r="Z11" s="7">
        <f t="shared" si="5"/>
        <v>0.02824391946</v>
      </c>
      <c r="AA11" s="7">
        <f t="shared" si="13"/>
        <v>0.9730453209</v>
      </c>
      <c r="AB11" s="6">
        <f t="array" ref="AB11">XLOOKUP(X11,'Dados Funil'!A:A,'Dados Funil'!O:O,"")</f>
        <v>2.183257919</v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IFERROR(__xludf.DUMMYFUNCTION("""COMPUTED_VALUE"""),"[SKL] Site")</f>
        <v>[SKL] Site</v>
      </c>
      <c r="AJ11" s="12">
        <f>IFERROR(__xludf.DUMMYFUNCTION("""COMPUTED_VALUE"""),315.9206308456001)</f>
        <v>315.9206308</v>
      </c>
      <c r="AK11" s="13">
        <f>IFERROR(__xludf.DUMMYFUNCTION("""COMPUTED_VALUE"""),0.15)</f>
        <v>0.15</v>
      </c>
      <c r="AL11" s="9">
        <f>IFERROR(__xludf.DUMMYFUNCTION("""COMPUTED_VALUE"""),5130.0)</f>
        <v>5130</v>
      </c>
      <c r="AM11" s="9">
        <f t="shared" si="7"/>
        <v>243100.9254</v>
      </c>
      <c r="AN11" s="9" t="str">
        <f>IFERROR(__xludf.DUMMYFUNCTION("""COMPUTED_VALUE"""),"[SKL] Site")</f>
        <v>[SKL] Site</v>
      </c>
      <c r="AO11" s="12">
        <f>IFERROR(__xludf.DUMMYFUNCTION("""COMPUTED_VALUE"""),144.0)</f>
        <v>144</v>
      </c>
      <c r="AP11" s="13">
        <f>IFERROR(__xludf.DUMMYFUNCTION("""COMPUTED_VALUE"""),0.19444444444444445)</f>
        <v>0.1944444444</v>
      </c>
      <c r="AQ11" s="14">
        <f>IFERROR(__xludf.DUMMYFUNCTION("""COMPUTED_VALUE"""),4153.475001743862)</f>
        <v>4153.475002</v>
      </c>
      <c r="AR11" s="9">
        <f t="shared" si="8"/>
        <v>116297.3</v>
      </c>
    </row>
    <row r="12">
      <c r="A12" s="4" t="str">
        <f>IFERROR(__xludf.DUMMYFUNCTION("""COMPUTED_VALUE"""),"Form G4 - K Outros")</f>
        <v>Form G4 - K Outros</v>
      </c>
      <c r="B12" s="10">
        <f>IFERROR(__xludf.DUMMYFUNCTION("""COMPUTED_VALUE"""),-11202.171336701584)</f>
        <v>-11202.17134</v>
      </c>
      <c r="C12" s="7">
        <f t="shared" si="1"/>
        <v>0.01426819777</v>
      </c>
      <c r="D12" s="7">
        <f t="shared" si="9"/>
        <v>0.9950144284</v>
      </c>
      <c r="E12" s="3">
        <f t="array" ref="E12">XLOOKUP(A12,'Dados Funil'!$A:$A,'Dados Funil'!$K:$K,"")</f>
        <v>-25.26995564</v>
      </c>
      <c r="F12" s="5">
        <f t="array" ref="F12">XLOOKUP(A12,'Dados Funil'!$A:$A,'Dados Funil'!$L:$L,"")</f>
        <v>-0.09635093574</v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 t="str">
        <f>IFERROR(__xludf.DUMMYFUNCTION("""COMPUTED_VALUE"""),"Form G4 Incompleto Outros")</f>
        <v>Form G4 Incompleto Outros</v>
      </c>
      <c r="M12" s="10">
        <f>IFERROR(__xludf.DUMMYFUNCTION("""COMPUTED_VALUE"""),-11099.999999999989)</f>
        <v>-11100</v>
      </c>
      <c r="N12" s="7">
        <f t="shared" si="3"/>
        <v>0.002951722662</v>
      </c>
      <c r="O12" s="7">
        <f t="shared" si="11"/>
        <v>1</v>
      </c>
      <c r="P12" s="10">
        <f t="array" ref="P12">XLOOKUP(L12,'Dados Funil'!A:A,'Dados Funil'!AM:AM,"")</f>
        <v>-222</v>
      </c>
      <c r="Q12" s="13">
        <f t="array" ref="Q12">XLOOKUP(L12,'Dados Funil'!A:A,'Dados Funil'!AN:AN,"")</f>
        <v>-0.1233333333</v>
      </c>
      <c r="R12" s="4" t="str">
        <f>IFERROR(__xludf.DUMMYFUNCTION("""COMPUTED_VALUE"""),"[CM] Form G4 - Instagram")</f>
        <v>[CM] Form G4 - Instagram</v>
      </c>
      <c r="S12" s="10">
        <f>IFERROR(__xludf.DUMMYFUNCTION("""COMPUTED_VALUE"""),58663.43225806463)</f>
        <v>58663.43226</v>
      </c>
      <c r="T12" s="7">
        <f t="shared" si="4"/>
        <v>0.04076501033</v>
      </c>
      <c r="U12" s="7">
        <f t="shared" si="12"/>
        <v>0.8996494203</v>
      </c>
      <c r="V12" s="3">
        <f t="array" ref="V12">XLOOKUP(R12,'Dados Funil'!$A:$A,'Dados Funil'!$K:$K,"")</f>
        <v>24.94193548</v>
      </c>
      <c r="W12" s="5">
        <f t="array" ref="W12">XLOOKUP(R12,'Dados Funil'!$A:$A,'Dados Funil'!$L:$L,"")</f>
        <v>0.4613915742</v>
      </c>
      <c r="X12" s="4" t="str">
        <f>IFERROR(__xludf.DUMMYFUNCTION("""COMPUTED_VALUE"""),"Form G4 Instagram G4")</f>
        <v>Form G4 Instagram G4</v>
      </c>
      <c r="Y12" s="10">
        <f>IFERROR(__xludf.DUMMYFUNCTION("""COMPUTED_VALUE"""),16902.39999999974)</f>
        <v>16902.4</v>
      </c>
      <c r="Z12" s="7">
        <f t="shared" si="5"/>
        <v>0.02425022982</v>
      </c>
      <c r="AA12" s="7">
        <f t="shared" si="13"/>
        <v>0.9972955507</v>
      </c>
      <c r="AB12" s="6">
        <f t="array" ref="AB12">XLOOKUP(X12,'Dados Funil'!A:A,'Dados Funil'!O:O,"")</f>
        <v>0.2349957735</v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IFERROR(__xludf.DUMMYFUNCTION("""COMPUTED_VALUE"""),"Form G4 Incompleto Outros")</f>
        <v>Form G4 Incompleto Outros</v>
      </c>
      <c r="AJ12" s="12">
        <f>IFERROR(__xludf.DUMMYFUNCTION("""COMPUTED_VALUE"""),775.0821397906205)</f>
        <v>775.0821398</v>
      </c>
      <c r="AK12" s="13">
        <f>IFERROR(__xludf.DUMMYFUNCTION("""COMPUTED_VALUE"""),0.16)</f>
        <v>0.16</v>
      </c>
      <c r="AL12" s="9">
        <f>IFERROR(__xludf.DUMMYFUNCTION("""COMPUTED_VALUE"""),1799.9999999999998)</f>
        <v>1800</v>
      </c>
      <c r="AM12" s="9">
        <f t="shared" si="7"/>
        <v>223223.6563</v>
      </c>
      <c r="AN12" s="9" t="str">
        <f>IFERROR(__xludf.DUMMYFUNCTION("""COMPUTED_VALUE"""),"Form G4 Incompleto Outros")</f>
        <v>Form G4 Incompleto Outros</v>
      </c>
      <c r="AO12" s="12">
        <f>IFERROR(__xludf.DUMMYFUNCTION("""COMPUTED_VALUE"""),316.0)</f>
        <v>316</v>
      </c>
      <c r="AP12" s="13">
        <f>IFERROR(__xludf.DUMMYFUNCTION("""COMPUTED_VALUE"""),0.15822784810126583)</f>
        <v>0.1582278481</v>
      </c>
      <c r="AQ12" s="14">
        <f>IFERROR(__xludf.DUMMYFUNCTION("""COMPUTED_VALUE"""),1578.0)</f>
        <v>1578</v>
      </c>
      <c r="AR12" s="9">
        <f t="shared" si="8"/>
        <v>78900</v>
      </c>
    </row>
    <row r="13">
      <c r="A13" s="4" t="str">
        <f>IFERROR(__xludf.DUMMYFUNCTION("""COMPUTED_VALUE"""),"Form G4 - K Instagram")</f>
        <v>Form G4 - K Instagram</v>
      </c>
      <c r="B13" s="10">
        <f>IFERROR(__xludf.DUMMYFUNCTION("""COMPUTED_VALUE"""),-3348.895034685383)</f>
        <v>-3348.895035</v>
      </c>
      <c r="C13" s="7">
        <f t="shared" si="1"/>
        <v>0.004265485255</v>
      </c>
      <c r="D13" s="7">
        <f t="shared" si="9"/>
        <v>0.9992799136</v>
      </c>
      <c r="E13" s="3">
        <f t="array" ref="E13">XLOOKUP(A13,'Dados Funil'!$A:$A,'Dados Funil'!$K:$K,"")</f>
        <v>-10.19636778</v>
      </c>
      <c r="F13" s="5">
        <f t="array" ref="F13">XLOOKUP(A13,'Dados Funil'!$A:$A,'Dados Funil'!$L:$L,"")</f>
        <v>-0.01563389232</v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R13" s="4" t="str">
        <f>IFERROR(__xludf.DUMMYFUNCTION("""COMPUTED_VALUE"""),"Form G4 Facebook")</f>
        <v>Form G4 Facebook</v>
      </c>
      <c r="S13" s="10">
        <f>IFERROR(__xludf.DUMMYFUNCTION("""COMPUTED_VALUE"""),32656.127423983795)</f>
        <v>32656.12742</v>
      </c>
      <c r="T13" s="7">
        <f t="shared" si="4"/>
        <v>0.02269262674</v>
      </c>
      <c r="U13" s="7">
        <f t="shared" si="12"/>
        <v>0.922342047</v>
      </c>
      <c r="V13" s="3">
        <f t="array" ref="V13">XLOOKUP(R13,'Dados Funil'!$A:$A,'Dados Funil'!$K:$K,"")</f>
        <v>37.56168326</v>
      </c>
      <c r="W13" s="5">
        <f t="array" ref="W13">XLOOKUP(R13,'Dados Funil'!$A:$A,'Dados Funil'!$L:$L,"")</f>
        <v>0.2879651026</v>
      </c>
      <c r="X13" s="4" t="str">
        <f>IFERROR(__xludf.DUMMYFUNCTION("""COMPUTED_VALUE"""),"Form G4 Outros - Não Orgânico")</f>
        <v>Form G4 Outros - Não Orgânico</v>
      </c>
      <c r="Y13" s="10">
        <f>IFERROR(__xludf.DUMMYFUNCTION("""COMPUTED_VALUE"""),1884.9999999999807)</f>
        <v>1885</v>
      </c>
      <c r="Z13" s="7">
        <f t="shared" si="5"/>
        <v>0.002704449262</v>
      </c>
      <c r="AA13" s="7">
        <f t="shared" si="13"/>
        <v>1</v>
      </c>
      <c r="AB13" s="6">
        <f t="array" ref="AB13">XLOOKUP(X13,'Dados Funil'!A:A,'Dados Funil'!O:O,"")</f>
        <v>0.3333333333</v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IFERROR(__xludf.DUMMYFUNCTION("""COMPUTED_VALUE"""),"Form G4 - K Instagram")</f>
        <v>Form G4 - K Instagram</v>
      </c>
      <c r="AJ13" s="12">
        <f>IFERROR(__xludf.DUMMYFUNCTION("""COMPUTED_VALUE"""),652.1963677831122)</f>
        <v>652.1963678</v>
      </c>
      <c r="AK13" s="13">
        <f>IFERROR(__xludf.DUMMYFUNCTION("""COMPUTED_VALUE"""),0.21)</f>
        <v>0.21</v>
      </c>
      <c r="AL13" s="9">
        <f>IFERROR(__xludf.DUMMYFUNCTION("""COMPUTED_VALUE"""),1564.0)</f>
        <v>1564</v>
      </c>
      <c r="AM13" s="9">
        <f t="shared" si="7"/>
        <v>214207.375</v>
      </c>
      <c r="AN13" s="9" t="str">
        <f>IFERROR(__xludf.DUMMYFUNCTION("""COMPUTED_VALUE"""),"Form G4 - K Instagram")</f>
        <v>Form G4 - K Instagram</v>
      </c>
      <c r="AO13" s="12">
        <f>IFERROR(__xludf.DUMMYFUNCTION("""COMPUTED_VALUE"""),642.0)</f>
        <v>642</v>
      </c>
      <c r="AP13" s="13">
        <f>IFERROR(__xludf.DUMMYFUNCTION("""COMPUTED_VALUE"""),0.2383177570093458)</f>
        <v>0.238317757</v>
      </c>
      <c r="AQ13" s="14">
        <f>IFERROR(__xludf.DUMMYFUNCTION("""COMPUTED_VALUE"""),1695.0104581546161)</f>
        <v>1695.010458</v>
      </c>
      <c r="AR13" s="9">
        <f t="shared" si="8"/>
        <v>259336.6001</v>
      </c>
    </row>
    <row r="14">
      <c r="A14" s="4" t="str">
        <f>IFERROR(__xludf.DUMMYFUNCTION("""COMPUTED_VALUE"""),"[IM] Chat")</f>
        <v>[IM] Chat</v>
      </c>
      <c r="B14" s="10">
        <f>IFERROR(__xludf.DUMMYFUNCTION("""COMPUTED_VALUE"""),-565.3503718607516)</f>
        <v>-565.3503719</v>
      </c>
      <c r="C14" s="7">
        <f t="shared" si="1"/>
        <v>0.0007200863718</v>
      </c>
      <c r="D14" s="7">
        <f t="shared" si="9"/>
        <v>1</v>
      </c>
      <c r="E14" s="3">
        <f t="array" ref="E14">XLOOKUP(A14,'Dados Funil'!$A:$A,'Dados Funil'!$K:$K,"")</f>
        <v>-0.4087264111</v>
      </c>
      <c r="F14" s="5">
        <f t="array" ref="F14">XLOOKUP(A14,'Dados Funil'!$A:$A,'Dados Funil'!$L:$L,"")</f>
        <v>-0.000629382382</v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R14" s="9" t="str">
        <f>IFERROR(__xludf.DUMMYFUNCTION("""COMPUTED_VALUE"""),"[IM] Link de Indicação")</f>
        <v>[IM] Link de Indicação</v>
      </c>
      <c r="S14" s="15">
        <f>IFERROR(__xludf.DUMMYFUNCTION("""COMPUTED_VALUE"""),27638.606962824164)</f>
        <v>27638.60696</v>
      </c>
      <c r="T14" s="7">
        <f t="shared" si="4"/>
        <v>0.01920596963</v>
      </c>
      <c r="U14" s="7">
        <f t="shared" si="12"/>
        <v>0.9415480167</v>
      </c>
      <c r="V14" s="3">
        <f t="array" ref="V14">XLOOKUP(R14,'Dados Funil'!$A:$A,'Dados Funil'!$K:$K,"")</f>
        <v>17.56840005</v>
      </c>
      <c r="W14" s="5">
        <f t="array" ref="W14">XLOOKUP(R14,'Dados Funil'!$A:$A,'Dados Funil'!$L:$L,"")</f>
        <v>0.2080784927</v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IFERROR(__xludf.DUMMYFUNCTION("""COMPUTED_VALUE"""),"Form G4 Incompleto Instagram")</f>
        <v>Form G4 Incompleto Instagram</v>
      </c>
      <c r="AJ14" s="12">
        <f>IFERROR(__xludf.DUMMYFUNCTION("""COMPUTED_VALUE"""),525.3865241458291)</f>
        <v>525.3865241</v>
      </c>
      <c r="AK14" s="13">
        <f>IFERROR(__xludf.DUMMYFUNCTION("""COMPUTED_VALUE"""),0.175)</f>
        <v>0.175</v>
      </c>
      <c r="AL14" s="9">
        <f>IFERROR(__xludf.DUMMYFUNCTION("""COMPUTED_VALUE"""),2039.9999999999998)</f>
        <v>2040</v>
      </c>
      <c r="AM14" s="9">
        <f t="shared" si="7"/>
        <v>187562.9891</v>
      </c>
      <c r="AN14" s="9" t="str">
        <f>IFERROR(__xludf.DUMMYFUNCTION("""COMPUTED_VALUE"""),"Form G4 Incompleto Instagram")</f>
        <v>Form G4 Incompleto Instagram</v>
      </c>
      <c r="AO14" s="12">
        <f>IFERROR(__xludf.DUMMYFUNCTION("""COMPUTED_VALUE"""),442.0)</f>
        <v>442</v>
      </c>
      <c r="AP14" s="13">
        <f>IFERROR(__xludf.DUMMYFUNCTION("""COMPUTED_VALUE"""),0.19683257918552036)</f>
        <v>0.1968325792</v>
      </c>
      <c r="AQ14" s="14">
        <f>IFERROR(__xludf.DUMMYFUNCTION("""COMPUTED_VALUE"""),1293.3304597701149)</f>
        <v>1293.33046</v>
      </c>
      <c r="AR14" s="9">
        <f t="shared" si="8"/>
        <v>112519.75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R15" s="9" t="str">
        <f>IFERROR(__xludf.DUMMYFUNCTION("""COMPUTED_VALUE"""),"[ON] Form G4 Incompleto")</f>
        <v>[ON] Form G4 Incompleto</v>
      </c>
      <c r="S15" s="15">
        <f>IFERROR(__xludf.DUMMYFUNCTION("""COMPUTED_VALUE"""),26217.665419354864)</f>
        <v>26217.66542</v>
      </c>
      <c r="T15" s="7">
        <f t="shared" si="4"/>
        <v>0.01821856241</v>
      </c>
      <c r="U15" s="7">
        <f t="shared" si="12"/>
        <v>0.9597665791</v>
      </c>
      <c r="V15" s="3">
        <f t="array" ref="V15">XLOOKUP(R15,'Dados Funil'!$A:$A,'Dados Funil'!$K:$K,"")</f>
        <v>100.143871</v>
      </c>
      <c r="W15" s="5">
        <f t="array" ref="W15">XLOOKUP(R15,'Dados Funil'!$A:$A,'Dados Funil'!$L:$L,"")</f>
        <v>0.6466897474</v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IFERROR(__xludf.DUMMYFUNCTION("""COMPUTED_VALUE"""),"[ON] Chat")</f>
        <v>[ON] Chat</v>
      </c>
      <c r="AJ15" s="12">
        <f>IFERROR(__xludf.DUMMYFUNCTION("""COMPUTED_VALUE"""),166.06451612903214)</f>
        <v>166.0645161</v>
      </c>
      <c r="AK15" s="13">
        <f>IFERROR(__xludf.DUMMYFUNCTION("""COMPUTED_VALUE"""),0.53)</f>
        <v>0.53</v>
      </c>
      <c r="AL15" s="9">
        <f>IFERROR(__xludf.DUMMYFUNCTION("""COMPUTED_VALUE"""),2046.0000000000002)</f>
        <v>2046</v>
      </c>
      <c r="AM15" s="9">
        <f t="shared" si="7"/>
        <v>180077.04</v>
      </c>
      <c r="AN15" s="9" t="str">
        <f>IFERROR(__xludf.DUMMYFUNCTION("""COMPUTED_VALUE"""),"[ON] Chat")</f>
        <v>[ON] Chat</v>
      </c>
      <c r="AO15" s="12">
        <f>IFERROR(__xludf.DUMMYFUNCTION("""COMPUTED_VALUE"""),83.0)</f>
        <v>83</v>
      </c>
      <c r="AP15" s="13">
        <f>IFERROR(__xludf.DUMMYFUNCTION("""COMPUTED_VALUE"""),0.6987951807228916)</f>
        <v>0.6987951807</v>
      </c>
      <c r="AQ15" s="14">
        <f>IFERROR(__xludf.DUMMYFUNCTION("""COMPUTED_VALUE"""),2457.1293103448274)</f>
        <v>2457.12931</v>
      </c>
      <c r="AR15" s="9">
        <f t="shared" si="8"/>
        <v>142513.5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R16" s="9" t="str">
        <f>IFERROR(__xludf.DUMMYFUNCTION("""COMPUTED_VALUE"""),"[ON] Form Meta")</f>
        <v>[ON] Form Meta</v>
      </c>
      <c r="S16" s="15">
        <f>IFERROR(__xludf.DUMMYFUNCTION("""COMPUTED_VALUE"""),24110.838930876587)</f>
        <v>24110.83893</v>
      </c>
      <c r="T16" s="7">
        <f t="shared" si="4"/>
        <v>0.01675453618</v>
      </c>
      <c r="U16" s="7">
        <f t="shared" si="12"/>
        <v>0.9765211152</v>
      </c>
      <c r="V16" s="3">
        <f t="array" ref="V16">XLOOKUP(R16,'Dados Funil'!$A:$A,'Dados Funil'!$K:$K,"")</f>
        <v>90.91568224</v>
      </c>
      <c r="W16" s="5">
        <f t="array" ref="W16">XLOOKUP(R16,'Dados Funil'!$A:$A,'Dados Funil'!$L:$L,"")</f>
        <v>0.8258731497</v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I16" s="9" t="str">
        <f>IFERROR(__xludf.DUMMYFUNCTION("""COMPUTED_VALUE"""),"Form G4 Google")</f>
        <v>Form G4 Google</v>
      </c>
      <c r="AJ16" s="12">
        <f>IFERROR(__xludf.DUMMYFUNCTION("""COMPUTED_VALUE"""),82.70410504959061)</f>
        <v>82.70410505</v>
      </c>
      <c r="AK16" s="13">
        <f>IFERROR(__xludf.DUMMYFUNCTION("""COMPUTED_VALUE"""),0.37)</f>
        <v>0.37</v>
      </c>
      <c r="AL16" s="9">
        <f>IFERROR(__xludf.DUMMYFUNCTION("""COMPUTED_VALUE"""),5520.0)</f>
        <v>5520</v>
      </c>
      <c r="AM16" s="9">
        <f t="shared" si="7"/>
        <v>168914.8642</v>
      </c>
      <c r="AN16" s="9" t="str">
        <f>IFERROR(__xludf.DUMMYFUNCTION("""COMPUTED_VALUE"""),"Form G4 Google")</f>
        <v>Form G4 Google</v>
      </c>
      <c r="AO16" s="12">
        <f>IFERROR(__xludf.DUMMYFUNCTION("""COMPUTED_VALUE"""),225.0)</f>
        <v>225</v>
      </c>
      <c r="AP16" s="13">
        <f>IFERROR(__xludf.DUMMYFUNCTION("""COMPUTED_VALUE"""),0.4444444444444444)</f>
        <v>0.4444444444</v>
      </c>
      <c r="AQ16" s="14">
        <f>IFERROR(__xludf.DUMMYFUNCTION("""COMPUTED_VALUE"""),9366.03)</f>
        <v>9366.03</v>
      </c>
      <c r="AR16" s="9">
        <f t="shared" si="8"/>
        <v>936603</v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R17" s="9" t="str">
        <f>IFERROR(__xludf.DUMMYFUNCTION("""COMPUTED_VALUE"""),"[CM] Form G4 - Outros")</f>
        <v>[CM] Form G4 - Outros</v>
      </c>
      <c r="S17" s="15">
        <f>IFERROR(__xludf.DUMMYFUNCTION("""COMPUTED_VALUE"""),14020.954838709727)</f>
        <v>14020.95484</v>
      </c>
      <c r="T17" s="7">
        <f t="shared" si="4"/>
        <v>0.009743111625</v>
      </c>
      <c r="U17" s="7">
        <f t="shared" si="12"/>
        <v>0.9862642269</v>
      </c>
      <c r="V17" s="3">
        <f t="array" ref="V17">XLOOKUP(R17,'Dados Funil'!$A:$A,'Dados Funil'!$K:$K,"")</f>
        <v>5.961290323</v>
      </c>
      <c r="W17" s="5">
        <f t="array" ref="W17">XLOOKUP(R17,'Dados Funil'!$A:$A,'Dados Funil'!$L:$L,"")</f>
        <v>0.1654135338</v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I17" s="9" t="str">
        <f>IFERROR(__xludf.DUMMYFUNCTION("""COMPUTED_VALUE"""),"[ON] Form G4")</f>
        <v>[ON] Form G4</v>
      </c>
      <c r="AJ17" s="12">
        <f>IFERROR(__xludf.DUMMYFUNCTION("""COMPUTED_VALUE"""),185.52455840544525)</f>
        <v>185.5245584</v>
      </c>
      <c r="AK17" s="13">
        <f>IFERROR(__xludf.DUMMYFUNCTION("""COMPUTED_VALUE"""),0.27)</f>
        <v>0.27</v>
      </c>
      <c r="AL17" s="9">
        <f>IFERROR(__xludf.DUMMYFUNCTION("""COMPUTED_VALUE"""),2990.0)</f>
        <v>2990</v>
      </c>
      <c r="AM17" s="9">
        <f t="shared" si="7"/>
        <v>149773.976</v>
      </c>
      <c r="AN17" s="9" t="str">
        <f>IFERROR(__xludf.DUMMYFUNCTION("""COMPUTED_VALUE"""),"[ON] Form G4")</f>
        <v>[ON] Form G4</v>
      </c>
      <c r="AO17" s="12">
        <f>IFERROR(__xludf.DUMMYFUNCTION("""COMPUTED_VALUE"""),315.0)</f>
        <v>315</v>
      </c>
      <c r="AP17" s="13">
        <f>IFERROR(__xludf.DUMMYFUNCTION("""COMPUTED_VALUE"""),0.28888888888888886)</f>
        <v>0.2888888889</v>
      </c>
      <c r="AQ17" s="14">
        <f>IFERROR(__xludf.DUMMYFUNCTION("""COMPUTED_VALUE"""),1519.3142921531594)</f>
        <v>1519.314292</v>
      </c>
      <c r="AR17" s="9">
        <f t="shared" si="8"/>
        <v>138257.6006</v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R18" s="9" t="str">
        <f>IFERROR(__xludf.DUMMYFUNCTION("""COMPUTED_VALUE"""),"[SKL] Social")</f>
        <v>[SKL] Social</v>
      </c>
      <c r="S18" s="15">
        <f>IFERROR(__xludf.DUMMYFUNCTION("""COMPUTED_VALUE"""),11603.380645161376)</f>
        <v>11603.38065</v>
      </c>
      <c r="T18" s="7">
        <f t="shared" si="4"/>
        <v>0.008063147921</v>
      </c>
      <c r="U18" s="7">
        <f t="shared" si="12"/>
        <v>0.9943273748</v>
      </c>
      <c r="V18" s="3">
        <f t="array" ref="V18">XLOOKUP(R18,'Dados Funil'!$A:$A,'Dados Funil'!$K:$K,"")</f>
        <v>19.18548387</v>
      </c>
      <c r="W18" s="5">
        <f t="array" ref="W18">XLOOKUP(R18,'Dados Funil'!$A:$A,'Dados Funil'!$L:$L,"")</f>
        <v>0.100545201</v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I18" s="9" t="str">
        <f>IFERROR(__xludf.DUMMYFUNCTION("""COMPUTED_VALUE"""),"[ON] Abandono de carrinho")</f>
        <v>[ON] Abandono de carrinho</v>
      </c>
      <c r="AJ18" s="12">
        <f>IFERROR(__xludf.DUMMYFUNCTION("""COMPUTED_VALUE"""),233.3397349743348)</f>
        <v>233.339735</v>
      </c>
      <c r="AK18" s="13">
        <f>IFERROR(__xludf.DUMMYFUNCTION("""COMPUTED_VALUE"""),0.23)</f>
        <v>0.23</v>
      </c>
      <c r="AL18" s="9">
        <f>IFERROR(__xludf.DUMMYFUNCTION("""COMPUTED_VALUE"""),2720.0000000000005)</f>
        <v>2720</v>
      </c>
      <c r="AM18" s="9">
        <f t="shared" si="7"/>
        <v>145977.3382</v>
      </c>
      <c r="AN18" s="9" t="str">
        <f>IFERROR(__xludf.DUMMYFUNCTION("""COMPUTED_VALUE"""),"[ON] Abandono de carrinho")</f>
        <v>[ON] Abandono de carrinho</v>
      </c>
      <c r="AO18" s="12">
        <f>IFERROR(__xludf.DUMMYFUNCTION("""COMPUTED_VALUE"""),201.0)</f>
        <v>201</v>
      </c>
      <c r="AP18" s="13">
        <f>IFERROR(__xludf.DUMMYFUNCTION("""COMPUTED_VALUE"""),0.21393034825870647)</f>
        <v>0.2139303483</v>
      </c>
      <c r="AQ18" s="14">
        <f>IFERROR(__xludf.DUMMYFUNCTION("""COMPUTED_VALUE"""),2137.151401026521)</f>
        <v>2137.151401</v>
      </c>
      <c r="AR18" s="9">
        <f t="shared" si="8"/>
        <v>91897.51024</v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R19" s="9" t="str">
        <f>IFERROR(__xludf.DUMMYFUNCTION("""COMPUTED_VALUE"""),"[SKL] Chat")</f>
        <v>[SKL] Chat</v>
      </c>
      <c r="S19" s="15">
        <f>IFERROR(__xludf.DUMMYFUNCTION("""COMPUTED_VALUE"""),3791.315982404707)</f>
        <v>3791.315982</v>
      </c>
      <c r="T19" s="7">
        <f t="shared" si="4"/>
        <v>0.002634571985</v>
      </c>
      <c r="U19" s="7">
        <f t="shared" si="12"/>
        <v>0.9969619468</v>
      </c>
      <c r="V19" s="3">
        <f t="array" ref="V19">XLOOKUP(R19,'Dados Funil'!$A:$A,'Dados Funil'!$K:$K,"")</f>
        <v>2.579126519</v>
      </c>
      <c r="W19" s="5">
        <f t="array" ref="W19">XLOOKUP(R19,'Dados Funil'!$A:$A,'Dados Funil'!$L:$L,"")</f>
        <v>0.1672490551</v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I19" s="9" t="str">
        <f>IFERROR(__xludf.DUMMYFUNCTION("""COMPUTED_VALUE"""),"[ON] Outros")</f>
        <v>[ON] Outros</v>
      </c>
      <c r="AJ19" s="12">
        <f>IFERROR(__xludf.DUMMYFUNCTION("""COMPUTED_VALUE"""),429.13330627867805)</f>
        <v>429.1333063</v>
      </c>
      <c r="AK19" s="13">
        <f>IFERROR(__xludf.DUMMYFUNCTION("""COMPUTED_VALUE"""),0.13939841437632133)</f>
        <v>0.1393984144</v>
      </c>
      <c r="AL19" s="9">
        <f>IFERROR(__xludf.DUMMYFUNCTION("""COMPUTED_VALUE"""),2377.6442105749243)</f>
        <v>2377.644211</v>
      </c>
      <c r="AM19" s="9">
        <f t="shared" si="7"/>
        <v>142231.8713</v>
      </c>
      <c r="AN19" s="9" t="str">
        <f>IFERROR(__xludf.DUMMYFUNCTION("""COMPUTED_VALUE"""),"[ON] Outros")</f>
        <v>[ON] Outros</v>
      </c>
      <c r="AO19" s="12">
        <f>IFERROR(__xludf.DUMMYFUNCTION("""COMPUTED_VALUE"""),301.0)</f>
        <v>301</v>
      </c>
      <c r="AP19" s="13">
        <f>IFERROR(__xludf.DUMMYFUNCTION("""COMPUTED_VALUE"""),0.11960132890365449)</f>
        <v>0.1196013289</v>
      </c>
      <c r="AQ19" s="14">
        <f>IFERROR(__xludf.DUMMYFUNCTION("""COMPUTED_VALUE"""),1366.7777777777778)</f>
        <v>1366.777778</v>
      </c>
      <c r="AR19" s="9">
        <f t="shared" si="8"/>
        <v>49204</v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R20" s="9" t="str">
        <f>IFERROR(__xludf.DUMMYFUNCTION("""COMPUTED_VALUE"""),"[SKL] Midia Paga - Frio")</f>
        <v>[SKL] Midia Paga - Frio</v>
      </c>
      <c r="S20" s="15">
        <f>IFERROR(__xludf.DUMMYFUNCTION("""COMPUTED_VALUE"""),3593.848484043919)</f>
        <v>3593.848484</v>
      </c>
      <c r="T20" s="7">
        <f t="shared" si="4"/>
        <v>0.002497352523</v>
      </c>
      <c r="U20" s="7">
        <f t="shared" si="12"/>
        <v>0.9994592993</v>
      </c>
      <c r="V20" s="3">
        <f t="array" ref="V20">XLOOKUP(R20,'Dados Funil'!$A:$A,'Dados Funil'!$K:$K,"")</f>
        <v>18.78225806</v>
      </c>
      <c r="W20" s="5">
        <f t="array" ref="W20">XLOOKUP(R20,'Dados Funil'!$A:$A,'Dados Funil'!$L:$L,"")</f>
        <v>0.04850567531</v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I20" s="9" t="str">
        <f>IFERROR(__xludf.DUMMYFUNCTION("""COMPUTED_VALUE"""),"[IM] Link de Indicação")</f>
        <v>[IM] Link de Indicação</v>
      </c>
      <c r="AJ20" s="12">
        <f>IFERROR(__xludf.DUMMYFUNCTION("""COMPUTED_VALUE"""),84.43159994735306)</f>
        <v>84.43159995</v>
      </c>
      <c r="AK20" s="13">
        <f>IFERROR(__xludf.DUMMYFUNCTION("""COMPUTED_VALUE"""),0.285)</f>
        <v>0.285</v>
      </c>
      <c r="AL20" s="9">
        <f>IFERROR(__xludf.DUMMYFUNCTION("""COMPUTED_VALUE"""),5520.000000000001)</f>
        <v>5520</v>
      </c>
      <c r="AM20" s="9">
        <f t="shared" si="7"/>
        <v>132827.793</v>
      </c>
      <c r="AN20" s="9" t="str">
        <f>IFERROR(__xludf.DUMMYFUNCTION("""COMPUTED_VALUE"""),"[IM] Link de Indicação")</f>
        <v>[IM] Link de Indicação</v>
      </c>
      <c r="AO20" s="12">
        <f>IFERROR(__xludf.DUMMYFUNCTION("""COMPUTED_VALUE"""),102.0)</f>
        <v>102</v>
      </c>
      <c r="AP20" s="13">
        <f>IFERROR(__xludf.DUMMYFUNCTION("""COMPUTED_VALUE"""),0.21568627450980393)</f>
        <v>0.2156862745</v>
      </c>
      <c r="AQ20" s="14">
        <f>IFERROR(__xludf.DUMMYFUNCTION("""COMPUTED_VALUE"""),4699.772727272727)</f>
        <v>4699.772727</v>
      </c>
      <c r="AR20" s="9">
        <f t="shared" si="8"/>
        <v>103395</v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R21" s="9" t="str">
        <f>IFERROR(__xludf.DUMMYFUNCTION("""COMPUTED_VALUE"""),"[SKL] Outros")</f>
        <v>[SKL] Outros</v>
      </c>
      <c r="S21" s="15">
        <f>IFERROR(__xludf.DUMMYFUNCTION("""COMPUTED_VALUE"""),778.1025710830746)</f>
        <v>778.1025711</v>
      </c>
      <c r="T21" s="7">
        <f t="shared" si="4"/>
        <v>0.0005407007079</v>
      </c>
      <c r="U21" s="7">
        <f t="shared" si="12"/>
        <v>1</v>
      </c>
      <c r="V21" s="3">
        <f t="array" ref="V21">XLOOKUP(R21,'Dados Funil'!$A:$A,'Dados Funil'!$K:$K,"")</f>
        <v>0.4510739543</v>
      </c>
      <c r="W21" s="5">
        <f t="array" ref="W21">XLOOKUP(R21,'Dados Funil'!$A:$A,'Dados Funil'!$L:$L,"")</f>
        <v>0.00109073903</v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I21" s="9" t="str">
        <f>IFERROR(__xludf.DUMMYFUNCTION("""COMPUTED_VALUE"""),"[SKL] CRM - WhatsApp")</f>
        <v>[SKL] CRM - WhatsApp</v>
      </c>
      <c r="AJ21" s="12">
        <f>IFERROR(__xludf.DUMMYFUNCTION("""COMPUTED_VALUE"""),206.48308418568044)</f>
        <v>206.4830842</v>
      </c>
      <c r="AK21" s="13">
        <f>IFERROR(__xludf.DUMMYFUNCTION("""COMPUTED_VALUE"""),0.215)</f>
        <v>0.215</v>
      </c>
      <c r="AL21" s="9">
        <f>IFERROR(__xludf.DUMMYFUNCTION("""COMPUTED_VALUE"""),2888.0)</f>
        <v>2888</v>
      </c>
      <c r="AM21" s="9">
        <f t="shared" si="7"/>
        <v>128209.4766</v>
      </c>
      <c r="AN21" s="9" t="str">
        <f>IFERROR(__xludf.DUMMYFUNCTION("""COMPUTED_VALUE"""),"[SKL] CRM - WhatsApp")</f>
        <v>[SKL] CRM - WhatsApp</v>
      </c>
      <c r="AO21" s="12">
        <f>IFERROR(__xludf.DUMMYFUNCTION("""COMPUTED_VALUE"""),305.0)</f>
        <v>305</v>
      </c>
      <c r="AP21" s="13">
        <f>IFERROR(__xludf.DUMMYFUNCTION("""COMPUTED_VALUE"""),0.12786885245901639)</f>
        <v>0.1278688525</v>
      </c>
      <c r="AQ21" s="14">
        <f>IFERROR(__xludf.DUMMYFUNCTION("""COMPUTED_VALUE"""),3913.98974609375)</f>
        <v>3913.989746</v>
      </c>
      <c r="AR21" s="9">
        <f t="shared" si="8"/>
        <v>152645.6001</v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U22" s="4" t="str">
        <f t="shared" si="12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I22" s="9" t="str">
        <f>IFERROR(__xludf.DUMMYFUNCTION("""COMPUTED_VALUE"""),"[CM] Form G4 - Instagram")</f>
        <v>[CM] Form G4 - Instagram</v>
      </c>
      <c r="AJ22" s="12">
        <f>IFERROR(__xludf.DUMMYFUNCTION("""COMPUTED_VALUE"""),54.05806451612899)</f>
        <v>54.05806452</v>
      </c>
      <c r="AK22" s="13">
        <f>IFERROR(__xludf.DUMMYFUNCTION("""COMPUTED_VALUE"""),0.28)</f>
        <v>0.28</v>
      </c>
      <c r="AL22" s="9">
        <f>IFERROR(__xludf.DUMMYFUNCTION("""COMPUTED_VALUE"""),8400.0)</f>
        <v>8400</v>
      </c>
      <c r="AM22" s="9">
        <f t="shared" si="7"/>
        <v>127144.5677</v>
      </c>
      <c r="AN22" s="9" t="str">
        <f>IFERROR(__xludf.DUMMYFUNCTION("""COMPUTED_VALUE"""),"[CM] Form G4 - Instagram")</f>
        <v>[CM] Form G4 - Instagram</v>
      </c>
      <c r="AO22" s="12">
        <f>IFERROR(__xludf.DUMMYFUNCTION("""COMPUTED_VALUE"""),79.0)</f>
        <v>79</v>
      </c>
      <c r="AP22" s="13">
        <f>IFERROR(__xludf.DUMMYFUNCTION("""COMPUTED_VALUE"""),0.22784810126582278)</f>
        <v>0.2278481013</v>
      </c>
      <c r="AQ22" s="14">
        <f>IFERROR(__xludf.DUMMYFUNCTION("""COMPUTED_VALUE"""),0.0)</f>
        <v>0</v>
      </c>
      <c r="AR22" s="9">
        <f t="shared" si="8"/>
        <v>0</v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U23" s="4" t="str">
        <f t="shared" si="12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I23" s="9" t="str">
        <f>IFERROR(__xludf.DUMMYFUNCTION("""COMPUTED_VALUE"""),"[SKL] CRM - Email")</f>
        <v>[SKL] CRM - Email</v>
      </c>
      <c r="AJ23" s="12">
        <f>IFERROR(__xludf.DUMMYFUNCTION("""COMPUTED_VALUE"""),185.91418181750893)</f>
        <v>185.9141818</v>
      </c>
      <c r="AK23" s="13">
        <f>IFERROR(__xludf.DUMMYFUNCTION("""COMPUTED_VALUE"""),0.22)</f>
        <v>0.22</v>
      </c>
      <c r="AL23" s="9">
        <f>IFERROR(__xludf.DUMMYFUNCTION("""COMPUTED_VALUE"""),2875.6)</f>
        <v>2875.6</v>
      </c>
      <c r="AM23" s="9">
        <f t="shared" si="7"/>
        <v>117615.2607</v>
      </c>
      <c r="AN23" s="9" t="str">
        <f>IFERROR(__xludf.DUMMYFUNCTION("""COMPUTED_VALUE"""),"[SKL] CRM - Email")</f>
        <v>[SKL] CRM - Email</v>
      </c>
      <c r="AO23" s="12">
        <f>IFERROR(__xludf.DUMMYFUNCTION("""COMPUTED_VALUE"""),166.0)</f>
        <v>166</v>
      </c>
      <c r="AP23" s="13">
        <f>IFERROR(__xludf.DUMMYFUNCTION("""COMPUTED_VALUE"""),0.13855421686746988)</f>
        <v>0.1385542169</v>
      </c>
      <c r="AQ23" s="14">
        <f>IFERROR(__xludf.DUMMYFUNCTION("""COMPUTED_VALUE"""),7558.869565217391)</f>
        <v>7558.869565</v>
      </c>
      <c r="AR23" s="9">
        <f t="shared" si="8"/>
        <v>173854</v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U24" s="4" t="str">
        <f t="shared" si="12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I24" s="9" t="str">
        <f>IFERROR(__xludf.DUMMYFUNCTION("""COMPUTED_VALUE"""),"Form G4 - K Outros")</f>
        <v>Form G4 - K Outros</v>
      </c>
      <c r="AJ24" s="12">
        <f>IFERROR(__xludf.DUMMYFUNCTION("""COMPUTED_VALUE"""),262.2699556433602)</f>
        <v>262.2699556</v>
      </c>
      <c r="AK24" s="13">
        <f>IFERROR(__xludf.DUMMYFUNCTION("""COMPUTED_VALUE"""),0.22)</f>
        <v>0.22</v>
      </c>
      <c r="AL24" s="9">
        <f>IFERROR(__xludf.DUMMYFUNCTION("""COMPUTED_VALUE"""),2014.9999999999998)</f>
        <v>2015</v>
      </c>
      <c r="AM24" s="9">
        <f t="shared" si="7"/>
        <v>116264.2713</v>
      </c>
      <c r="AN24" s="9" t="str">
        <f>IFERROR(__xludf.DUMMYFUNCTION("""COMPUTED_VALUE"""),"Form G4 - K Outros")</f>
        <v>Form G4 - K Outros</v>
      </c>
      <c r="AO24" s="12">
        <f>IFERROR(__xludf.DUMMYFUNCTION("""COMPUTED_VALUE"""),237.0)</f>
        <v>237</v>
      </c>
      <c r="AP24" s="13">
        <f>IFERROR(__xludf.DUMMYFUNCTION("""COMPUTED_VALUE"""),0.24050632911392406)</f>
        <v>0.2405063291</v>
      </c>
      <c r="AQ24" s="14">
        <f>IFERROR(__xludf.DUMMYFUNCTION("""COMPUTED_VALUE"""),1444.4412284984924)</f>
        <v>1444.441228</v>
      </c>
      <c r="AR24" s="9">
        <f t="shared" si="8"/>
        <v>82333.15002</v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U25" s="4" t="str">
        <f t="shared" si="12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I25" s="9" t="str">
        <f>IFERROR(__xludf.DUMMYFUNCTION("""COMPUTED_VALUE"""),"[SKL] Social")</f>
        <v>[SKL] Social</v>
      </c>
      <c r="AJ25" s="12">
        <f>IFERROR(__xludf.DUMMYFUNCTION("""COMPUTED_VALUE"""),190.8145161290321)</f>
        <v>190.8145161</v>
      </c>
      <c r="AK25" s="13">
        <f>IFERROR(__xludf.DUMMYFUNCTION("""COMPUTED_VALUE"""),0.18)</f>
        <v>0.18</v>
      </c>
      <c r="AL25" s="9">
        <f>IFERROR(__xludf.DUMMYFUNCTION("""COMPUTED_VALUE"""),3360.0)</f>
        <v>3360</v>
      </c>
      <c r="AM25" s="9">
        <f t="shared" si="7"/>
        <v>115404.6194</v>
      </c>
      <c r="AN25" s="9" t="str">
        <f>IFERROR(__xludf.DUMMYFUNCTION("""COMPUTED_VALUE"""),"[SKL] Social")</f>
        <v>[SKL] Social</v>
      </c>
      <c r="AO25" s="12">
        <f>IFERROR(__xludf.DUMMYFUNCTION("""COMPUTED_VALUE"""),210.0)</f>
        <v>210</v>
      </c>
      <c r="AP25" s="13">
        <f>IFERROR(__xludf.DUMMYFUNCTION("""COMPUTED_VALUE"""),0.18095238095238095)</f>
        <v>0.180952381</v>
      </c>
      <c r="AQ25" s="14">
        <f>IFERROR(__xludf.DUMMYFUNCTION("""COMPUTED_VALUE"""),1133.8157894736842)</f>
        <v>1133.815789</v>
      </c>
      <c r="AR25" s="9">
        <f t="shared" si="8"/>
        <v>43085</v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U26" s="4" t="str">
        <f t="shared" si="12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I26" s="9" t="str">
        <f>IFERROR(__xludf.DUMMYFUNCTION("""COMPUTED_VALUE"""),"Form G4 Facebook")</f>
        <v>Form G4 Facebook</v>
      </c>
      <c r="AJ26" s="12">
        <f>IFERROR(__xludf.DUMMYFUNCTION("""COMPUTED_VALUE"""),130.43831674259974)</f>
        <v>130.4383167</v>
      </c>
      <c r="AK26" s="13">
        <f>IFERROR(__xludf.DUMMYFUNCTION("""COMPUTED_VALUE"""),0.27)</f>
        <v>0.27</v>
      </c>
      <c r="AL26" s="9">
        <f>IFERROR(__xludf.DUMMYFUNCTION("""COMPUTED_VALUE"""),3220.0)</f>
        <v>3220</v>
      </c>
      <c r="AM26" s="9">
        <f t="shared" si="7"/>
        <v>113403.0726</v>
      </c>
      <c r="AN26" s="9" t="str">
        <f>IFERROR(__xludf.DUMMYFUNCTION("""COMPUTED_VALUE"""),"Form G4 Facebook")</f>
        <v>Form G4 Facebook</v>
      </c>
      <c r="AO26" s="12">
        <f>IFERROR(__xludf.DUMMYFUNCTION("""COMPUTED_VALUE"""),168.0)</f>
        <v>168</v>
      </c>
      <c r="AP26" s="13">
        <f>IFERROR(__xludf.DUMMYFUNCTION("""COMPUTED_VALUE"""),0.26785714285714285)</f>
        <v>0.2678571429</v>
      </c>
      <c r="AQ26" s="14">
        <f>IFERROR(__xludf.DUMMYFUNCTION("""COMPUTED_VALUE"""),2325.6444444444446)</f>
        <v>2325.644444</v>
      </c>
      <c r="AR26" s="9">
        <f t="shared" si="8"/>
        <v>104654</v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U27" s="4" t="str">
        <f t="shared" si="12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I27" s="9" t="str">
        <f>IFERROR(__xludf.DUMMYFUNCTION("""COMPUTED_VALUE"""),"[SKL] Midia Paga - Quente")</f>
        <v>[SKL] Midia Paga - Quente</v>
      </c>
      <c r="AJ27" s="12">
        <f>IFERROR(__xludf.DUMMYFUNCTION("""COMPUTED_VALUE"""),360.4499999999998)</f>
        <v>360.45</v>
      </c>
      <c r="AK27" s="13">
        <f>IFERROR(__xludf.DUMMYFUNCTION("""COMPUTED_VALUE"""),0.1746)</f>
        <v>0.1746</v>
      </c>
      <c r="AL27" s="9">
        <f>IFERROR(__xludf.DUMMYFUNCTION("""COMPUTED_VALUE"""),1695.6664)</f>
        <v>1695.6664</v>
      </c>
      <c r="AM27" s="9">
        <f t="shared" si="7"/>
        <v>106716.0357</v>
      </c>
      <c r="AN27" s="9" t="str">
        <f>IFERROR(__xludf.DUMMYFUNCTION("""COMPUTED_VALUE"""),"[SKL] Midia Paga - Quente")</f>
        <v>[SKL] Midia Paga - Quente</v>
      </c>
      <c r="AO27" s="12">
        <f>IFERROR(__xludf.DUMMYFUNCTION("""COMPUTED_VALUE"""),684.0)</f>
        <v>684</v>
      </c>
      <c r="AP27" s="13">
        <f>IFERROR(__xludf.DUMMYFUNCTION("""COMPUTED_VALUE"""),0.12573099415204678)</f>
        <v>0.1257309942</v>
      </c>
      <c r="AQ27" s="14">
        <f>IFERROR(__xludf.DUMMYFUNCTION("""COMPUTED_VALUE"""),1526.8953488372092)</f>
        <v>1526.895349</v>
      </c>
      <c r="AR27" s="9">
        <f t="shared" si="8"/>
        <v>131313</v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U28" s="4" t="str">
        <f t="shared" si="12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I28" s="9" t="str">
        <f>IFERROR(__xludf.DUMMYFUNCTION("""COMPUTED_VALUE"""),"[CM] Form G4 - Outros")</f>
        <v>[CM] Form G4 - Outros</v>
      </c>
      <c r="AJ28" s="12">
        <f>IFERROR(__xludf.DUMMYFUNCTION("""COMPUTED_VALUE"""),36.038709677419334)</f>
        <v>36.03870968</v>
      </c>
      <c r="AK28" s="13">
        <f>IFERROR(__xludf.DUMMYFUNCTION("""COMPUTED_VALUE"""),0.28)</f>
        <v>0.28</v>
      </c>
      <c r="AL28" s="9">
        <f>IFERROR(__xludf.DUMMYFUNCTION("""COMPUTED_VALUE"""),8400.0)</f>
        <v>8400</v>
      </c>
      <c r="AM28" s="9">
        <f t="shared" si="7"/>
        <v>84763.04516</v>
      </c>
      <c r="AN28" s="9" t="str">
        <f>IFERROR(__xludf.DUMMYFUNCTION("""COMPUTED_VALUE"""),"[CM] Form G4 - Outros")</f>
        <v>[CM] Form G4 - Outros</v>
      </c>
      <c r="AO28" s="12">
        <f>IFERROR(__xludf.DUMMYFUNCTION("""COMPUTED_VALUE"""),42.0)</f>
        <v>42</v>
      </c>
      <c r="AP28" s="13">
        <f>IFERROR(__xludf.DUMMYFUNCTION("""COMPUTED_VALUE"""),0.3333333333333333)</f>
        <v>0.3333333333</v>
      </c>
      <c r="AQ28" s="14">
        <f>IFERROR(__xludf.DUMMYFUNCTION("""COMPUTED_VALUE"""),9914.285714285714)</f>
        <v>9914.285714</v>
      </c>
      <c r="AR28" s="9">
        <f t="shared" si="8"/>
        <v>138800</v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U29" s="4" t="str">
        <f t="shared" si="12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I29" s="9" t="str">
        <f>IFERROR(__xludf.DUMMYFUNCTION("""COMPUTED_VALUE"""),"Aplicativo G4 - Indicação")</f>
        <v>Aplicativo G4 - Indicação</v>
      </c>
      <c r="AJ29" s="12">
        <f>IFERROR(__xludf.DUMMYFUNCTION("""COMPUTED_VALUE"""),104.99508930362957)</f>
        <v>104.9950893</v>
      </c>
      <c r="AK29" s="13">
        <f>IFERROR(__xludf.DUMMYFUNCTION("""COMPUTED_VALUE"""),0.21)</f>
        <v>0.21</v>
      </c>
      <c r="AL29" s="9">
        <f>IFERROR(__xludf.DUMMYFUNCTION("""COMPUTED_VALUE"""),3770.0)</f>
        <v>3770</v>
      </c>
      <c r="AM29" s="9">
        <f t="shared" si="7"/>
        <v>83124.6122</v>
      </c>
      <c r="AN29" s="9" t="str">
        <f>IFERROR(__xludf.DUMMYFUNCTION("""COMPUTED_VALUE"""),"Aplicativo G4 - Indicação")</f>
        <v>Aplicativo G4 - Indicação</v>
      </c>
      <c r="AO29" s="12">
        <f>IFERROR(__xludf.DUMMYFUNCTION("""COMPUTED_VALUE"""),313.0)</f>
        <v>313</v>
      </c>
      <c r="AP29" s="13">
        <f>IFERROR(__xludf.DUMMYFUNCTION("""COMPUTED_VALUE"""),0.08306709265175719)</f>
        <v>0.08306709265</v>
      </c>
      <c r="AQ29" s="14">
        <f>IFERROR(__xludf.DUMMYFUNCTION("""COMPUTED_VALUE"""),431.65384615384613)</f>
        <v>431.6538462</v>
      </c>
      <c r="AR29" s="9">
        <f t="shared" si="8"/>
        <v>11223</v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U30" s="4" t="str">
        <f t="shared" si="12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I30" s="9" t="str">
        <f>IFERROR(__xludf.DUMMYFUNCTION("""COMPUTED_VALUE"""),"[SKL] Midia Paga - Frio")</f>
        <v>[SKL] Midia Paga - Frio</v>
      </c>
      <c r="AJ30" s="12">
        <f>IFERROR(__xludf.DUMMYFUNCTION("""COMPUTED_VALUE"""),387.2177419354836)</f>
        <v>387.2177419</v>
      </c>
      <c r="AK30" s="13">
        <f>IFERROR(__xludf.DUMMYFUNCTION("""COMPUTED_VALUE"""),0.1896)</f>
        <v>0.1896</v>
      </c>
      <c r="AL30" s="9">
        <f>IFERROR(__xludf.DUMMYFUNCTION("""COMPUTED_VALUE"""),1009.1916)</f>
        <v>1009.1916</v>
      </c>
      <c r="AM30" s="9">
        <f t="shared" si="7"/>
        <v>74091.29882</v>
      </c>
      <c r="AN30" s="9" t="str">
        <f>IFERROR(__xludf.DUMMYFUNCTION("""COMPUTED_VALUE"""),"[SKL] Midia Paga - Frio")</f>
        <v>[SKL] Midia Paga - Frio</v>
      </c>
      <c r="AO30" s="12">
        <f>IFERROR(__xludf.DUMMYFUNCTION("""COMPUTED_VALUE"""),406.0)</f>
        <v>406</v>
      </c>
      <c r="AP30" s="13">
        <f>IFERROR(__xludf.DUMMYFUNCTION("""COMPUTED_VALUE"""),0.14532019704433496)</f>
        <v>0.145320197</v>
      </c>
      <c r="AQ30" s="14">
        <f>IFERROR(__xludf.DUMMYFUNCTION("""COMPUTED_VALUE"""),776.8042405985169)</f>
        <v>776.8042406</v>
      </c>
      <c r="AR30" s="9">
        <f t="shared" si="8"/>
        <v>45831.4502</v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U31" s="4" t="str">
        <f t="shared" si="12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I31" s="9" t="str">
        <f>IFERROR(__xludf.DUMMYFUNCTION("""COMPUTED_VALUE"""),"[IM] Form G4 Facebook Ads - K")</f>
        <v>[IM] Form G4 Facebook Ads - K</v>
      </c>
      <c r="AJ31" s="12">
        <f>IFERROR(__xludf.DUMMYFUNCTION("""COMPUTED_VALUE"""),195.05917915469)</f>
        <v>195.0591792</v>
      </c>
      <c r="AK31" s="13">
        <f>IFERROR(__xludf.DUMMYFUNCTION("""COMPUTED_VALUE"""),0.2695725144420797)</f>
        <v>0.2695725144</v>
      </c>
      <c r="AL31" s="9">
        <f>IFERROR(__xludf.DUMMYFUNCTION("""COMPUTED_VALUE"""),1399.3195562064243)</f>
        <v>1399.319556</v>
      </c>
      <c r="AM31" s="9">
        <f t="shared" si="7"/>
        <v>73579.85125</v>
      </c>
      <c r="AN31" s="9" t="str">
        <f>IFERROR(__xludf.DUMMYFUNCTION("""COMPUTED_VALUE"""),"[IM] Form G4 Facebook Ads - K")</f>
        <v>[IM] Form G4 Facebook Ads - K</v>
      </c>
      <c r="AO31" s="12">
        <f>IFERROR(__xludf.DUMMYFUNCTION("""COMPUTED_VALUE"""),158.0)</f>
        <v>158</v>
      </c>
      <c r="AP31" s="13">
        <f>IFERROR(__xludf.DUMMYFUNCTION("""COMPUTED_VALUE"""),0.27848101265822783)</f>
        <v>0.2784810127</v>
      </c>
      <c r="AQ31" s="14">
        <f>IFERROR(__xludf.DUMMYFUNCTION("""COMPUTED_VALUE"""),1916.9545454545455)</f>
        <v>1916.954545</v>
      </c>
      <c r="AR31" s="9">
        <f t="shared" si="8"/>
        <v>84346</v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U32" s="4" t="str">
        <f t="shared" si="12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I32" s="9" t="str">
        <f>IFERROR(__xludf.DUMMYFUNCTION("""COMPUTED_VALUE"""),"[ON] Form G4 Incompleto")</f>
        <v>[ON] Form G4 Incompleto</v>
      </c>
      <c r="AJ32" s="12">
        <f>IFERROR(__xludf.DUMMYFUNCTION("""COMPUTED_VALUE"""),154.85612903225797)</f>
        <v>154.856129</v>
      </c>
      <c r="AK32" s="13">
        <f>IFERROR(__xludf.DUMMYFUNCTION("""COMPUTED_VALUE"""),0.22)</f>
        <v>0.22</v>
      </c>
      <c r="AL32" s="9">
        <f>IFERROR(__xludf.DUMMYFUNCTION("""COMPUTED_VALUE"""),1190.0)</f>
        <v>1190</v>
      </c>
      <c r="AM32" s="9">
        <f t="shared" si="7"/>
        <v>40541.33458</v>
      </c>
      <c r="AN32" s="9" t="str">
        <f>IFERROR(__xludf.DUMMYFUNCTION("""COMPUTED_VALUE"""),"[ON] Form G4 Incompleto")</f>
        <v>[ON] Form G4 Incompleto</v>
      </c>
      <c r="AO32" s="12">
        <f>IFERROR(__xludf.DUMMYFUNCTION("""COMPUTED_VALUE"""),255.0)</f>
        <v>255</v>
      </c>
      <c r="AP32" s="13">
        <f>IFERROR(__xludf.DUMMYFUNCTION("""COMPUTED_VALUE"""),0.19215686274509805)</f>
        <v>0.1921568627</v>
      </c>
      <c r="AQ32" s="14">
        <f>IFERROR(__xludf.DUMMYFUNCTION("""COMPUTED_VALUE"""),1372.8428581393496)</f>
        <v>1372.842858</v>
      </c>
      <c r="AR32" s="9">
        <f t="shared" si="8"/>
        <v>67269.30005</v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U33" s="4" t="str">
        <f t="shared" si="12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I33" s="9" t="str">
        <f>IFERROR(__xludf.DUMMYFUNCTION("""COMPUTED_VALUE"""),"[ON] Form Meta")</f>
        <v>[ON] Form Meta</v>
      </c>
      <c r="AJ33" s="12">
        <f>IFERROR(__xludf.DUMMYFUNCTION("""COMPUTED_VALUE"""),110.0843177568756)</f>
        <v>110.0843178</v>
      </c>
      <c r="AK33" s="13">
        <f>IFERROR(__xludf.DUMMYFUNCTION("""COMPUTED_VALUE"""),0.24)</f>
        <v>0.24</v>
      </c>
      <c r="AL33" s="9">
        <f>IFERROR(__xludf.DUMMYFUNCTION("""COMPUTED_VALUE"""),1105.0)</f>
        <v>1105</v>
      </c>
      <c r="AM33" s="9">
        <f t="shared" si="7"/>
        <v>29194.36107</v>
      </c>
      <c r="AN33" s="9" t="str">
        <f>IFERROR(__xludf.DUMMYFUNCTION("""COMPUTED_VALUE"""),"[ON] Form Meta")</f>
        <v>[ON] Form Meta</v>
      </c>
      <c r="AO33" s="12">
        <f>IFERROR(__xludf.DUMMYFUNCTION("""COMPUTED_VALUE"""),201.0)</f>
        <v>201</v>
      </c>
      <c r="AP33" s="13">
        <f>IFERROR(__xludf.DUMMYFUNCTION("""COMPUTED_VALUE"""),0.29850746268656714)</f>
        <v>0.2985074627</v>
      </c>
      <c r="AQ33" s="14">
        <f>IFERROR(__xludf.DUMMYFUNCTION("""COMPUTED_VALUE"""),2510.133333333333)</f>
        <v>2510.133333</v>
      </c>
      <c r="AR33" s="9">
        <f t="shared" si="8"/>
        <v>150608</v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U34" s="4" t="str">
        <f t="shared" si="12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I34" s="9" t="str">
        <f>IFERROR(__xludf.DUMMYFUNCTION("""COMPUTED_VALUE"""),"[SKL] Chat")</f>
        <v>[SKL] Chat</v>
      </c>
      <c r="AJ34" s="12">
        <f>IFERROR(__xludf.DUMMYFUNCTION("""COMPUTED_VALUE"""),15.420873481357342)</f>
        <v>15.42087348</v>
      </c>
      <c r="AK34" s="13">
        <f>IFERROR(__xludf.DUMMYFUNCTION("""COMPUTED_VALUE"""),0.35)</f>
        <v>0.35</v>
      </c>
      <c r="AL34" s="9">
        <f>IFERROR(__xludf.DUMMYFUNCTION("""COMPUTED_VALUE"""),4200.0)</f>
        <v>4200</v>
      </c>
      <c r="AM34" s="9">
        <f t="shared" si="7"/>
        <v>22668.68402</v>
      </c>
      <c r="AN34" s="9" t="str">
        <f>IFERROR(__xludf.DUMMYFUNCTION("""COMPUTED_VALUE"""),"[SKL] Chat")</f>
        <v>[SKL] Chat</v>
      </c>
      <c r="AO34" s="12">
        <f>IFERROR(__xludf.DUMMYFUNCTION("""COMPUTED_VALUE"""),18.0)</f>
        <v>18</v>
      </c>
      <c r="AP34" s="13">
        <f>IFERROR(__xludf.DUMMYFUNCTION("""COMPUTED_VALUE"""),0.6666666666666666)</f>
        <v>0.6666666667</v>
      </c>
      <c r="AQ34" s="14">
        <f>IFERROR(__xludf.DUMMYFUNCTION("""COMPUTED_VALUE"""),6451.454182942708)</f>
        <v>6451.454183</v>
      </c>
      <c r="AR34" s="9">
        <f t="shared" si="8"/>
        <v>77417.4502</v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U35" s="4" t="str">
        <f t="shared" si="12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I35" s="9" t="str">
        <f>IFERROR(__xludf.DUMMYFUNCTION("""COMPUTED_VALUE"""),"Indicação - Outros")</f>
        <v>Indicação - Outros</v>
      </c>
      <c r="AJ35" s="12">
        <f>IFERROR(__xludf.DUMMYFUNCTION("""COMPUTED_VALUE"""),435.89681286059084)</f>
        <v>435.8968129</v>
      </c>
      <c r="AK35" s="13">
        <f>IFERROR(__xludf.DUMMYFUNCTION("""COMPUTED_VALUE"""),0.0)</f>
        <v>0</v>
      </c>
      <c r="AL35" s="9">
        <f>IFERROR(__xludf.DUMMYFUNCTION("""COMPUTED_VALUE"""),0.0)</f>
        <v>0</v>
      </c>
      <c r="AM35" s="9">
        <f t="shared" si="7"/>
        <v>0</v>
      </c>
      <c r="AN35" s="9" t="str">
        <f>IFERROR(__xludf.DUMMYFUNCTION("""COMPUTED_VALUE"""),"Indicação - Outros")</f>
        <v>Indicação - Outros</v>
      </c>
      <c r="AO35" s="12">
        <f>IFERROR(__xludf.DUMMYFUNCTION("""COMPUTED_VALUE"""),2.0)</f>
        <v>2</v>
      </c>
      <c r="AP35" s="13">
        <f>IFERROR(__xludf.DUMMYFUNCTION("""COMPUTED_VALUE"""),0.5)</f>
        <v>0.5</v>
      </c>
      <c r="AQ35" s="14">
        <f>IFERROR(__xludf.DUMMYFUNCTION("""COMPUTED_VALUE"""),0.0)</f>
        <v>0</v>
      </c>
      <c r="AR35" s="9">
        <f t="shared" si="8"/>
        <v>0</v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U36" s="4" t="str">
        <f t="shared" si="12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U37" s="4" t="str">
        <f t="shared" si="12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U38" s="4" t="str">
        <f t="shared" si="12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U39" s="4" t="str">
        <f t="shared" si="12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U40" s="4" t="str">
        <f t="shared" si="12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U41" s="4" t="str">
        <f t="shared" si="12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U42" s="4" t="str">
        <f t="shared" si="12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U43" s="4" t="str">
        <f t="shared" si="12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U44" s="4" t="str">
        <f t="shared" si="12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U45" s="4" t="str">
        <f t="shared" si="12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U46" s="4" t="str">
        <f t="shared" si="12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U47" s="4" t="str">
        <f t="shared" si="12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U48" s="4" t="str">
        <f t="shared" si="12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U49" s="4" t="str">
        <f t="shared" si="12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U50" s="4" t="str">
        <f t="shared" si="12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U51" s="4" t="str">
        <f t="shared" si="12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U52" s="4" t="str">
        <f t="shared" si="12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U53" s="4" t="str">
        <f t="shared" si="12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U54" s="4" t="str">
        <f t="shared" si="12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U55" s="4" t="str">
        <f t="shared" si="12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U56" s="4" t="str">
        <f t="shared" si="12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U57" s="4" t="str">
        <f t="shared" si="12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U58" s="4" t="str">
        <f t="shared" si="12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U59" s="4" t="str">
        <f t="shared" si="12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U60" s="4" t="str">
        <f t="shared" si="12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U61" s="4" t="str">
        <f t="shared" si="12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U62" s="4" t="str">
        <f t="shared" si="12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U63" s="4" t="str">
        <f t="shared" si="12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U64" s="4" t="str">
        <f t="shared" si="12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U65" s="4" t="str">
        <f t="shared" si="12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U66" s="4" t="str">
        <f t="shared" si="12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U67" s="4" t="str">
        <f t="shared" si="12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U68" s="4" t="str">
        <f t="shared" si="12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U69" s="4" t="str">
        <f t="shared" si="12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U70" s="4" t="str">
        <f t="shared" si="12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U71" s="4" t="str">
        <f t="shared" si="12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U72" s="4" t="str">
        <f t="shared" si="12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U73" s="4" t="str">
        <f t="shared" si="12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U74" s="4" t="str">
        <f t="shared" si="12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U75" s="4" t="str">
        <f t="shared" si="12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U76" s="4" t="str">
        <f t="shared" si="12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U77" s="4" t="str">
        <f t="shared" si="12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U78" s="4" t="str">
        <f t="shared" si="12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U79" s="4" t="str">
        <f t="shared" si="12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U80" s="4" t="str">
        <f t="shared" si="12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U81" s="4" t="str">
        <f t="shared" si="12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U82" s="4" t="str">
        <f t="shared" si="12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U83" s="4" t="str">
        <f t="shared" si="12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U84" s="4" t="str">
        <f t="shared" si="12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U85" s="4" t="str">
        <f t="shared" si="12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U86" s="4" t="str">
        <f t="shared" si="12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U87" s="4" t="str">
        <f t="shared" si="12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U88" s="4" t="str">
        <f t="shared" si="12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U89" s="4" t="str">
        <f t="shared" si="12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U90" s="4" t="str">
        <f t="shared" si="12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U91" s="4" t="str">
        <f t="shared" si="12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U92" s="4" t="str">
        <f t="shared" si="12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U93" s="4" t="str">
        <f t="shared" si="12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U94" s="4" t="str">
        <f t="shared" si="12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U95" s="4" t="str">
        <f t="shared" si="12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U96" s="4" t="str">
        <f t="shared" si="12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U97" s="4" t="str">
        <f t="shared" si="12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U98" s="4" t="str">
        <f t="shared" si="12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U99" s="4" t="str">
        <f t="shared" si="12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U100" s="4" t="str">
        <f t="shared" si="12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U101" s="4" t="str">
        <f t="shared" si="12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U102" s="4" t="str">
        <f t="shared" si="12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U103" s="4" t="str">
        <f t="shared" si="12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U104" s="4" t="str">
        <f t="shared" si="12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U105" s="4" t="str">
        <f t="shared" si="12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U106" s="4" t="str">
        <f t="shared" si="12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U107" s="4" t="str">
        <f t="shared" si="12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U108" s="4" t="str">
        <f t="shared" si="12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U109" s="4" t="str">
        <f t="shared" si="12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U110" s="4" t="str">
        <f t="shared" si="12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U111" s="4" t="str">
        <f t="shared" si="12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U112" s="4" t="str">
        <f t="shared" si="12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U113" s="4" t="str">
        <f t="shared" si="12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U114" s="4" t="str">
        <f t="shared" si="12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U115" s="4" t="str">
        <f t="shared" si="12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U116" s="4" t="str">
        <f t="shared" si="12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U117" s="4" t="str">
        <f t="shared" si="12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U118" s="4" t="str">
        <f t="shared" si="12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U119" s="4" t="str">
        <f t="shared" si="12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U120" s="4" t="str">
        <f t="shared" si="12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U121" s="4" t="str">
        <f t="shared" si="12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U122" s="4" t="str">
        <f t="shared" si="12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U123" s="4" t="str">
        <f t="shared" si="12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U124" s="4" t="str">
        <f t="shared" si="12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U125" s="4" t="str">
        <f t="shared" si="12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U126" s="4" t="str">
        <f t="shared" si="12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U127" s="4" t="str">
        <f t="shared" si="12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U128" s="4" t="str">
        <f t="shared" si="12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U129" s="4" t="str">
        <f t="shared" si="12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U130" s="4" t="str">
        <f t="shared" si="12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U131" s="4" t="str">
        <f t="shared" si="12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U132" s="4" t="str">
        <f t="shared" si="12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U133" s="4" t="str">
        <f t="shared" si="12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U134" s="4" t="str">
        <f t="shared" si="12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U135" s="4" t="str">
        <f t="shared" si="12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U136" s="4" t="str">
        <f t="shared" si="12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U137" s="4" t="str">
        <f t="shared" si="12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U138" s="4" t="str">
        <f t="shared" si="12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U139" s="4" t="str">
        <f t="shared" si="12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U140" s="4" t="str">
        <f t="shared" si="12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U141" s="4" t="str">
        <f t="shared" si="12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U142" s="4" t="str">
        <f t="shared" si="12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U143" s="4" t="str">
        <f t="shared" si="12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U144" s="4" t="str">
        <f t="shared" si="12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U145" s="4" t="str">
        <f t="shared" si="12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U146" s="4" t="str">
        <f t="shared" si="12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U147" s="4" t="str">
        <f t="shared" si="12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U148" s="4" t="str">
        <f t="shared" si="12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U149" s="4" t="str">
        <f t="shared" si="12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U150" s="4" t="str">
        <f t="shared" si="12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U151" s="4" t="str">
        <f t="shared" si="12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U152" s="4" t="str">
        <f t="shared" si="12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U153" s="4" t="str">
        <f t="shared" si="12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U154" s="4" t="str">
        <f t="shared" si="12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U155" s="4" t="str">
        <f t="shared" si="12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U156" s="4" t="str">
        <f t="shared" si="12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U157" s="4" t="str">
        <f t="shared" si="12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U158" s="4" t="str">
        <f t="shared" si="12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U159" s="4" t="str">
        <f t="shared" si="12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U160" s="4" t="str">
        <f t="shared" si="12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U161" s="4" t="str">
        <f t="shared" si="12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U162" s="4" t="str">
        <f t="shared" si="12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U163" s="4" t="str">
        <f t="shared" si="12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U164" s="4" t="str">
        <f t="shared" si="12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U165" s="4" t="str">
        <f t="shared" si="12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U166" s="4" t="str">
        <f t="shared" si="12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U167" s="4" t="str">
        <f t="shared" si="12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U168" s="4" t="str">
        <f t="shared" si="12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U169" s="4" t="str">
        <f t="shared" si="12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U170" s="4" t="str">
        <f t="shared" si="12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U171" s="4" t="str">
        <f t="shared" si="12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U172" s="4" t="str">
        <f t="shared" si="12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U173" s="4" t="str">
        <f t="shared" si="12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U174" s="4" t="str">
        <f t="shared" si="12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U175" s="4" t="str">
        <f t="shared" si="12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U176" s="4" t="str">
        <f t="shared" si="12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U177" s="4" t="str">
        <f t="shared" si="12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U178" s="4" t="str">
        <f t="shared" si="12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U179" s="4" t="str">
        <f t="shared" si="12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U180" s="4" t="str">
        <f t="shared" si="12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U181" s="4" t="str">
        <f t="shared" si="12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U182" s="4" t="str">
        <f t="shared" si="12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U183" s="4" t="str">
        <f t="shared" si="12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U184" s="4" t="str">
        <f t="shared" si="12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U185" s="4" t="str">
        <f t="shared" si="12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U186" s="4" t="str">
        <f t="shared" si="12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U187" s="4" t="str">
        <f t="shared" si="12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U188" s="4" t="str">
        <f t="shared" si="12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U189" s="4" t="str">
        <f t="shared" si="12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U190" s="4" t="str">
        <f t="shared" si="12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U191" s="4" t="str">
        <f t="shared" si="12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U192" s="4" t="str">
        <f t="shared" si="12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U193" s="4" t="str">
        <f t="shared" si="12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U194" s="4" t="str">
        <f t="shared" si="12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U195" s="4" t="str">
        <f t="shared" si="12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U196" s="4" t="str">
        <f t="shared" si="12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U197" s="4" t="str">
        <f t="shared" si="12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U198" s="4" t="str">
        <f t="shared" si="12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U199" s="4" t="str">
        <f t="shared" si="12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U200" s="4" t="str">
        <f t="shared" si="12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U201" s="4" t="str">
        <f t="shared" si="12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U202" s="4" t="str">
        <f t="shared" si="12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U203" s="4" t="str">
        <f t="shared" si="12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U204" s="4" t="str">
        <f t="shared" si="12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U205" s="4" t="str">
        <f t="shared" si="12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U206" s="4" t="str">
        <f t="shared" si="12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U207" s="4" t="str">
        <f t="shared" si="12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U208" s="4" t="str">
        <f t="shared" si="12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U209" s="4" t="str">
        <f t="shared" si="12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U210" s="4" t="str">
        <f t="shared" si="12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U211" s="4" t="str">
        <f t="shared" si="12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U212" s="4" t="str">
        <f t="shared" si="12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U213" s="4" t="str">
        <f t="shared" si="12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U214" s="4" t="str">
        <f t="shared" si="12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U215" s="4" t="str">
        <f t="shared" si="12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U216" s="4" t="str">
        <f t="shared" si="12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U217" s="4" t="str">
        <f t="shared" si="12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U218" s="4" t="str">
        <f t="shared" si="12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U219" s="4" t="str">
        <f t="shared" si="12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U220" s="4" t="str">
        <f t="shared" si="12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U221" s="4" t="str">
        <f t="shared" si="12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U222" s="4" t="str">
        <f t="shared" si="12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U223" s="4" t="str">
        <f t="shared" si="12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U224" s="4" t="str">
        <f t="shared" si="12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U225" s="4" t="str">
        <f t="shared" si="12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U226" s="4" t="str">
        <f t="shared" si="12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U227" s="4" t="str">
        <f t="shared" si="12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U228" s="4" t="str">
        <f t="shared" si="12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U229" s="4" t="str">
        <f t="shared" si="12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U230" s="4" t="str">
        <f t="shared" si="12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U231" s="4" t="str">
        <f t="shared" si="12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U232" s="4" t="str">
        <f t="shared" si="12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U233" s="4" t="str">
        <f t="shared" si="12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U234" s="4" t="str">
        <f t="shared" si="12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U235" s="4" t="str">
        <f t="shared" si="12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U236" s="4" t="str">
        <f t="shared" si="12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U237" s="4" t="str">
        <f t="shared" si="12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U238" s="4" t="str">
        <f t="shared" si="12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U239" s="4" t="str">
        <f t="shared" si="12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U240" s="4" t="str">
        <f t="shared" si="12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U241" s="4" t="str">
        <f t="shared" si="12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U242" s="4" t="str">
        <f t="shared" si="12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U243" s="4" t="str">
        <f t="shared" si="12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U244" s="4" t="str">
        <f t="shared" si="12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U245" s="4" t="str">
        <f t="shared" si="12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U246" s="4" t="str">
        <f t="shared" si="12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U247" s="4" t="str">
        <f t="shared" si="12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U248" s="4" t="str">
        <f t="shared" si="12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U249" s="4" t="str">
        <f t="shared" si="12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U250" s="4" t="str">
        <f t="shared" si="12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U251" s="4" t="str">
        <f t="shared" si="12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U252" s="4" t="str">
        <f t="shared" si="12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U253" s="4" t="str">
        <f t="shared" si="12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U254" s="4" t="str">
        <f t="shared" si="12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U255" s="4" t="str">
        <f t="shared" si="12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U256" s="4" t="str">
        <f t="shared" si="12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U257" s="4" t="str">
        <f t="shared" si="12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U258" s="4" t="str">
        <f t="shared" si="12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U259" s="4" t="str">
        <f t="shared" si="12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U260" s="4" t="str">
        <f t="shared" si="12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U261" s="4" t="str">
        <f t="shared" si="12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U262" s="4" t="str">
        <f t="shared" si="12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U263" s="4" t="str">
        <f t="shared" si="12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U264" s="4" t="str">
        <f t="shared" si="12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U265" s="4" t="str">
        <f t="shared" si="12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U266" s="4" t="str">
        <f t="shared" si="12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U267" s="4" t="str">
        <f t="shared" si="12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U268" s="4" t="str">
        <f t="shared" si="12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U269" s="4" t="str">
        <f t="shared" si="12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U270" s="4" t="str">
        <f t="shared" si="12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U271" s="4" t="str">
        <f t="shared" si="12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U272" s="4" t="str">
        <f t="shared" si="12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U273" s="4" t="str">
        <f t="shared" si="12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U274" s="4" t="str">
        <f t="shared" si="12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U275" s="4" t="str">
        <f t="shared" si="12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U276" s="4" t="str">
        <f t="shared" si="12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U277" s="4" t="str">
        <f t="shared" si="12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U278" s="4" t="str">
        <f t="shared" si="12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U279" s="4" t="str">
        <f t="shared" si="12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U280" s="4" t="str">
        <f t="shared" si="12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U281" s="4" t="str">
        <f t="shared" si="12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U282" s="4" t="str">
        <f t="shared" si="12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U283" s="4" t="str">
        <f t="shared" si="12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U284" s="4" t="str">
        <f t="shared" si="12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U285" s="4" t="str">
        <f t="shared" si="12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U286" s="4" t="str">
        <f t="shared" si="12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U287" s="4" t="str">
        <f t="shared" si="12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U288" s="4" t="str">
        <f t="shared" si="12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U289" s="4" t="str">
        <f t="shared" si="12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U290" s="4" t="str">
        <f t="shared" si="12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U291" s="4" t="str">
        <f t="shared" si="12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U292" s="4" t="str">
        <f t="shared" si="12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U293" s="4" t="str">
        <f t="shared" si="12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U294" s="4" t="str">
        <f t="shared" si="12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U295" s="4" t="str">
        <f t="shared" si="12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U296" s="4" t="str">
        <f t="shared" si="12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U297" s="4" t="str">
        <f t="shared" si="12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U298" s="4" t="str">
        <f t="shared" si="12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U299" s="4" t="str">
        <f t="shared" si="12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U300" s="4" t="str">
        <f t="shared" si="12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U301" s="4" t="str">
        <f t="shared" si="12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U302" s="4" t="str">
        <f t="shared" si="12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U303" s="4" t="str">
        <f t="shared" si="12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U304" s="4" t="str">
        <f t="shared" si="12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U305" s="4" t="str">
        <f t="shared" si="12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U306" s="4" t="str">
        <f t="shared" si="12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U307" s="4" t="str">
        <f t="shared" si="12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U308" s="4" t="str">
        <f t="shared" si="12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U309" s="4" t="str">
        <f t="shared" si="12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U310" s="4" t="str">
        <f t="shared" si="12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U311" s="4" t="str">
        <f t="shared" si="12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U312" s="4" t="str">
        <f t="shared" si="12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U313" s="4" t="str">
        <f t="shared" si="12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U314" s="4" t="str">
        <f t="shared" si="12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U315" s="4" t="str">
        <f t="shared" si="12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U316" s="4" t="str">
        <f t="shared" si="12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U317" s="4" t="str">
        <f t="shared" si="12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U318" s="4" t="str">
        <f t="shared" si="12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U319" s="4" t="str">
        <f t="shared" si="12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U320" s="4" t="str">
        <f t="shared" si="12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U321" s="4" t="str">
        <f t="shared" si="12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U322" s="4" t="str">
        <f t="shared" si="12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U323" s="4" t="str">
        <f t="shared" si="12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U324" s="4" t="str">
        <f t="shared" si="12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U325" s="4" t="str">
        <f t="shared" si="12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U326" s="4" t="str">
        <f t="shared" si="12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U327" s="4" t="str">
        <f t="shared" si="12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U328" s="4" t="str">
        <f t="shared" si="12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U329" s="4" t="str">
        <f t="shared" si="12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U330" s="4" t="str">
        <f t="shared" si="12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U331" s="4" t="str">
        <f t="shared" si="12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U332" s="4" t="str">
        <f t="shared" si="12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U333" s="4" t="str">
        <f t="shared" si="12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U334" s="4" t="str">
        <f t="shared" si="12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U335" s="4" t="str">
        <f t="shared" si="12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U336" s="4" t="str">
        <f t="shared" si="12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U337" s="4" t="str">
        <f t="shared" si="12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U338" s="4" t="str">
        <f t="shared" si="12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U339" s="4" t="str">
        <f t="shared" si="12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U340" s="4" t="str">
        <f t="shared" si="12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U341" s="4" t="str">
        <f t="shared" si="12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U342" s="4" t="str">
        <f t="shared" si="12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U343" s="4" t="str">
        <f t="shared" si="12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U344" s="4" t="str">
        <f t="shared" si="12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U345" s="4" t="str">
        <f t="shared" si="12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U346" s="4" t="str">
        <f t="shared" si="12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U347" s="4" t="str">
        <f t="shared" si="12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U348" s="4" t="str">
        <f t="shared" si="12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U349" s="4" t="str">
        <f t="shared" si="12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U350" s="4" t="str">
        <f t="shared" si="12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U351" s="4" t="str">
        <f t="shared" si="12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U352" s="4" t="str">
        <f t="shared" si="12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U353" s="4" t="str">
        <f t="shared" si="12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U354" s="4" t="str">
        <f t="shared" si="12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U355" s="4" t="str">
        <f t="shared" si="12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U356" s="4" t="str">
        <f t="shared" si="12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U357" s="4" t="str">
        <f t="shared" si="12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U358" s="4" t="str">
        <f t="shared" si="12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U359" s="4" t="str">
        <f t="shared" si="12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U360" s="4" t="str">
        <f t="shared" si="12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U361" s="4" t="str">
        <f t="shared" si="12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U362" s="4" t="str">
        <f t="shared" si="12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U363" s="4" t="str">
        <f t="shared" si="12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U364" s="4" t="str">
        <f t="shared" si="12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U365" s="4" t="str">
        <f t="shared" si="12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U366" s="4" t="str">
        <f t="shared" si="12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U367" s="4" t="str">
        <f t="shared" si="12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U368" s="4" t="str">
        <f t="shared" si="12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U369" s="4" t="str">
        <f t="shared" si="12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U370" s="4" t="str">
        <f t="shared" si="12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U371" s="4" t="str">
        <f t="shared" si="12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U372" s="4" t="str">
        <f t="shared" si="12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U373" s="4" t="str">
        <f t="shared" si="12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U374" s="4" t="str">
        <f t="shared" si="12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U375" s="4" t="str">
        <f t="shared" si="12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U376" s="4" t="str">
        <f t="shared" si="12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U377" s="4" t="str">
        <f t="shared" si="12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U378" s="4" t="str">
        <f t="shared" si="12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U379" s="4" t="str">
        <f t="shared" si="12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U380" s="4" t="str">
        <f t="shared" si="12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U381" s="4" t="str">
        <f t="shared" si="12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U382" s="4" t="str">
        <f t="shared" si="12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U383" s="4" t="str">
        <f t="shared" si="12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U384" s="4" t="str">
        <f t="shared" si="12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U385" s="4" t="str">
        <f t="shared" si="12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U386" s="4" t="str">
        <f t="shared" si="12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U387" s="4" t="str">
        <f t="shared" si="12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U388" s="4" t="str">
        <f t="shared" si="12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U389" s="4" t="str">
        <f t="shared" si="12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U390" s="4" t="str">
        <f t="shared" si="12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U391" s="4" t="str">
        <f t="shared" si="12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U392" s="4" t="str">
        <f t="shared" si="12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U393" s="4" t="str">
        <f t="shared" si="12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U394" s="4" t="str">
        <f t="shared" si="12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U395" s="4" t="str">
        <f t="shared" si="12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U396" s="4" t="str">
        <f t="shared" si="12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U397" s="4" t="str">
        <f t="shared" si="12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U398" s="4" t="str">
        <f t="shared" si="12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U399" s="4" t="str">
        <f t="shared" si="12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U400" s="4" t="str">
        <f t="shared" si="12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U401" s="4" t="str">
        <f t="shared" si="12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U402" s="4" t="str">
        <f t="shared" si="12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U403" s="4" t="str">
        <f t="shared" si="12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U404" s="4" t="str">
        <f t="shared" si="12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U405" s="4" t="str">
        <f t="shared" si="12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U406" s="4" t="str">
        <f t="shared" si="12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U407" s="4" t="str">
        <f t="shared" si="12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U408" s="4" t="str">
        <f t="shared" si="12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U409" s="4" t="str">
        <f t="shared" si="12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U410" s="4" t="str">
        <f t="shared" si="12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U411" s="4" t="str">
        <f t="shared" si="12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U412" s="4" t="str">
        <f t="shared" si="12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U413" s="4" t="str">
        <f t="shared" si="12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U414" s="4" t="str">
        <f t="shared" si="12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U415" s="4" t="str">
        <f t="shared" si="12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U416" s="4" t="str">
        <f t="shared" si="12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U417" s="4" t="str">
        <f t="shared" si="12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U418" s="4" t="str">
        <f t="shared" si="12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U419" s="4" t="str">
        <f t="shared" si="12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U420" s="4" t="str">
        <f t="shared" si="12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U421" s="4" t="str">
        <f t="shared" si="12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U422" s="4" t="str">
        <f t="shared" si="12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U423" s="4" t="str">
        <f t="shared" si="12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U424" s="4" t="str">
        <f t="shared" si="12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U425" s="4" t="str">
        <f t="shared" si="12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U426" s="4" t="str">
        <f t="shared" si="12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U427" s="4" t="str">
        <f t="shared" si="12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U428" s="4" t="str">
        <f t="shared" si="12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U429" s="4" t="str">
        <f t="shared" si="12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U430" s="4" t="str">
        <f t="shared" si="12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U431" s="4" t="str">
        <f t="shared" si="12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U432" s="4" t="str">
        <f t="shared" si="12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U433" s="4" t="str">
        <f t="shared" si="12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U434" s="4" t="str">
        <f t="shared" si="12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U435" s="4" t="str">
        <f t="shared" si="12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U436" s="4" t="str">
        <f t="shared" si="12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U437" s="4" t="str">
        <f t="shared" si="12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U438" s="4" t="str">
        <f t="shared" si="12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U439" s="4" t="str">
        <f t="shared" si="12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U440" s="4" t="str">
        <f t="shared" si="12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U441" s="4" t="str">
        <f t="shared" si="12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U442" s="4" t="str">
        <f t="shared" si="12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U443" s="4" t="str">
        <f t="shared" si="12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U444" s="4" t="str">
        <f t="shared" si="12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U445" s="4" t="str">
        <f t="shared" si="12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U446" s="4" t="str">
        <f t="shared" si="12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U447" s="4" t="str">
        <f t="shared" si="12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U448" s="4" t="str">
        <f t="shared" si="12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U449" s="4" t="str">
        <f t="shared" si="12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U450" s="4" t="str">
        <f t="shared" si="12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U451" s="4" t="str">
        <f t="shared" si="12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U452" s="4" t="str">
        <f t="shared" si="12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U453" s="4" t="str">
        <f t="shared" si="12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U454" s="4" t="str">
        <f t="shared" si="12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U455" s="4" t="str">
        <f t="shared" si="12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U456" s="4" t="str">
        <f t="shared" si="12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U457" s="4" t="str">
        <f t="shared" si="12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U458" s="4" t="str">
        <f t="shared" si="12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U459" s="4" t="str">
        <f t="shared" si="12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U460" s="4" t="str">
        <f t="shared" si="12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U461" s="4" t="str">
        <f t="shared" si="12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U462" s="4" t="str">
        <f t="shared" si="12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U463" s="4" t="str">
        <f t="shared" si="12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U464" s="4" t="str">
        <f t="shared" si="12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U465" s="4" t="str">
        <f t="shared" si="12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U466" s="4" t="str">
        <f t="shared" si="12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U467" s="4" t="str">
        <f t="shared" si="12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U468" s="4" t="str">
        <f t="shared" si="12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U469" s="4" t="str">
        <f t="shared" si="12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U470" s="4" t="str">
        <f t="shared" si="12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U471" s="4" t="str">
        <f t="shared" si="12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U472" s="4" t="str">
        <f t="shared" si="12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U473" s="4" t="str">
        <f t="shared" si="12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U474" s="4" t="str">
        <f t="shared" si="12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U475" s="4" t="str">
        <f t="shared" si="12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U476" s="4" t="str">
        <f t="shared" si="12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U477" s="4" t="str">
        <f t="shared" si="12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U478" s="4" t="str">
        <f t="shared" si="12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U479" s="4" t="str">
        <f t="shared" si="12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U480" s="4" t="str">
        <f t="shared" si="12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U481" s="4" t="str">
        <f t="shared" si="12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U482" s="4" t="str">
        <f t="shared" si="12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U483" s="4" t="str">
        <f t="shared" si="12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U484" s="4" t="str">
        <f t="shared" si="12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U485" s="4" t="str">
        <f t="shared" si="12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U486" s="4" t="str">
        <f t="shared" si="12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U487" s="4" t="str">
        <f t="shared" si="12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U488" s="4" t="str">
        <f t="shared" si="12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U489" s="4" t="str">
        <f t="shared" si="12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U490" s="4" t="str">
        <f t="shared" si="12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U491" s="4" t="str">
        <f t="shared" si="12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U492" s="4" t="str">
        <f t="shared" si="12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U493" s="4" t="str">
        <f t="shared" si="12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U494" s="4" t="str">
        <f t="shared" si="12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U495" s="4" t="str">
        <f t="shared" si="12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U496" s="4" t="str">
        <f t="shared" si="12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U497" s="4" t="str">
        <f t="shared" si="12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U498" s="4" t="str">
        <f t="shared" si="12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U499" s="4" t="str">
        <f t="shared" si="12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U500" s="4" t="str">
        <f t="shared" si="12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U501" s="4" t="str">
        <f t="shared" si="12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U502" s="4" t="str">
        <f t="shared" si="12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U503" s="4" t="str">
        <f t="shared" si="12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U504" s="4" t="str">
        <f t="shared" si="12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U505" s="4" t="str">
        <f t="shared" si="12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U506" s="4" t="str">
        <f t="shared" si="12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U507" s="4" t="str">
        <f t="shared" si="12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U508" s="4" t="str">
        <f t="shared" si="12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U509" s="4" t="str">
        <f t="shared" si="12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U510" s="4" t="str">
        <f t="shared" si="12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U511" s="4" t="str">
        <f t="shared" si="12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U512" s="4" t="str">
        <f t="shared" si="12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U513" s="4" t="str">
        <f t="shared" si="12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U514" s="4" t="str">
        <f t="shared" si="12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U515" s="4" t="str">
        <f t="shared" si="12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U516" s="4" t="str">
        <f t="shared" si="12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U517" s="4" t="str">
        <f t="shared" si="12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U518" s="4" t="str">
        <f t="shared" si="12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U519" s="4" t="str">
        <f t="shared" si="12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U520" s="4" t="str">
        <f t="shared" si="12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U521" s="4" t="str">
        <f t="shared" si="12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U522" s="4" t="str">
        <f t="shared" si="12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U523" s="4" t="str">
        <f t="shared" si="12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U524" s="4" t="str">
        <f t="shared" si="12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U525" s="4" t="str">
        <f t="shared" si="12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U526" s="4" t="str">
        <f t="shared" si="12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U527" s="4" t="str">
        <f t="shared" si="12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U528" s="4" t="str">
        <f t="shared" si="12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U529" s="4" t="str">
        <f t="shared" si="12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U530" s="4" t="str">
        <f t="shared" si="12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U531" s="4" t="str">
        <f t="shared" si="12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U532" s="4" t="str">
        <f t="shared" si="12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U533" s="4" t="str">
        <f t="shared" si="12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U534" s="4" t="str">
        <f t="shared" si="12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U535" s="4" t="str">
        <f t="shared" si="12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U536" s="4" t="str">
        <f t="shared" si="12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U537" s="4" t="str">
        <f t="shared" si="12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U538" s="4" t="str">
        <f t="shared" si="12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U539" s="4" t="str">
        <f t="shared" si="12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U540" s="4" t="str">
        <f t="shared" si="12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U541" s="4" t="str">
        <f t="shared" si="12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U542" s="4" t="str">
        <f t="shared" si="12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U543" s="4" t="str">
        <f t="shared" si="12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U544" s="4" t="str">
        <f t="shared" si="12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U545" s="4" t="str">
        <f t="shared" si="12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U546" s="4" t="str">
        <f t="shared" si="12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U547" s="4" t="str">
        <f t="shared" si="12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U548" s="4" t="str">
        <f t="shared" si="12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U549" s="4" t="str">
        <f t="shared" si="12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U550" s="4" t="str">
        <f t="shared" si="12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U551" s="4" t="str">
        <f t="shared" si="12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U552" s="4" t="str">
        <f t="shared" si="12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U553" s="4" t="str">
        <f t="shared" si="12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U554" s="4" t="str">
        <f t="shared" si="12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U555" s="4" t="str">
        <f t="shared" si="12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U556" s="4" t="str">
        <f t="shared" si="12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U557" s="4" t="str">
        <f t="shared" si="12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U558" s="4" t="str">
        <f t="shared" si="12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U559" s="4" t="str">
        <f t="shared" si="12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U560" s="4" t="str">
        <f t="shared" si="12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U561" s="4" t="str">
        <f t="shared" si="12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U562" s="4" t="str">
        <f t="shared" si="12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U563" s="4" t="str">
        <f t="shared" si="12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U564" s="4" t="str">
        <f t="shared" si="12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U565" s="4" t="str">
        <f t="shared" si="12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U566" s="4" t="str">
        <f t="shared" si="12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U567" s="4" t="str">
        <f t="shared" si="12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U568" s="4" t="str">
        <f t="shared" si="12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U569" s="4" t="str">
        <f t="shared" si="12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U570" s="4" t="str">
        <f t="shared" si="12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U571" s="4" t="str">
        <f t="shared" si="12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U572" s="4" t="str">
        <f t="shared" si="12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U573" s="4" t="str">
        <f t="shared" si="12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U574" s="4" t="str">
        <f t="shared" si="12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U575" s="4" t="str">
        <f t="shared" si="12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U576" s="4" t="str">
        <f t="shared" si="12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U577" s="4" t="str">
        <f t="shared" si="12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U578" s="4" t="str">
        <f t="shared" si="12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U579" s="4" t="str">
        <f t="shared" si="12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U580" s="4" t="str">
        <f t="shared" si="12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U581" s="4" t="str">
        <f t="shared" si="12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U582" s="4" t="str">
        <f t="shared" si="12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U583" s="4" t="str">
        <f t="shared" si="12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U584" s="4" t="str">
        <f t="shared" si="12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U585" s="4" t="str">
        <f t="shared" si="12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U586" s="4" t="str">
        <f t="shared" si="12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U587" s="4" t="str">
        <f t="shared" si="12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U588" s="4" t="str">
        <f t="shared" si="12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U589" s="4" t="str">
        <f t="shared" si="12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U590" s="4" t="str">
        <f t="shared" si="12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U591" s="4" t="str">
        <f t="shared" si="12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U592" s="4" t="str">
        <f t="shared" si="12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U593" s="4" t="str">
        <f t="shared" si="12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U594" s="4" t="str">
        <f t="shared" si="12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U595" s="4" t="str">
        <f t="shared" si="12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U596" s="4" t="str">
        <f t="shared" si="12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U597" s="4" t="str">
        <f t="shared" si="12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U598" s="4" t="str">
        <f t="shared" si="12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U599" s="4" t="str">
        <f t="shared" si="12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U600" s="4" t="str">
        <f t="shared" si="12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U601" s="4" t="str">
        <f t="shared" si="12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U602" s="4" t="str">
        <f t="shared" si="12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U603" s="4" t="str">
        <f t="shared" si="12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U604" s="4" t="str">
        <f t="shared" si="12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U605" s="4" t="str">
        <f t="shared" si="12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U606" s="4" t="str">
        <f t="shared" si="12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U607" s="4" t="str">
        <f t="shared" si="12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U608" s="4" t="str">
        <f t="shared" si="12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U609" s="4" t="str">
        <f t="shared" si="12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U610" s="4" t="str">
        <f t="shared" si="12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U611" s="4" t="str">
        <f t="shared" si="12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U612" s="4" t="str">
        <f t="shared" si="12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U613" s="4" t="str">
        <f t="shared" si="12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U614" s="4" t="str">
        <f t="shared" si="12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U615" s="4" t="str">
        <f t="shared" si="12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U616" s="4" t="str">
        <f t="shared" si="12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U617" s="4" t="str">
        <f t="shared" si="12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U618" s="4" t="str">
        <f t="shared" si="12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U619" s="4" t="str">
        <f t="shared" si="12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U620" s="4" t="str">
        <f t="shared" si="12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U621" s="4" t="str">
        <f t="shared" si="12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U622" s="4" t="str">
        <f t="shared" si="12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U623" s="4" t="str">
        <f t="shared" si="12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U624" s="4" t="str">
        <f t="shared" si="12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U625" s="4" t="str">
        <f t="shared" si="12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U626" s="4" t="str">
        <f t="shared" si="12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U627" s="4" t="str">
        <f t="shared" si="12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U628" s="4" t="str">
        <f t="shared" si="12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U629" s="4" t="str">
        <f t="shared" si="12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U630" s="4" t="str">
        <f t="shared" si="12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U631" s="4" t="str">
        <f t="shared" si="12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U632" s="4" t="str">
        <f t="shared" si="12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U633" s="4" t="str">
        <f t="shared" si="12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U634" s="4" t="str">
        <f t="shared" si="12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U635" s="4" t="str">
        <f t="shared" si="12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U636" s="4" t="str">
        <f t="shared" si="12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U637" s="4" t="str">
        <f t="shared" si="12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U638" s="4" t="str">
        <f t="shared" si="12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U639" s="4" t="str">
        <f t="shared" si="12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U640" s="4" t="str">
        <f t="shared" si="12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U641" s="4" t="str">
        <f t="shared" si="12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U642" s="4" t="str">
        <f t="shared" si="12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U643" s="4" t="str">
        <f t="shared" si="12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U644" s="4" t="str">
        <f t="shared" si="12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U645" s="4" t="str">
        <f t="shared" si="12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U646" s="4" t="str">
        <f t="shared" si="12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U647" s="4" t="str">
        <f t="shared" si="12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U648" s="4" t="str">
        <f t="shared" si="12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U649" s="4" t="str">
        <f t="shared" si="12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U650" s="4" t="str">
        <f t="shared" si="12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U651" s="4" t="str">
        <f t="shared" si="12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U652" s="4" t="str">
        <f t="shared" si="12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U653" s="4" t="str">
        <f t="shared" si="12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U654" s="4" t="str">
        <f t="shared" si="12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U655" s="4" t="str">
        <f t="shared" si="12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U656" s="4" t="str">
        <f t="shared" si="12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U657" s="4" t="str">
        <f t="shared" si="12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U658" s="4" t="str">
        <f t="shared" si="12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U659" s="4" t="str">
        <f t="shared" si="12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U660" s="4" t="str">
        <f t="shared" si="12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U661" s="4" t="str">
        <f t="shared" si="12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U662" s="4" t="str">
        <f t="shared" si="12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U663" s="4" t="str">
        <f t="shared" si="12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U664" s="4" t="str">
        <f t="shared" si="12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U665" s="4" t="str">
        <f t="shared" si="12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U666" s="4" t="str">
        <f t="shared" si="12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U667" s="4" t="str">
        <f t="shared" si="12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U668" s="4" t="str">
        <f t="shared" si="12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U669" s="4" t="str">
        <f t="shared" si="12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U670" s="4" t="str">
        <f t="shared" si="12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U671" s="4" t="str">
        <f t="shared" si="12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U672" s="4" t="str">
        <f t="shared" si="12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U673" s="4" t="str">
        <f t="shared" si="12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U674" s="4" t="str">
        <f t="shared" si="12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U675" s="4" t="str">
        <f t="shared" si="12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U676" s="4" t="str">
        <f t="shared" si="12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U677" s="4" t="str">
        <f t="shared" si="12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U678" s="4" t="str">
        <f t="shared" si="12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U679" s="4" t="str">
        <f t="shared" si="12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U680" s="4" t="str">
        <f t="shared" si="12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U681" s="4" t="str">
        <f t="shared" si="12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U682" s="4" t="str">
        <f t="shared" si="12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U683" s="4" t="str">
        <f t="shared" si="12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U684" s="4" t="str">
        <f t="shared" si="12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U685" s="4" t="str">
        <f t="shared" si="12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U686" s="4" t="str">
        <f t="shared" si="12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U687" s="4" t="str">
        <f t="shared" si="12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U688" s="4" t="str">
        <f t="shared" si="12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U689" s="4" t="str">
        <f t="shared" si="12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U690" s="4" t="str">
        <f t="shared" si="12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U691" s="4" t="str">
        <f t="shared" si="12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U692" s="4" t="str">
        <f t="shared" si="12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U693" s="4" t="str">
        <f t="shared" si="12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U694" s="4" t="str">
        <f t="shared" si="12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U695" s="4" t="str">
        <f t="shared" si="12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U696" s="4" t="str">
        <f t="shared" si="12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U697" s="4" t="str">
        <f t="shared" si="12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U698" s="4" t="str">
        <f t="shared" si="12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U699" s="4" t="str">
        <f t="shared" si="12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U700" s="4" t="str">
        <f t="shared" si="12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U701" s="4" t="str">
        <f t="shared" si="12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U702" s="4" t="str">
        <f t="shared" si="12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U703" s="4" t="str">
        <f t="shared" si="12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U704" s="4" t="str">
        <f t="shared" si="12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U705" s="4" t="str">
        <f t="shared" si="12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U706" s="4" t="str">
        <f t="shared" si="12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U707" s="4" t="str">
        <f t="shared" si="12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U708" s="4" t="str">
        <f t="shared" si="12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U709" s="4" t="str">
        <f t="shared" si="12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U710" s="4" t="str">
        <f t="shared" si="12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U711" s="4" t="str">
        <f t="shared" si="12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U712" s="4" t="str">
        <f t="shared" si="12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U713" s="4" t="str">
        <f t="shared" si="12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U714" s="4" t="str">
        <f t="shared" si="12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U715" s="4" t="str">
        <f t="shared" si="12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U716" s="4" t="str">
        <f t="shared" si="12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U717" s="4" t="str">
        <f t="shared" si="12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U718" s="4" t="str">
        <f t="shared" si="12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U719" s="4" t="str">
        <f t="shared" si="12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U720" s="4" t="str">
        <f t="shared" si="12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U721" s="4" t="str">
        <f t="shared" si="12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U722" s="4" t="str">
        <f t="shared" si="12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U723" s="4" t="str">
        <f t="shared" si="12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U724" s="4" t="str">
        <f t="shared" si="12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U725" s="4" t="str">
        <f t="shared" si="12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U726" s="4" t="str">
        <f t="shared" si="12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U727" s="4" t="str">
        <f t="shared" si="12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U728" s="4" t="str">
        <f t="shared" si="12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U729" s="4" t="str">
        <f t="shared" si="12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U730" s="4" t="str">
        <f t="shared" si="12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U731" s="4" t="str">
        <f t="shared" si="12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U732" s="4" t="str">
        <f t="shared" si="12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U733" s="4" t="str">
        <f t="shared" si="12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U734" s="4" t="str">
        <f t="shared" si="12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U735" s="4" t="str">
        <f t="shared" si="12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U736" s="4" t="str">
        <f t="shared" si="12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U737" s="4" t="str">
        <f t="shared" si="12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U738" s="4" t="str">
        <f t="shared" si="12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U739" s="4" t="str">
        <f t="shared" si="12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U740" s="4" t="str">
        <f t="shared" si="12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U741" s="4" t="str">
        <f t="shared" si="12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U742" s="4" t="str">
        <f t="shared" si="12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U743" s="4" t="str">
        <f t="shared" si="12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U744" s="4" t="str">
        <f t="shared" si="12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U745" s="4" t="str">
        <f t="shared" si="12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U746" s="4" t="str">
        <f t="shared" si="12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U747" s="4" t="str">
        <f t="shared" si="12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U748" s="4" t="str">
        <f t="shared" si="12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U749" s="4" t="str">
        <f t="shared" si="12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U750" s="4" t="str">
        <f t="shared" si="12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U751" s="4" t="str">
        <f t="shared" si="12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U752" s="4" t="str">
        <f t="shared" si="12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U753" s="4" t="str">
        <f t="shared" si="12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U754" s="4" t="str">
        <f t="shared" si="12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U755" s="4" t="str">
        <f t="shared" si="12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U756" s="4" t="str">
        <f t="shared" si="12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U757" s="4" t="str">
        <f t="shared" si="12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U758" s="4" t="str">
        <f t="shared" si="12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U759" s="4" t="str">
        <f t="shared" si="12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U760" s="4" t="str">
        <f t="shared" si="12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U761" s="4" t="str">
        <f t="shared" si="12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U762" s="4" t="str">
        <f t="shared" si="12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U763" s="4" t="str">
        <f t="shared" si="12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U764" s="4" t="str">
        <f t="shared" si="12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U765" s="4" t="str">
        <f t="shared" si="12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U766" s="4" t="str">
        <f t="shared" si="12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U767" s="4" t="str">
        <f t="shared" si="12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U768" s="4" t="str">
        <f t="shared" si="12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U769" s="4" t="str">
        <f t="shared" si="12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U770" s="4" t="str">
        <f t="shared" si="12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U771" s="4" t="str">
        <f t="shared" si="12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U772" s="4" t="str">
        <f t="shared" si="12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U773" s="4" t="str">
        <f t="shared" si="12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U774" s="4" t="str">
        <f t="shared" si="12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U775" s="4" t="str">
        <f t="shared" si="12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U776" s="4" t="str">
        <f t="shared" si="12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U777" s="4" t="str">
        <f t="shared" si="12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U778" s="4" t="str">
        <f t="shared" si="12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U779" s="4" t="str">
        <f t="shared" si="12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U780" s="4" t="str">
        <f t="shared" si="12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U781" s="4" t="str">
        <f t="shared" si="12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U782" s="4" t="str">
        <f t="shared" si="12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U783" s="4" t="str">
        <f t="shared" si="12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U784" s="4" t="str">
        <f t="shared" si="12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U785" s="4" t="str">
        <f t="shared" si="12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U786" s="4" t="str">
        <f t="shared" si="12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U787" s="4" t="str">
        <f t="shared" si="12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U788" s="4" t="str">
        <f t="shared" si="12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U789" s="4" t="str">
        <f t="shared" si="12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U790" s="4" t="str">
        <f t="shared" si="12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U791" s="4" t="str">
        <f t="shared" si="12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U792" s="4" t="str">
        <f t="shared" si="12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U793" s="4" t="str">
        <f t="shared" si="12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U794" s="4" t="str">
        <f t="shared" si="12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U795" s="4" t="str">
        <f t="shared" si="12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U796" s="4" t="str">
        <f t="shared" si="12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U797" s="4" t="str">
        <f t="shared" si="12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U798" s="4" t="str">
        <f t="shared" si="12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U799" s="4" t="str">
        <f t="shared" si="12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U800" s="4" t="str">
        <f t="shared" si="12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U801" s="4" t="str">
        <f t="shared" si="12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U802" s="4" t="str">
        <f t="shared" si="12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U803" s="4" t="str">
        <f t="shared" si="12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U804" s="4" t="str">
        <f t="shared" si="12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U805" s="4" t="str">
        <f t="shared" si="12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U806" s="4" t="str">
        <f t="shared" si="12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U807" s="4" t="str">
        <f t="shared" si="12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U808" s="4" t="str">
        <f t="shared" si="12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U809" s="4" t="str">
        <f t="shared" si="12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U810" s="4" t="str">
        <f t="shared" si="12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U811" s="4" t="str">
        <f t="shared" si="12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U812" s="4" t="str">
        <f t="shared" si="12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U813" s="4" t="str">
        <f t="shared" si="12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U814" s="4" t="str">
        <f t="shared" si="12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U815" s="4" t="str">
        <f t="shared" si="12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U816" s="4" t="str">
        <f t="shared" si="12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U817" s="4" t="str">
        <f t="shared" si="12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U818" s="4" t="str">
        <f t="shared" si="12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U819" s="4" t="str">
        <f t="shared" si="12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U820" s="4" t="str">
        <f t="shared" si="12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U821" s="4" t="str">
        <f t="shared" si="12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U822" s="4" t="str">
        <f t="shared" si="12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U823" s="4" t="str">
        <f t="shared" si="12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U824" s="4" t="str">
        <f t="shared" si="12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U825" s="4" t="str">
        <f t="shared" si="12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U826" s="4" t="str">
        <f t="shared" si="12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U827" s="4" t="str">
        <f t="shared" si="12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U828" s="4" t="str">
        <f t="shared" si="12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U829" s="4" t="str">
        <f t="shared" si="12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U830" s="4" t="str">
        <f t="shared" si="12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U831" s="4" t="str">
        <f t="shared" si="12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U832" s="4" t="str">
        <f t="shared" si="12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U833" s="4" t="str">
        <f t="shared" si="12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U834" s="4" t="str">
        <f t="shared" si="12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U835" s="4" t="str">
        <f t="shared" si="12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U836" s="4" t="str">
        <f t="shared" si="12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U837" s="4" t="str">
        <f t="shared" si="12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U838" s="4" t="str">
        <f t="shared" si="12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U839" s="4" t="str">
        <f t="shared" si="12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U840" s="4" t="str">
        <f t="shared" si="12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U841" s="4" t="str">
        <f t="shared" si="12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U842" s="4" t="str">
        <f t="shared" si="12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U843" s="4" t="str">
        <f t="shared" si="12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U844" s="4" t="str">
        <f t="shared" si="12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U845" s="4" t="str">
        <f t="shared" si="12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U846" s="4" t="str">
        <f t="shared" si="12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U847" s="4" t="str">
        <f t="shared" si="12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U848" s="4" t="str">
        <f t="shared" si="12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U849" s="4" t="str">
        <f t="shared" si="12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U850" s="4" t="str">
        <f t="shared" si="12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U851" s="4" t="str">
        <f t="shared" si="12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U852" s="4" t="str">
        <f t="shared" si="12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U853" s="4" t="str">
        <f t="shared" si="12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U854" s="4" t="str">
        <f t="shared" si="12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U855" s="4" t="str">
        <f t="shared" si="12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U856" s="4" t="str">
        <f t="shared" si="12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U857" s="4" t="str">
        <f t="shared" si="12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U858" s="4" t="str">
        <f t="shared" si="12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U859" s="4" t="str">
        <f t="shared" si="12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U860" s="4" t="str">
        <f t="shared" si="12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U861" s="4" t="str">
        <f t="shared" si="12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U862" s="4" t="str">
        <f t="shared" si="12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U863" s="4" t="str">
        <f t="shared" si="12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U864" s="4" t="str">
        <f t="shared" si="12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U865" s="4" t="str">
        <f t="shared" si="12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U866" s="4" t="str">
        <f t="shared" si="12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U867" s="4" t="str">
        <f t="shared" si="12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U868" s="4" t="str">
        <f t="shared" si="12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U869" s="4" t="str">
        <f t="shared" si="12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U870" s="4" t="str">
        <f t="shared" si="12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U871" s="4" t="str">
        <f t="shared" si="12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U872" s="4" t="str">
        <f t="shared" si="12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U873" s="4" t="str">
        <f t="shared" si="12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U874" s="4" t="str">
        <f t="shared" si="12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U875" s="4" t="str">
        <f t="shared" si="12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U876" s="4" t="str">
        <f t="shared" si="12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U877" s="4" t="str">
        <f t="shared" si="12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U878" s="4" t="str">
        <f t="shared" si="12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U879" s="4" t="str">
        <f t="shared" si="12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U880" s="4" t="str">
        <f t="shared" si="12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U881" s="4" t="str">
        <f t="shared" si="12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U882" s="4" t="str">
        <f t="shared" si="12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U883" s="4" t="str">
        <f t="shared" si="12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U884" s="4" t="str">
        <f t="shared" si="12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U885" s="4" t="str">
        <f t="shared" si="12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U886" s="4" t="str">
        <f t="shared" si="12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U887" s="4" t="str">
        <f t="shared" si="12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U888" s="4" t="str">
        <f t="shared" si="12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U889" s="4" t="str">
        <f t="shared" si="12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U890" s="4" t="str">
        <f t="shared" si="12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U891" s="4" t="str">
        <f t="shared" si="12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U892" s="4" t="str">
        <f t="shared" si="12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U893" s="4" t="str">
        <f t="shared" si="12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U894" s="4" t="str">
        <f t="shared" si="12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U895" s="4" t="str">
        <f t="shared" si="12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U896" s="4" t="str">
        <f t="shared" si="12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U897" s="4" t="str">
        <f t="shared" si="12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U898" s="4" t="str">
        <f t="shared" si="12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U899" s="4" t="str">
        <f t="shared" si="12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U900" s="4" t="str">
        <f t="shared" si="12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U901" s="4" t="str">
        <f t="shared" si="12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U902" s="4" t="str">
        <f t="shared" si="12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U903" s="4" t="str">
        <f t="shared" si="12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U904" s="4" t="str">
        <f t="shared" si="12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U905" s="4" t="str">
        <f t="shared" si="12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U906" s="4" t="str">
        <f t="shared" si="12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U907" s="4" t="str">
        <f t="shared" si="12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U908" s="4" t="str">
        <f t="shared" si="12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U909" s="4" t="str">
        <f t="shared" si="12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U910" s="4" t="str">
        <f t="shared" si="12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U911" s="4" t="str">
        <f t="shared" si="12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U912" s="4" t="str">
        <f t="shared" si="12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U913" s="4" t="str">
        <f t="shared" si="12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U914" s="4" t="str">
        <f t="shared" si="12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U915" s="4" t="str">
        <f t="shared" si="12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U916" s="4" t="str">
        <f t="shared" si="12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U917" s="4" t="str">
        <f t="shared" si="12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U918" s="4" t="str">
        <f t="shared" si="12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U919" s="4" t="str">
        <f t="shared" si="12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U920" s="4" t="str">
        <f t="shared" si="12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U921" s="4" t="str">
        <f t="shared" si="12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U922" s="4" t="str">
        <f t="shared" si="12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U923" s="4" t="str">
        <f t="shared" si="12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U924" s="4" t="str">
        <f t="shared" si="12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U925" s="4" t="str">
        <f t="shared" si="12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U926" s="4" t="str">
        <f t="shared" si="12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U927" s="4" t="str">
        <f t="shared" si="12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U928" s="4" t="str">
        <f t="shared" si="12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U929" s="4" t="str">
        <f t="shared" si="12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U930" s="4" t="str">
        <f t="shared" si="12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U931" s="4" t="str">
        <f t="shared" si="12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U932" s="4" t="str">
        <f t="shared" si="12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U933" s="4" t="str">
        <f t="shared" si="12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U934" s="4" t="str">
        <f t="shared" si="12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U935" s="4" t="str">
        <f t="shared" si="12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U936" s="4" t="str">
        <f t="shared" si="12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U937" s="4" t="str">
        <f t="shared" si="12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U938" s="4" t="str">
        <f t="shared" si="12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U939" s="4" t="str">
        <f t="shared" si="12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U940" s="4" t="str">
        <f t="shared" si="12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U941" s="4" t="str">
        <f t="shared" si="12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U942" s="4" t="str">
        <f t="shared" si="12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U943" s="4" t="str">
        <f t="shared" si="12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U944" s="4" t="str">
        <f t="shared" si="12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U945" s="4" t="str">
        <f t="shared" si="12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U946" s="4" t="str">
        <f t="shared" si="12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U947" s="4" t="str">
        <f t="shared" si="12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U948" s="4" t="str">
        <f t="shared" si="12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U949" s="4" t="str">
        <f t="shared" si="12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U950" s="4" t="str">
        <f t="shared" si="12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U951" s="4" t="str">
        <f t="shared" si="12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U952" s="4" t="str">
        <f t="shared" si="12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U953" s="4" t="str">
        <f t="shared" si="12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U954" s="4" t="str">
        <f t="shared" si="12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U955" s="4" t="str">
        <f t="shared" si="12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U956" s="4" t="str">
        <f t="shared" si="12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U957" s="4" t="str">
        <f t="shared" si="12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U958" s="4" t="str">
        <f t="shared" si="12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U959" s="4" t="str">
        <f t="shared" si="12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U960" s="4" t="str">
        <f t="shared" si="12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U961" s="4" t="str">
        <f t="shared" si="12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U962" s="4" t="str">
        <f t="shared" si="12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U963" s="4" t="str">
        <f t="shared" si="12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U964" s="4" t="str">
        <f t="shared" si="12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U965" s="4" t="str">
        <f t="shared" si="12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U966" s="4" t="str">
        <f t="shared" si="12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U967" s="4" t="str">
        <f t="shared" si="12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U968" s="4" t="str">
        <f t="shared" si="12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U969" s="4" t="str">
        <f t="shared" si="12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U970" s="4" t="str">
        <f t="shared" si="12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U971" s="4" t="str">
        <f t="shared" si="12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U972" s="4" t="str">
        <f t="shared" si="12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U973" s="4" t="str">
        <f t="shared" si="12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U974" s="4" t="str">
        <f t="shared" si="12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U975" s="4" t="str">
        <f t="shared" si="12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U976" s="4" t="str">
        <f t="shared" si="12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U977" s="4" t="str">
        <f t="shared" si="12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U978" s="4" t="str">
        <f t="shared" si="12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U979" s="4" t="str">
        <f t="shared" si="12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U980" s="4" t="str">
        <f t="shared" si="12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U981" s="4" t="str">
        <f t="shared" si="12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U982" s="4" t="str">
        <f t="shared" si="12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U983" s="4" t="str">
        <f t="shared" si="12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U984" s="4" t="str">
        <f t="shared" si="12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U985" s="4" t="str">
        <f t="shared" si="12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U986" s="4" t="str">
        <f t="shared" si="12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U987" s="4" t="str">
        <f t="shared" si="12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U988" s="4" t="str">
        <f t="shared" si="12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U989" s="4" t="str">
        <f t="shared" si="12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U990" s="4" t="str">
        <f t="shared" si="12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U991" s="4" t="str">
        <f t="shared" si="12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U992" s="4" t="str">
        <f t="shared" si="12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U993" s="4" t="str">
        <f t="shared" si="12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U994" s="4" t="str">
        <f t="shared" si="12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U995" s="4" t="str">
        <f t="shared" si="12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U996" s="4" t="str">
        <f t="shared" si="12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U997" s="4" t="str">
        <f t="shared" si="12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U998" s="4" t="str">
        <f t="shared" si="12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U999" s="4" t="str">
        <f t="shared" si="12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U1000" s="4" t="str">
        <f t="shared" si="12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6" t="s">
        <v>98</v>
      </c>
      <c r="B1" s="16" t="s">
        <v>99</v>
      </c>
      <c r="C1" s="16" t="s">
        <v>100</v>
      </c>
      <c r="D1" s="16" t="s">
        <v>101</v>
      </c>
      <c r="E1" s="17" t="s">
        <v>102</v>
      </c>
      <c r="F1" s="16" t="s">
        <v>103</v>
      </c>
      <c r="G1" s="16" t="s">
        <v>104</v>
      </c>
      <c r="H1" s="18" t="s">
        <v>105</v>
      </c>
      <c r="I1" s="16" t="s">
        <v>87</v>
      </c>
      <c r="J1" s="16" t="s">
        <v>92</v>
      </c>
      <c r="K1" s="16" t="s">
        <v>56</v>
      </c>
      <c r="L1" s="16" t="s">
        <v>57</v>
      </c>
      <c r="M1" s="17" t="s">
        <v>106</v>
      </c>
      <c r="N1" s="16" t="s">
        <v>107</v>
      </c>
      <c r="O1" s="16" t="s">
        <v>108</v>
      </c>
      <c r="P1" s="16" t="s">
        <v>109</v>
      </c>
      <c r="Q1" s="16" t="s">
        <v>110</v>
      </c>
      <c r="R1" s="16" t="s">
        <v>111</v>
      </c>
      <c r="S1" s="16" t="s">
        <v>112</v>
      </c>
      <c r="T1" s="16" t="s">
        <v>113</v>
      </c>
      <c r="U1" s="16" t="s">
        <v>114</v>
      </c>
      <c r="V1" s="16" t="s">
        <v>115</v>
      </c>
      <c r="W1" s="16" t="s">
        <v>116</v>
      </c>
      <c r="X1" s="16" t="s">
        <v>117</v>
      </c>
      <c r="Y1" s="16" t="s">
        <v>118</v>
      </c>
      <c r="Z1" s="16" t="s">
        <v>119</v>
      </c>
      <c r="AA1" s="16" t="s">
        <v>120</v>
      </c>
      <c r="AB1" s="16" t="s">
        <v>121</v>
      </c>
      <c r="AC1" s="16" t="s">
        <v>122</v>
      </c>
      <c r="AD1" s="16" t="s">
        <v>123</v>
      </c>
      <c r="AE1" s="16" t="s">
        <v>124</v>
      </c>
      <c r="AF1" s="16" t="s">
        <v>125</v>
      </c>
      <c r="AG1" s="16" t="s">
        <v>126</v>
      </c>
      <c r="AH1" s="16" t="s">
        <v>127</v>
      </c>
      <c r="AI1" s="16" t="s">
        <v>128</v>
      </c>
      <c r="AJ1" s="16" t="s">
        <v>129</v>
      </c>
      <c r="AK1" s="16" t="s">
        <v>89</v>
      </c>
      <c r="AL1" s="16" t="s">
        <v>94</v>
      </c>
      <c r="AM1" s="16" t="s">
        <v>67</v>
      </c>
      <c r="AN1" s="16" t="s">
        <v>68</v>
      </c>
      <c r="AO1" s="16" t="s">
        <v>130</v>
      </c>
      <c r="AP1" s="16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9">
        <f>IFERROR(__xludf.DUMMYFUNCTION("""COMPUTED_VALUE"""),1327.74193548387)</f>
        <v>1327.741935</v>
      </c>
      <c r="C2" s="20">
        <f>IFERROR(__xludf.DUMMYFUNCTION("""COMPUTED_VALUE"""),1415.0)</f>
        <v>1415</v>
      </c>
      <c r="D2" s="21">
        <f>IFERROR(__xludf.DUMMYFUNCTION("""COMPUTED_VALUE"""),87.25806451612993)</f>
        <v>87.25806452</v>
      </c>
      <c r="E2" s="22">
        <f>IFERROR(__xludf.DUMMYFUNCTION("""COMPUTED_VALUE"""),0.06571914480077817)</f>
        <v>0.0657191448</v>
      </c>
      <c r="F2" s="23">
        <f>IFERROR(__xludf.DUMMYFUNCTION("""COMPUTED_VALUE"""),0.8426624896062617)</f>
        <v>0.8426624896</v>
      </c>
      <c r="G2" s="23">
        <f>IFERROR(__xludf.DUMMYFUNCTION("""COMPUTED_VALUE"""),0.8360424028268552)</f>
        <v>0.8360424028</v>
      </c>
      <c r="H2" s="24">
        <f>IFERROR(__xludf.DUMMYFUNCTION("""COMPUTED_VALUE"""),-0.6620086779406509)</f>
        <v>-0.6620086779</v>
      </c>
      <c r="I2" s="19">
        <f>IFERROR(__xludf.DUMMYFUNCTION("""COMPUTED_VALUE"""),1118.8383249094745)</f>
        <v>1118.838325</v>
      </c>
      <c r="J2" s="20">
        <f>IFERROR(__xludf.DUMMYFUNCTION("""COMPUTED_VALUE"""),1183.0)</f>
        <v>1183</v>
      </c>
      <c r="K2" s="21">
        <f>IFERROR(__xludf.DUMMYFUNCTION("""COMPUTED_VALUE"""),64.16167509052548)</f>
        <v>64.16167509</v>
      </c>
      <c r="L2" s="22">
        <f>IFERROR(__xludf.DUMMYFUNCTION("""COMPUTED_VALUE"""),0.05734669045745891)</f>
        <v>0.05734669046</v>
      </c>
      <c r="M2" s="25">
        <f>IFERROR(__xludf.DUMMYFUNCTION("""COMPUTED_VALUE"""),0.34)</f>
        <v>0.34</v>
      </c>
      <c r="N2" s="23">
        <f>IFERROR(__xludf.DUMMYFUNCTION("""COMPUTED_VALUE"""),0.3423499577345731)</f>
        <v>0.3423499577</v>
      </c>
      <c r="O2" s="26">
        <f>IFERROR(__xludf.DUMMYFUNCTION("""COMPUTED_VALUE"""),0.23499577345730827)</f>
        <v>0.2349957735</v>
      </c>
      <c r="P2" s="19">
        <f>IFERROR(__xludf.DUMMYFUNCTION("""COMPUTED_VALUE"""),373.43093824395265)</f>
        <v>373.4309382</v>
      </c>
      <c r="Q2" s="20">
        <f>IFERROR(__xludf.DUMMYFUNCTION("""COMPUTED_VALUE"""),405.0)</f>
        <v>405</v>
      </c>
      <c r="R2" s="21">
        <f>IFERROR(__xludf.DUMMYFUNCTION("""COMPUTED_VALUE"""),31.569061756047347)</f>
        <v>31.56906176</v>
      </c>
      <c r="S2" s="27">
        <f>IFERROR(__xludf.DUMMYFUNCTION("""COMPUTED_VALUE"""),0.08453788511605352)</f>
        <v>0.08453788512</v>
      </c>
      <c r="T2" s="23">
        <f>IFERROR(__xludf.DUMMYFUNCTION("""COMPUTED_VALUE"""),0.19)</f>
        <v>0.19</v>
      </c>
      <c r="U2" s="23">
        <f>IFERROR(__xludf.DUMMYFUNCTION("""COMPUTED_VALUE"""),0.16049382716049382)</f>
        <v>0.1604938272</v>
      </c>
      <c r="V2" s="24">
        <f>IFERROR(__xludf.DUMMYFUNCTION("""COMPUTED_VALUE"""),-2.9506172839506184)</f>
        <v>-2.950617284</v>
      </c>
      <c r="W2" s="19">
        <f>IFERROR(__xludf.DUMMYFUNCTION("""COMPUTED_VALUE"""),70.951878266351)</f>
        <v>70.95187827</v>
      </c>
      <c r="X2" s="20">
        <f>IFERROR(__xludf.DUMMYFUNCTION("""COMPUTED_VALUE"""),65.0)</f>
        <v>65</v>
      </c>
      <c r="Y2" s="21">
        <f>IFERROR(__xludf.DUMMYFUNCTION("""COMPUTED_VALUE"""),-5.951878266351002)</f>
        <v>-5.951878266</v>
      </c>
      <c r="Z2" s="28">
        <f>IFERROR(__xludf.DUMMYFUNCTION("""COMPUTED_VALUE"""),-0.08388612693250837)</f>
        <v>-0.08388612693</v>
      </c>
      <c r="AA2" s="19">
        <f>IFERROR(__xludf.DUMMYFUNCTION("""COMPUTED_VALUE"""),32000.0)</f>
        <v>32000</v>
      </c>
      <c r="AB2" s="20">
        <f>IFERROR(__xludf.DUMMYFUNCTION("""COMPUTED_VALUE"""),21749.995389498195)</f>
        <v>21749.99539</v>
      </c>
      <c r="AC2" s="21">
        <f>IFERROR(__xludf.DUMMYFUNCTION("""COMPUTED_VALUE"""),-10250.004610501805)</f>
        <v>-10250.00461</v>
      </c>
      <c r="AD2" s="28">
        <f>IFERROR(__xludf.DUMMYFUNCTION("""COMPUTED_VALUE"""),-0.3203126440781814)</f>
        <v>-0.3203126441</v>
      </c>
      <c r="AE2" s="19">
        <f>IFERROR(__xludf.DUMMYFUNCTION("""COMPUTED_VALUE"""),2238195.671458954)</f>
        <v>2238195.671</v>
      </c>
      <c r="AF2" s="20">
        <f>IFERROR(__xludf.DUMMYFUNCTION("""COMPUTED_VALUE"""),1413749.7003173828)</f>
        <v>1413749.7</v>
      </c>
      <c r="AG2" s="21">
        <f>IFERROR(__xludf.DUMMYFUNCTION("""COMPUTED_VALUE"""),-824445.9711415712)</f>
        <v>-824445.9711</v>
      </c>
      <c r="AH2" s="29">
        <f>IFERROR(__xludf.DUMMYFUNCTION("""COMPUTED_VALUE"""),-0.36835294681995395)</f>
        <v>-0.3683529468</v>
      </c>
      <c r="AI2" s="30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"),132635.0147471343)</f>
        <v>132635.0147</v>
      </c>
      <c r="AJ2" s="30">
        <f>IFERROR(__xludf.DUMMYFUNCTION("""COMPUTED_VALUE"""),-1031747.8996826175)</f>
        <v>-1031747.9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"),6080.000000000001)</f>
        <v>6080</v>
      </c>
      <c r="AL2" s="31">
        <f>IFERROR(__xludf.DUMMYFUNCTION("""COMPUTED_VALUE"""),3490.7400007836613)</f>
        <v>3490.740001</v>
      </c>
      <c r="AM2" s="30">
        <f t="shared" ref="AM2:AM16" si="1">AL2-AK2</f>
        <v>-2589.259999</v>
      </c>
      <c r="AN2" s="32">
        <f t="shared" ref="AN2:AN16" si="2">AM2/AK2</f>
        <v>-0.4258651315</v>
      </c>
      <c r="AO2" s="10">
        <f t="shared" ref="AO2:AO16" si="3">J2*(N2-M2)*AK2</f>
        <v>16902.4</v>
      </c>
      <c r="AP2" s="10">
        <f t="shared" ref="AP2:AP16" si="4">J2*N2*AM2</f>
        <v>-1048650.3</v>
      </c>
      <c r="AQ2" s="10">
        <f>SUMIFS(AP2:AP16,AP2:AP16,"&lt;"&amp;0)</f>
        <v>-3760515.9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IFERROR(__xludf.DUMMYFUNCTION("""COMPUTED_VALUE"""),"[IM] Form Facebook Ads")</f>
        <v>[IM] Form Facebook Ads</v>
      </c>
      <c r="B3" s="19">
        <f>IFERROR(__xludf.DUMMYFUNCTION("""COMPUTED_VALUE"""),894.1935483870961)</f>
        <v>894.1935484</v>
      </c>
      <c r="C3" s="20">
        <f>IFERROR(__xludf.DUMMYFUNCTION("""COMPUTED_VALUE"""),909.0)</f>
        <v>909</v>
      </c>
      <c r="D3" s="21">
        <f>IFERROR(__xludf.DUMMYFUNCTION("""COMPUTED_VALUE"""),14.806451612903857)</f>
        <v>14.80645161</v>
      </c>
      <c r="E3" s="22">
        <f>IFERROR(__xludf.DUMMYFUNCTION("""COMPUTED_VALUE"""),0.016558441558442275)</f>
        <v>0.01655844156</v>
      </c>
      <c r="F3" s="23">
        <f>IFERROR(__xludf.DUMMYFUNCTION("""COMPUTED_VALUE"""),0.8681746999803265)</f>
        <v>0.8681747</v>
      </c>
      <c r="G3" s="23">
        <f>IFERROR(__xludf.DUMMYFUNCTION("""COMPUTED_VALUE"""),0.7227722772277227)</f>
        <v>0.7227722772</v>
      </c>
      <c r="H3" s="24">
        <f>IFERROR(__xludf.DUMMYFUNCTION("""COMPUTED_VALUE"""),-14.540242275260374)</f>
        <v>-14.54024228</v>
      </c>
      <c r="I3" s="19">
        <f>IFERROR(__xludf.DUMMYFUNCTION("""COMPUTED_VALUE"""),776.3162155953108)</f>
        <v>776.3162156</v>
      </c>
      <c r="J3" s="20">
        <f>IFERROR(__xludf.DUMMYFUNCTION("""COMPUTED_VALUE"""),657.0)</f>
        <v>657</v>
      </c>
      <c r="K3" s="21">
        <f>IFERROR(__xludf.DUMMYFUNCTION("""COMPUTED_VALUE"""),-119.31621559531084)</f>
        <v>-119.3162156</v>
      </c>
      <c r="L3" s="22">
        <f>IFERROR(__xludf.DUMMYFUNCTION("""COMPUTED_VALUE"""),-0.15369537979290349)</f>
        <v>-0.1536953798</v>
      </c>
      <c r="M3" s="25">
        <f>IFERROR(__xludf.DUMMYFUNCTION("""COMPUTED_VALUE"""),0.32)</f>
        <v>0.32</v>
      </c>
      <c r="N3" s="23">
        <f>IFERROR(__xludf.DUMMYFUNCTION("""COMPUTED_VALUE"""),0.3455098934550989)</f>
        <v>0.3455098935</v>
      </c>
      <c r="O3" s="26">
        <f>IFERROR(__xludf.DUMMYFUNCTION("""COMPUTED_VALUE"""),2.550989345509891)</f>
        <v>2.550989346</v>
      </c>
      <c r="P3" s="19">
        <f>IFERROR(__xludf.DUMMYFUNCTION("""COMPUTED_VALUE"""),243.86680052567388)</f>
        <v>243.8668005</v>
      </c>
      <c r="Q3" s="20">
        <f>IFERROR(__xludf.DUMMYFUNCTION("""COMPUTED_VALUE"""),227.0)</f>
        <v>227</v>
      </c>
      <c r="R3" s="21">
        <f>IFERROR(__xludf.DUMMYFUNCTION("""COMPUTED_VALUE"""),-16.86680052567388)</f>
        <v>-16.86680053</v>
      </c>
      <c r="S3" s="27">
        <f>IFERROR(__xludf.DUMMYFUNCTION("""COMPUTED_VALUE"""),-0.06916398824815916)</f>
        <v>-0.06916398825</v>
      </c>
      <c r="T3" s="23">
        <f>IFERROR(__xludf.DUMMYFUNCTION("""COMPUTED_VALUE"""),0.175)</f>
        <v>0.175</v>
      </c>
      <c r="U3" s="23">
        <f>IFERROR(__xludf.DUMMYFUNCTION("""COMPUTED_VALUE"""),0.1013215859030837)</f>
        <v>0.1013215859</v>
      </c>
      <c r="V3" s="24">
        <f>IFERROR(__xludf.DUMMYFUNCTION("""COMPUTED_VALUE"""),-7.367841409691629)</f>
        <v>-7.36784141</v>
      </c>
      <c r="W3" s="19">
        <f>IFERROR(__xludf.DUMMYFUNCTION("""COMPUTED_VALUE"""),42.676690091992924)</f>
        <v>42.67669009</v>
      </c>
      <c r="X3" s="20">
        <f>IFERROR(__xludf.DUMMYFUNCTION("""COMPUTED_VALUE"""),23.0)</f>
        <v>23</v>
      </c>
      <c r="Y3" s="21">
        <f>IFERROR(__xludf.DUMMYFUNCTION("""COMPUTED_VALUE"""),-19.676690091992924)</f>
        <v>-19.67669009</v>
      </c>
      <c r="Z3" s="28">
        <f>IFERROR(__xludf.DUMMYFUNCTION("""COMPUTED_VALUE"""),-0.46106410899201156)</f>
        <v>-0.461064109</v>
      </c>
      <c r="AA3" s="19">
        <f>IFERROR(__xludf.DUMMYFUNCTION("""COMPUTED_VALUE"""),29000.0)</f>
        <v>29000</v>
      </c>
      <c r="AB3" s="20">
        <f>IFERROR(__xludf.DUMMYFUNCTION("""COMPUTED_VALUE"""),19825.478260869564)</f>
        <v>19825.47826</v>
      </c>
      <c r="AC3" s="21">
        <f>IFERROR(__xludf.DUMMYFUNCTION("""COMPUTED_VALUE"""),-9174.521739130436)</f>
        <v>-9174.521739</v>
      </c>
      <c r="AD3" s="28">
        <f>IFERROR(__xludf.DUMMYFUNCTION("""COMPUTED_VALUE"""),-0.3163628185907047)</f>
        <v>-0.3163628186</v>
      </c>
      <c r="AE3" s="19">
        <f>IFERROR(__xludf.DUMMYFUNCTION("""COMPUTED_VALUE"""),1220036.7240667257)</f>
        <v>1220036.724</v>
      </c>
      <c r="AF3" s="20">
        <f>IFERROR(__xludf.DUMMYFUNCTION("""COMPUTED_VALUE"""),455986.0)</f>
        <v>455986</v>
      </c>
      <c r="AG3" s="21">
        <f>IFERROR(__xludf.DUMMYFUNCTION("""COMPUTED_VALUE"""),-764050.7240667257)</f>
        <v>-764050.7241</v>
      </c>
      <c r="AH3" s="29">
        <f>IFERROR(__xludf.DUMMYFUNCTION("""COMPUTED_VALUE"""),-0.6262522340474552)</f>
        <v>-0.626252234</v>
      </c>
      <c r="AI3" s="30">
        <f>IFERROR(__xludf.DUMMYFUNCTION("""COMPUTED_VALUE"""),-193769.5341267848)</f>
        <v>-193769.5341</v>
      </c>
      <c r="AJ3" s="30">
        <f>IFERROR(__xludf.DUMMYFUNCTION("""COMPUTED_VALUE"""),-610982.0)</f>
        <v>-610982</v>
      </c>
      <c r="AK3" s="4">
        <f>IFERROR(__xludf.DUMMYFUNCTION("""COMPUTED_VALUE"""),5074.999999999999)</f>
        <v>5075</v>
      </c>
      <c r="AL3" s="31">
        <f>IFERROR(__xludf.DUMMYFUNCTION("""COMPUTED_VALUE"""),2008.7488986784142)</f>
        <v>2008.748899</v>
      </c>
      <c r="AM3" s="30">
        <f t="shared" si="1"/>
        <v>-3066.251101</v>
      </c>
      <c r="AN3" s="32">
        <f t="shared" si="2"/>
        <v>-0.6041874091</v>
      </c>
      <c r="AO3" s="10">
        <f t="shared" si="3"/>
        <v>85057</v>
      </c>
      <c r="AP3" s="10">
        <f t="shared" si="4"/>
        <v>-696039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IFERROR(__xludf.DUMMYFUNCTION("""COMPUTED_VALUE"""),"Form G4 Outros - Orgânico")</f>
        <v>Form G4 Outros - Orgânico</v>
      </c>
      <c r="B4" s="19">
        <f>IFERROR(__xludf.DUMMYFUNCTION("""COMPUTED_VALUE"""),497.41935483870935)</f>
        <v>497.4193548</v>
      </c>
      <c r="C4" s="20">
        <f>IFERROR(__xludf.DUMMYFUNCTION("""COMPUTED_VALUE"""),536.0)</f>
        <v>536</v>
      </c>
      <c r="D4" s="21">
        <f>IFERROR(__xludf.DUMMYFUNCTION("""COMPUTED_VALUE"""),38.58064516129065)</f>
        <v>38.58064516</v>
      </c>
      <c r="E4" s="22">
        <f>IFERROR(__xludf.DUMMYFUNCTION("""COMPUTED_VALUE"""),0.07756160830090862)</f>
        <v>0.0775616083</v>
      </c>
      <c r="F4" s="23">
        <f>IFERROR(__xludf.DUMMYFUNCTION("""COMPUTED_VALUE"""),0.6293553918193087)</f>
        <v>0.6293553918</v>
      </c>
      <c r="G4" s="23">
        <f>IFERROR(__xludf.DUMMYFUNCTION("""COMPUTED_VALUE"""),0.6343283582089553)</f>
        <v>0.6343283582</v>
      </c>
      <c r="H4" s="24">
        <f>IFERROR(__xludf.DUMMYFUNCTION("""COMPUTED_VALUE"""),0.4972966389646616)</f>
        <v>0.497296639</v>
      </c>
      <c r="I4" s="19">
        <f>IFERROR(__xludf.DUMMYFUNCTION("""COMPUTED_VALUE"""),313.05355296302366)</f>
        <v>313.053553</v>
      </c>
      <c r="J4" s="20">
        <f>IFERROR(__xludf.DUMMYFUNCTION("""COMPUTED_VALUE"""),340.0)</f>
        <v>340</v>
      </c>
      <c r="K4" s="21">
        <f>IFERROR(__xludf.DUMMYFUNCTION("""COMPUTED_VALUE"""),26.946447036976338)</f>
        <v>26.94644704</v>
      </c>
      <c r="L4" s="22">
        <f>IFERROR(__xludf.DUMMYFUNCTION("""COMPUTED_VALUE"""),0.08607615783922797)</f>
        <v>0.08607615784</v>
      </c>
      <c r="M4" s="25">
        <f>IFERROR(__xludf.DUMMYFUNCTION("""COMPUTED_VALUE"""),0.42)</f>
        <v>0.42</v>
      </c>
      <c r="N4" s="23">
        <f>IFERROR(__xludf.DUMMYFUNCTION("""COMPUTED_VALUE"""),0.45588235294117646)</f>
        <v>0.4558823529</v>
      </c>
      <c r="O4" s="26">
        <f>IFERROR(__xludf.DUMMYFUNCTION("""COMPUTED_VALUE"""),3.5882352941176476)</f>
        <v>3.588235294</v>
      </c>
      <c r="P4" s="19">
        <f>IFERROR(__xludf.DUMMYFUNCTION("""COMPUTED_VALUE"""),129.07197988665476)</f>
        <v>129.0719799</v>
      </c>
      <c r="Q4" s="20">
        <f>IFERROR(__xludf.DUMMYFUNCTION("""COMPUTED_VALUE"""),155.0)</f>
        <v>155</v>
      </c>
      <c r="R4" s="21">
        <f>IFERROR(__xludf.DUMMYFUNCTION("""COMPUTED_VALUE"""),25.92802011334524)</f>
        <v>25.92802011</v>
      </c>
      <c r="S4" s="27">
        <f>IFERROR(__xludf.DUMMYFUNCTION("""COMPUTED_VALUE"""),0.2008803160539884)</f>
        <v>0.2008803161</v>
      </c>
      <c r="T4" s="23">
        <f>IFERROR(__xludf.DUMMYFUNCTION("""COMPUTED_VALUE"""),0.29)</f>
        <v>0.29</v>
      </c>
      <c r="U4" s="23">
        <f>IFERROR(__xludf.DUMMYFUNCTION("""COMPUTED_VALUE"""),0.17419354838709677)</f>
        <v>0.1741935484</v>
      </c>
      <c r="V4" s="24">
        <f>IFERROR(__xludf.DUMMYFUNCTION("""COMPUTED_VALUE"""),-11.58064516129032)</f>
        <v>-11.58064516</v>
      </c>
      <c r="W4" s="19">
        <f>IFERROR(__xludf.DUMMYFUNCTION("""COMPUTED_VALUE"""),37.43087416712988)</f>
        <v>37.43087417</v>
      </c>
      <c r="X4" s="20">
        <f>IFERROR(__xludf.DUMMYFUNCTION("""COMPUTED_VALUE"""),27.0)</f>
        <v>27</v>
      </c>
      <c r="Y4" s="21">
        <f>IFERROR(__xludf.DUMMYFUNCTION("""COMPUTED_VALUE"""),-10.430874167129879)</f>
        <v>-10.43087417</v>
      </c>
      <c r="Z4" s="28">
        <f>IFERROR(__xludf.DUMMYFUNCTION("""COMPUTED_VALUE"""),-0.2786703329597845)</f>
        <v>-0.278670333</v>
      </c>
      <c r="AA4" s="19">
        <f>IFERROR(__xludf.DUMMYFUNCTION("""COMPUTED_VALUE"""),24000.0)</f>
        <v>24000</v>
      </c>
      <c r="AB4" s="20">
        <f>IFERROR(__xludf.DUMMYFUNCTION("""COMPUTED_VALUE"""),19838.825927734375)</f>
        <v>19838.82593</v>
      </c>
      <c r="AC4" s="21">
        <f>IFERROR(__xludf.DUMMYFUNCTION("""COMPUTED_VALUE"""),-4161.174072265625)</f>
        <v>-4161.174072</v>
      </c>
      <c r="AD4" s="28">
        <f>IFERROR(__xludf.DUMMYFUNCTION("""COMPUTED_VALUE"""),-0.17338225301106772)</f>
        <v>-0.173382253</v>
      </c>
      <c r="AE4" s="19">
        <f>IFERROR(__xludf.DUMMYFUNCTION("""COMPUTED_VALUE"""),885575.0818741167)</f>
        <v>885575.0819</v>
      </c>
      <c r="AF4" s="20">
        <f>IFERROR(__xludf.DUMMYFUNCTION("""COMPUTED_VALUE"""),535648.3000488281)</f>
        <v>535648.3</v>
      </c>
      <c r="AG4" s="21">
        <f>IFERROR(__xludf.DUMMYFUNCTION("""COMPUTED_VALUE"""),-349926.78182528855)</f>
        <v>-349926.7818</v>
      </c>
      <c r="AH4" s="29">
        <f>IFERROR(__xludf.DUMMYFUNCTION("""COMPUTED_VALUE"""),-0.3951407271811993)</f>
        <v>-0.3951407272</v>
      </c>
      <c r="AI4" s="30">
        <f>IFERROR(__xludf.DUMMYFUNCTION("""COMPUTED_VALUE"""),78769.85397848922)</f>
        <v>78769.85398</v>
      </c>
      <c r="AJ4" s="30">
        <f>IFERROR(__xludf.DUMMYFUNCTION("""COMPUTED_VALUE"""),-458239.69995117164)</f>
        <v>-458239.7</v>
      </c>
      <c r="AK4" s="4">
        <f>IFERROR(__xludf.DUMMYFUNCTION("""COMPUTED_VALUE"""),6959.999999999999)</f>
        <v>6960</v>
      </c>
      <c r="AL4" s="31">
        <f>IFERROR(__xludf.DUMMYFUNCTION("""COMPUTED_VALUE"""),3455.795484185988)</f>
        <v>3455.795484</v>
      </c>
      <c r="AM4" s="30">
        <f t="shared" si="1"/>
        <v>-3504.204516</v>
      </c>
      <c r="AN4" s="32">
        <f t="shared" si="2"/>
        <v>-0.5034776603</v>
      </c>
      <c r="AO4" s="10">
        <f t="shared" si="3"/>
        <v>84912</v>
      </c>
      <c r="AP4" s="10">
        <f t="shared" si="4"/>
        <v>-543151.7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Chat")</f>
        <v>[IM] Chat</v>
      </c>
      <c r="B5" s="19">
        <f>IFERROR(__xludf.DUMMYFUNCTION("""COMPUTED_VALUE"""),754.8387096774188)</f>
        <v>754.8387097</v>
      </c>
      <c r="C5" s="20">
        <f>IFERROR(__xludf.DUMMYFUNCTION("""COMPUTED_VALUE"""),826.0)</f>
        <v>826</v>
      </c>
      <c r="D5" s="21">
        <f>IFERROR(__xludf.DUMMYFUNCTION("""COMPUTED_VALUE"""),71.16129032258118)</f>
        <v>71.16129032</v>
      </c>
      <c r="E5" s="22">
        <f>IFERROR(__xludf.DUMMYFUNCTION("""COMPUTED_VALUE"""),0.09427350427350505)</f>
        <v>0.09427350427</v>
      </c>
      <c r="F5" s="23">
        <f>IFERROR(__xludf.DUMMYFUNCTION("""COMPUTED_VALUE"""),0.8603277999463558)</f>
        <v>0.8603277999</v>
      </c>
      <c r="G5" s="23">
        <f>IFERROR(__xludf.DUMMYFUNCTION("""COMPUTED_VALUE"""),0.7857142857142857)</f>
        <v>0.7857142857</v>
      </c>
      <c r="H5" s="24">
        <f>IFERROR(__xludf.DUMMYFUNCTION("""COMPUTED_VALUE"""),-7.461351423207008)</f>
        <v>-7.461351423</v>
      </c>
      <c r="I5" s="19">
        <f>IFERROR(__xludf.DUMMYFUNCTION("""COMPUTED_VALUE"""),649.4087264111197)</f>
        <v>649.4087264</v>
      </c>
      <c r="J5" s="20">
        <f>IFERROR(__xludf.DUMMYFUNCTION("""COMPUTED_VALUE"""),649.0)</f>
        <v>649</v>
      </c>
      <c r="K5" s="21">
        <f>IFERROR(__xludf.DUMMYFUNCTION("""COMPUTED_VALUE"""),-0.4087264111196873)</f>
        <v>-0.4087264111</v>
      </c>
      <c r="L5" s="22">
        <f>IFERROR(__xludf.DUMMYFUNCTION("""COMPUTED_VALUE"""),-6.293823819991846E-4)</f>
        <v>-0.000629382382</v>
      </c>
      <c r="M5" s="25">
        <f>IFERROR(__xludf.DUMMYFUNCTION("""COMPUTED_VALUE"""),0.28)</f>
        <v>0.28</v>
      </c>
      <c r="N5" s="23">
        <f>IFERROR(__xludf.DUMMYFUNCTION("""COMPUTED_VALUE"""),0.30970724191063176)</f>
        <v>0.3097072419</v>
      </c>
      <c r="O5" s="26">
        <f>IFERROR(__xludf.DUMMYFUNCTION("""COMPUTED_VALUE"""),2.970724191063173)</f>
        <v>2.970724191</v>
      </c>
      <c r="P5" s="19">
        <f>IFERROR(__xludf.DUMMYFUNCTION("""COMPUTED_VALUE"""),178.50081193286996)</f>
        <v>178.5008119</v>
      </c>
      <c r="Q5" s="20">
        <f>IFERROR(__xludf.DUMMYFUNCTION("""COMPUTED_VALUE"""),201.0)</f>
        <v>201</v>
      </c>
      <c r="R5" s="21">
        <f>IFERROR(__xludf.DUMMYFUNCTION("""COMPUTED_VALUE"""),22.499188067130035)</f>
        <v>22.49918807</v>
      </c>
      <c r="S5" s="27">
        <f>IFERROR(__xludf.DUMMYFUNCTION("""COMPUTED_VALUE"""),0.12604529818940802)</f>
        <v>0.1260452982</v>
      </c>
      <c r="T5" s="23">
        <f>IFERROR(__xludf.DUMMYFUNCTION("""COMPUTED_VALUE"""),0.19)</f>
        <v>0.19</v>
      </c>
      <c r="U5" s="23">
        <f>IFERROR(__xludf.DUMMYFUNCTION("""COMPUTED_VALUE"""),0.12935323383084577)</f>
        <v>0.1293532338</v>
      </c>
      <c r="V5" s="24">
        <f>IFERROR(__xludf.DUMMYFUNCTION("""COMPUTED_VALUE"""),-6.064676616915424)</f>
        <v>-6.064676617</v>
      </c>
      <c r="W5" s="19">
        <f>IFERROR(__xludf.DUMMYFUNCTION("""COMPUTED_VALUE"""),33.9151542672453)</f>
        <v>33.91515427</v>
      </c>
      <c r="X5" s="20">
        <f>IFERROR(__xludf.DUMMYFUNCTION("""COMPUTED_VALUE"""),26.0)</f>
        <v>26</v>
      </c>
      <c r="Y5" s="21">
        <f>IFERROR(__xludf.DUMMYFUNCTION("""COMPUTED_VALUE"""),-7.915154267245299)</f>
        <v>-7.915154267</v>
      </c>
      <c r="Z5" s="28">
        <f>IFERROR(__xludf.DUMMYFUNCTION("""COMPUTED_VALUE"""),-0.23338104862726883)</f>
        <v>-0.2333810486</v>
      </c>
      <c r="AA5" s="19">
        <f>IFERROR(__xludf.DUMMYFUNCTION("""COMPUTED_VALUE"""),26000.0)</f>
        <v>26000</v>
      </c>
      <c r="AB5" s="20">
        <f>IFERROR(__xludf.DUMMYFUNCTION("""COMPUTED_VALUE"""),19692.284611628605)</f>
        <v>19692.28461</v>
      </c>
      <c r="AC5" s="21">
        <f>IFERROR(__xludf.DUMMYFUNCTION("""COMPUTED_VALUE"""),-6307.7153883713945)</f>
        <v>-6307.715388</v>
      </c>
      <c r="AD5" s="28">
        <f>IFERROR(__xludf.DUMMYFUNCTION("""COMPUTED_VALUE"""),-0.2426044380142844)</f>
        <v>-0.242604438</v>
      </c>
      <c r="AE5" s="19">
        <f>IFERROR(__xludf.DUMMYFUNCTION("""COMPUTED_VALUE"""),869263.2539506899)</f>
        <v>869263.254</v>
      </c>
      <c r="AF5" s="20">
        <f>IFERROR(__xludf.DUMMYFUNCTION("""COMPUTED_VALUE"""),511999.39990234375)</f>
        <v>511999.3999</v>
      </c>
      <c r="AG5" s="21">
        <f>IFERROR(__xludf.DUMMYFUNCTION("""COMPUTED_VALUE"""),-357263.85404834617)</f>
        <v>-357263.854</v>
      </c>
      <c r="AH5" s="29">
        <f>IFERROR(__xludf.DUMMYFUNCTION("""COMPUTED_VALUE"""),-0.4109961538401949)</f>
        <v>-0.4109961538</v>
      </c>
      <c r="AI5" s="30">
        <f>IFERROR(__xludf.DUMMYFUNCTION("""COMPUTED_VALUE"""),-565.3503718607516)</f>
        <v>-565.3503719</v>
      </c>
      <c r="AJ5" s="30">
        <f>IFERROR(__xludf.DUMMYFUNCTION("""COMPUTED_VALUE"""),-385697.4000976564)</f>
        <v>-385697.4001</v>
      </c>
      <c r="AK5" s="4">
        <f>IFERROR(__xludf.DUMMYFUNCTION("""COMPUTED_VALUE"""),4940.0)</f>
        <v>4940</v>
      </c>
      <c r="AL5" s="31">
        <f>IFERROR(__xludf.DUMMYFUNCTION("""COMPUTED_VALUE"""),2547.260696031561)</f>
        <v>2547.260696</v>
      </c>
      <c r="AM5" s="30">
        <f t="shared" si="1"/>
        <v>-2392.739304</v>
      </c>
      <c r="AN5" s="32">
        <f t="shared" si="2"/>
        <v>-0.484360183</v>
      </c>
      <c r="AO5" s="10">
        <f t="shared" si="3"/>
        <v>95243.2</v>
      </c>
      <c r="AP5" s="10">
        <f t="shared" si="4"/>
        <v>-480940.6001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Outros")</f>
        <v>[SKL] Outros</v>
      </c>
      <c r="B6" s="19">
        <f>IFERROR(__xludf.DUMMYFUNCTION("""COMPUTED_VALUE"""),470.322580645161)</f>
        <v>470.3225806</v>
      </c>
      <c r="C6" s="20">
        <f>IFERROR(__xludf.DUMMYFUNCTION("""COMPUTED_VALUE"""),466.0)</f>
        <v>466</v>
      </c>
      <c r="D6" s="21">
        <f>IFERROR(__xludf.DUMMYFUNCTION("""COMPUTED_VALUE"""),-4.322580645160997)</f>
        <v>-4.322580645</v>
      </c>
      <c r="E6" s="22">
        <f>IFERROR(__xludf.DUMMYFUNCTION("""COMPUTED_VALUE"""),-0.009190672153634498)</f>
        <v>-0.009190672154</v>
      </c>
      <c r="F6" s="23">
        <f>IFERROR(__xludf.DUMMYFUNCTION("""COMPUTED_VALUE"""),0.8792878400149675)</f>
        <v>0.87928784</v>
      </c>
      <c r="G6" s="23">
        <f>IFERROR(__xludf.DUMMYFUNCTION("""COMPUTED_VALUE"""),0.8884120171673819)</f>
        <v>0.8884120172</v>
      </c>
      <c r="H6" s="24">
        <f>IFERROR(__xludf.DUMMYFUNCTION("""COMPUTED_VALUE"""),0.9124177152414426)</f>
        <v>0.9124177152</v>
      </c>
      <c r="I6" s="19">
        <f>IFERROR(__xludf.DUMMYFUNCTION("""COMPUTED_VALUE"""),413.54892604574894)</f>
        <v>413.548926</v>
      </c>
      <c r="J6" s="20">
        <f>IFERROR(__xludf.DUMMYFUNCTION("""COMPUTED_VALUE"""),414.0)</f>
        <v>414</v>
      </c>
      <c r="K6" s="21">
        <f>IFERROR(__xludf.DUMMYFUNCTION("""COMPUTED_VALUE"""),0.4510739542510578)</f>
        <v>0.4510739543</v>
      </c>
      <c r="L6" s="22">
        <f>IFERROR(__xludf.DUMMYFUNCTION("""COMPUTED_VALUE"""),0.001090739029512454)</f>
        <v>0.00109073903</v>
      </c>
      <c r="M6" s="25">
        <f>IFERROR(__xludf.DUMMYFUNCTION("""COMPUTED_VALUE"""),0.25)</f>
        <v>0.25</v>
      </c>
      <c r="N6" s="23">
        <f>IFERROR(__xludf.DUMMYFUNCTION("""COMPUTED_VALUE"""),0.12077294685990338)</f>
        <v>0.1207729469</v>
      </c>
      <c r="O6" s="26">
        <f>IFERROR(__xludf.DUMMYFUNCTION("""COMPUTED_VALUE"""),-12.922705314009663)</f>
        <v>-12.92270531</v>
      </c>
      <c r="P6" s="19">
        <f>IFERROR(__xludf.DUMMYFUNCTION("""COMPUTED_VALUE"""),101.49179893372765)</f>
        <v>101.4917989</v>
      </c>
      <c r="Q6" s="20">
        <f>IFERROR(__xludf.DUMMYFUNCTION("""COMPUTED_VALUE"""),50.0)</f>
        <v>50</v>
      </c>
      <c r="R6" s="21">
        <f>IFERROR(__xludf.DUMMYFUNCTION("""COMPUTED_VALUE"""),-51.49179893372765)</f>
        <v>-51.49179893</v>
      </c>
      <c r="S6" s="27">
        <f>IFERROR(__xludf.DUMMYFUNCTION("""COMPUTED_VALUE"""),-0.5073493570386991)</f>
        <v>-0.507349357</v>
      </c>
      <c r="T6" s="23">
        <f>IFERROR(__xludf.DUMMYFUNCTION("""COMPUTED_VALUE"""),0.3)</f>
        <v>0.3</v>
      </c>
      <c r="U6" s="23">
        <f>IFERROR(__xludf.DUMMYFUNCTION("""COMPUTED_VALUE"""),0.18)</f>
        <v>0.18</v>
      </c>
      <c r="V6" s="24">
        <f>IFERROR(__xludf.DUMMYFUNCTION("""COMPUTED_VALUE"""),-12.0)</f>
        <v>-12</v>
      </c>
      <c r="W6" s="19">
        <f>IFERROR(__xludf.DUMMYFUNCTION("""COMPUTED_VALUE"""),30.447539680118293)</f>
        <v>30.44753968</v>
      </c>
      <c r="X6" s="20">
        <f>IFERROR(__xludf.DUMMYFUNCTION("""COMPUTED_VALUE"""),9.0)</f>
        <v>9</v>
      </c>
      <c r="Y6" s="21">
        <f>IFERROR(__xludf.DUMMYFUNCTION("""COMPUTED_VALUE"""),-21.447539680118293)</f>
        <v>-21.44753968</v>
      </c>
      <c r="Z6" s="28">
        <f>IFERROR(__xludf.DUMMYFUNCTION("""COMPUTED_VALUE"""),-0.7044096142232195)</f>
        <v>-0.7044096142</v>
      </c>
      <c r="AA6" s="19">
        <f>IFERROR(__xludf.DUMMYFUNCTION("""COMPUTED_VALUE"""),23000.0)</f>
        <v>23000</v>
      </c>
      <c r="AB6" s="20">
        <f>IFERROR(__xludf.DUMMYFUNCTION("""COMPUTED_VALUE"""),27774.777777777777)</f>
        <v>27774.77778</v>
      </c>
      <c r="AC6" s="21">
        <f>IFERROR(__xludf.DUMMYFUNCTION("""COMPUTED_VALUE"""),4774.777777777777)</f>
        <v>4774.777778</v>
      </c>
      <c r="AD6" s="28">
        <f>IFERROR(__xludf.DUMMYFUNCTION("""COMPUTED_VALUE"""),0.2075990338164251)</f>
        <v>0.2075990338</v>
      </c>
      <c r="AE6" s="19">
        <f>IFERROR(__xludf.DUMMYFUNCTION("""COMPUTED_VALUE"""),690341.8746735872)</f>
        <v>690341.8747</v>
      </c>
      <c r="AF6" s="20">
        <f>IFERROR(__xludf.DUMMYFUNCTION("""COMPUTED_VALUE"""),249973.0)</f>
        <v>249973</v>
      </c>
      <c r="AG6" s="21">
        <f>IFERROR(__xludf.DUMMYFUNCTION("""COMPUTED_VALUE"""),-440368.87467358715)</f>
        <v>-440368.8747</v>
      </c>
      <c r="AH6" s="29">
        <f>IFERROR(__xludf.DUMMYFUNCTION("""COMPUTED_VALUE"""),-0.6378996998868217)</f>
        <v>-0.6378996999</v>
      </c>
      <c r="AI6" s="30">
        <f>IFERROR(__xludf.DUMMYFUNCTION("""COMPUTED_VALUE"""),778.1025710830746)</f>
        <v>778.1025711</v>
      </c>
      <c r="AJ6" s="30">
        <f>IFERROR(__xludf.DUMMYFUNCTION("""COMPUTED_VALUE"""),-464176.9999999999)</f>
        <v>-464177</v>
      </c>
      <c r="AK6" s="4">
        <f>IFERROR(__xludf.DUMMYFUNCTION("""COMPUTED_VALUE"""),6899.999999999999)</f>
        <v>6900</v>
      </c>
      <c r="AL6" s="31">
        <f>IFERROR(__xludf.DUMMYFUNCTION("""COMPUTED_VALUE"""),4999.46)</f>
        <v>4999.46</v>
      </c>
      <c r="AM6" s="30">
        <f t="shared" si="1"/>
        <v>-1900.54</v>
      </c>
      <c r="AN6" s="32">
        <f t="shared" si="2"/>
        <v>-0.2754405797</v>
      </c>
      <c r="AO6" s="10">
        <f t="shared" si="3"/>
        <v>-369150</v>
      </c>
      <c r="AP6" s="10">
        <f t="shared" si="4"/>
        <v>-95027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IFERROR(__xludf.DUMMYFUNCTION("""COMPUTED_VALUE"""),"Form G4 Instagram Outros")</f>
        <v>Form G4 Instagram Outros</v>
      </c>
      <c r="B7" s="19">
        <f>IFERROR(__xludf.DUMMYFUNCTION("""COMPUTED_VALUE"""),387.09677419354813)</f>
        <v>387.0967742</v>
      </c>
      <c r="C7" s="20">
        <f>IFERROR(__xludf.DUMMYFUNCTION("""COMPUTED_VALUE"""),418.0)</f>
        <v>418</v>
      </c>
      <c r="D7" s="21">
        <f>IFERROR(__xludf.DUMMYFUNCTION("""COMPUTED_VALUE"""),30.90322580645187)</f>
        <v>30.90322581</v>
      </c>
      <c r="E7" s="22">
        <f>IFERROR(__xludf.DUMMYFUNCTION("""COMPUTED_VALUE"""),0.07983333333333406)</f>
        <v>0.07983333333</v>
      </c>
      <c r="F7" s="23">
        <f>IFERROR(__xludf.DUMMYFUNCTION("""COMPUTED_VALUE"""),0.820698804996366)</f>
        <v>0.820698805</v>
      </c>
      <c r="G7" s="23">
        <f>IFERROR(__xludf.DUMMYFUNCTION("""COMPUTED_VALUE"""),0.8660287081339713)</f>
        <v>0.8660287081</v>
      </c>
      <c r="H7" s="24">
        <f>IFERROR(__xludf.DUMMYFUNCTION("""COMPUTED_VALUE"""),4.532990313760521)</f>
        <v>4.532990314</v>
      </c>
      <c r="I7" s="19">
        <f>IFERROR(__xludf.DUMMYFUNCTION("""COMPUTED_VALUE"""),317.68985999859314)</f>
        <v>317.68986</v>
      </c>
      <c r="J7" s="20">
        <f>IFERROR(__xludf.DUMMYFUNCTION("""COMPUTED_VALUE"""),362.0)</f>
        <v>362</v>
      </c>
      <c r="K7" s="21">
        <f>IFERROR(__xludf.DUMMYFUNCTION("""COMPUTED_VALUE"""),44.310140001406864)</f>
        <v>44.31014</v>
      </c>
      <c r="L7" s="22">
        <f>IFERROR(__xludf.DUMMYFUNCTION("""COMPUTED_VALUE"""),0.13947609156176116)</f>
        <v>0.1394760916</v>
      </c>
      <c r="M7" s="25">
        <f>IFERROR(__xludf.DUMMYFUNCTION("""COMPUTED_VALUE"""),0.31)</f>
        <v>0.31</v>
      </c>
      <c r="N7" s="23">
        <f>IFERROR(__xludf.DUMMYFUNCTION("""COMPUTED_VALUE"""),0.3287292817679558)</f>
        <v>0.3287292818</v>
      </c>
      <c r="O7" s="26">
        <f>IFERROR(__xludf.DUMMYFUNCTION("""COMPUTED_VALUE"""),1.8729281767955797)</f>
        <v>1.872928177</v>
      </c>
      <c r="P7" s="19">
        <f>IFERROR(__xludf.DUMMYFUNCTION("""COMPUTED_VALUE"""),96.67831922857195)</f>
        <v>96.67831923</v>
      </c>
      <c r="Q7" s="20">
        <f>IFERROR(__xludf.DUMMYFUNCTION("""COMPUTED_VALUE"""),119.0)</f>
        <v>119</v>
      </c>
      <c r="R7" s="21">
        <f>IFERROR(__xludf.DUMMYFUNCTION("""COMPUTED_VALUE"""),22.32168077142805)</f>
        <v>22.32168077</v>
      </c>
      <c r="S7" s="27">
        <f>IFERROR(__xludf.DUMMYFUNCTION("""COMPUTED_VALUE"""),0.23088610713901594)</f>
        <v>0.2308861071</v>
      </c>
      <c r="T7" s="23">
        <f>IFERROR(__xludf.DUMMYFUNCTION("""COMPUTED_VALUE"""),0.24)</f>
        <v>0.24</v>
      </c>
      <c r="U7" s="23">
        <f>IFERROR(__xludf.DUMMYFUNCTION("""COMPUTED_VALUE"""),0.12605042016806722)</f>
        <v>0.1260504202</v>
      </c>
      <c r="V7" s="24">
        <f>IFERROR(__xludf.DUMMYFUNCTION("""COMPUTED_VALUE"""),-11.394957983193276)</f>
        <v>-11.39495798</v>
      </c>
      <c r="W7" s="19">
        <f>IFERROR(__xludf.DUMMYFUNCTION("""COMPUTED_VALUE"""),23.20279661485727)</f>
        <v>23.20279661</v>
      </c>
      <c r="X7" s="20">
        <f>IFERROR(__xludf.DUMMYFUNCTION("""COMPUTED_VALUE"""),15.0)</f>
        <v>15</v>
      </c>
      <c r="Y7" s="21">
        <f>IFERROR(__xludf.DUMMYFUNCTION("""COMPUTED_VALUE"""),-8.20279661485727)</f>
        <v>-8.202796615</v>
      </c>
      <c r="Z7" s="28">
        <f>IFERROR(__xludf.DUMMYFUNCTION("""COMPUTED_VALUE"""),-0.3535262042337102)</f>
        <v>-0.3535262042</v>
      </c>
      <c r="AA7" s="19">
        <f>IFERROR(__xludf.DUMMYFUNCTION("""COMPUTED_VALUE"""),25500.0)</f>
        <v>25500</v>
      </c>
      <c r="AB7" s="20">
        <f>IFERROR(__xludf.DUMMYFUNCTION("""COMPUTED_VALUE"""),31016.8)</f>
        <v>31016.8</v>
      </c>
      <c r="AC7" s="21">
        <f>IFERROR(__xludf.DUMMYFUNCTION("""COMPUTED_VALUE"""),5516.799999999999)</f>
        <v>5516.8</v>
      </c>
      <c r="AD7" s="28">
        <f>IFERROR(__xludf.DUMMYFUNCTION("""COMPUTED_VALUE"""),0.21634509803921564)</f>
        <v>0.216345098</v>
      </c>
      <c r="AE7" s="19">
        <f>IFERROR(__xludf.DUMMYFUNCTION("""COMPUTED_VALUE"""),583263.3529055291)</f>
        <v>583263.3529</v>
      </c>
      <c r="AF7" s="20">
        <f>IFERROR(__xludf.DUMMYFUNCTION("""COMPUTED_VALUE"""),465252.0)</f>
        <v>465252</v>
      </c>
      <c r="AG7" s="21">
        <f>IFERROR(__xludf.DUMMYFUNCTION("""COMPUTED_VALUE"""),-118011.35290552909)</f>
        <v>-118011.3529</v>
      </c>
      <c r="AH7" s="29">
        <f>IFERROR(__xludf.DUMMYFUNCTION("""COMPUTED_VALUE"""),-0.20232944915475143)</f>
        <v>-0.2023294492</v>
      </c>
      <c r="AI7" s="30">
        <f>IFERROR(__xludf.DUMMYFUNCTION("""COMPUTED_VALUE"""),84065.1976106691)</f>
        <v>84065.19761</v>
      </c>
      <c r="AJ7" s="30">
        <f>IFERROR(__xludf.DUMMYFUNCTION("""COMPUTED_VALUE"""),-221534.40000000005)</f>
        <v>-221534.4</v>
      </c>
      <c r="AK7" s="4">
        <f>IFERROR(__xludf.DUMMYFUNCTION("""COMPUTED_VALUE"""),6120.000000000001)</f>
        <v>6120</v>
      </c>
      <c r="AL7" s="31">
        <f>IFERROR(__xludf.DUMMYFUNCTION("""COMPUTED_VALUE"""),3909.6806722689075)</f>
        <v>3909.680672</v>
      </c>
      <c r="AM7" s="30">
        <f t="shared" si="1"/>
        <v>-2210.319328</v>
      </c>
      <c r="AN7" s="32">
        <f t="shared" si="2"/>
        <v>-0.3611632888</v>
      </c>
      <c r="AO7" s="10">
        <f t="shared" si="3"/>
        <v>41493.6</v>
      </c>
      <c r="AP7" s="10">
        <f t="shared" si="4"/>
        <v>-263028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IFERROR(__xludf.DUMMYFUNCTION("""COMPUTED_VALUE"""),"[IM] Social DM")</f>
        <v>[IM] Social DM</v>
      </c>
      <c r="B8" s="19">
        <f>IFERROR(__xludf.DUMMYFUNCTION("""COMPUTED_VALUE"""),96.77419354838703)</f>
        <v>96.77419355</v>
      </c>
      <c r="C8" s="20">
        <f>IFERROR(__xludf.DUMMYFUNCTION("""COMPUTED_VALUE"""),122.0)</f>
        <v>122</v>
      </c>
      <c r="D8" s="21">
        <f>IFERROR(__xludf.DUMMYFUNCTION("""COMPUTED_VALUE"""),25.225806451612968)</f>
        <v>25.22580645</v>
      </c>
      <c r="E8" s="22">
        <f>IFERROR(__xludf.DUMMYFUNCTION("""COMPUTED_VALUE"""),0.2606666666666675)</f>
        <v>0.2606666667</v>
      </c>
      <c r="F8" s="23">
        <f>IFERROR(__xludf.DUMMYFUNCTION("""COMPUTED_VALUE"""),0.9940958605664488)</f>
        <v>0.9940958606</v>
      </c>
      <c r="G8" s="23">
        <f>IFERROR(__xludf.DUMMYFUNCTION("""COMPUTED_VALUE"""),0.9836065573770492)</f>
        <v>0.9836065574</v>
      </c>
      <c r="H8" s="24">
        <f>IFERROR(__xludf.DUMMYFUNCTION("""COMPUTED_VALUE"""),-1.0489303189399668)</f>
        <v>-1.048930319</v>
      </c>
      <c r="I8" s="19">
        <f>IFERROR(__xludf.DUMMYFUNCTION("""COMPUTED_VALUE"""),96.20282521610788)</f>
        <v>96.20282522</v>
      </c>
      <c r="J8" s="20">
        <f>IFERROR(__xludf.DUMMYFUNCTION("""COMPUTED_VALUE"""),120.0)</f>
        <v>120</v>
      </c>
      <c r="K8" s="21">
        <f>IFERROR(__xludf.DUMMYFUNCTION("""COMPUTED_VALUE"""),23.797174783892117)</f>
        <v>23.79717478</v>
      </c>
      <c r="L8" s="22">
        <f>IFERROR(__xludf.DUMMYFUNCTION("""COMPUTED_VALUE"""),0.247364614609131)</f>
        <v>0.2473646146</v>
      </c>
      <c r="M8" s="25">
        <f>IFERROR(__xludf.DUMMYFUNCTION("""COMPUTED_VALUE"""),0.47)</f>
        <v>0.47</v>
      </c>
      <c r="N8" s="23">
        <f>IFERROR(__xludf.DUMMYFUNCTION("""COMPUTED_VALUE"""),0.4166666666666667)</f>
        <v>0.4166666667</v>
      </c>
      <c r="O8" s="26">
        <f>IFERROR(__xludf.DUMMYFUNCTION("""COMPUTED_VALUE"""),-5.333333333333329)</f>
        <v>-5.333333333</v>
      </c>
      <c r="P8" s="19">
        <f>IFERROR(__xludf.DUMMYFUNCTION("""COMPUTED_VALUE"""),44.38638017429196)</f>
        <v>44.38638017</v>
      </c>
      <c r="Q8" s="20">
        <f>IFERROR(__xludf.DUMMYFUNCTION("""COMPUTED_VALUE"""),50.0)</f>
        <v>50</v>
      </c>
      <c r="R8" s="21">
        <f>IFERROR(__xludf.DUMMYFUNCTION("""COMPUTED_VALUE"""),5.613619825708042)</f>
        <v>5.613619826</v>
      </c>
      <c r="S8" s="27">
        <f>IFERROR(__xludf.DUMMYFUNCTION("""COMPUTED_VALUE"""),0.12647167450161617)</f>
        <v>0.1264716745</v>
      </c>
      <c r="T8" s="23">
        <f>IFERROR(__xludf.DUMMYFUNCTION("""COMPUTED_VALUE"""),0.34)</f>
        <v>0.34</v>
      </c>
      <c r="U8" s="23">
        <f>IFERROR(__xludf.DUMMYFUNCTION("""COMPUTED_VALUE"""),0.26)</f>
        <v>0.26</v>
      </c>
      <c r="V8" s="24">
        <f>IFERROR(__xludf.DUMMYFUNCTION("""COMPUTED_VALUE"""),-8.000000000000002)</f>
        <v>-8</v>
      </c>
      <c r="W8" s="19">
        <f>IFERROR(__xludf.DUMMYFUNCTION("""COMPUTED_VALUE"""),15.091369259259267)</f>
        <v>15.09136926</v>
      </c>
      <c r="X8" s="20">
        <f>IFERROR(__xludf.DUMMYFUNCTION("""COMPUTED_VALUE"""),13.0)</f>
        <v>13</v>
      </c>
      <c r="Y8" s="21">
        <f>IFERROR(__xludf.DUMMYFUNCTION("""COMPUTED_VALUE"""),-2.0913692592592668)</f>
        <v>-2.091369259</v>
      </c>
      <c r="Z8" s="28">
        <f>IFERROR(__xludf.DUMMYFUNCTION("""COMPUTED_VALUE"""),-0.13858048420464653)</f>
        <v>-0.1385804842</v>
      </c>
      <c r="AA8" s="19">
        <f>IFERROR(__xludf.DUMMYFUNCTION("""COMPUTED_VALUE"""),32000.0)</f>
        <v>32000</v>
      </c>
      <c r="AB8" s="20">
        <f>IFERROR(__xludf.DUMMYFUNCTION("""COMPUTED_VALUE"""),15555.665386493389)</f>
        <v>15555.66539</v>
      </c>
      <c r="AC8" s="21">
        <f>IFERROR(__xludf.DUMMYFUNCTION("""COMPUTED_VALUE"""),-16444.33461350661)</f>
        <v>-16444.33461</v>
      </c>
      <c r="AD8" s="28">
        <f>IFERROR(__xludf.DUMMYFUNCTION("""COMPUTED_VALUE"""),-0.5138854566720815)</f>
        <v>-0.5138854567</v>
      </c>
      <c r="AE8" s="19">
        <f>IFERROR(__xludf.DUMMYFUNCTION("""COMPUTED_VALUE"""),476061.2146962963)</f>
        <v>476061.2147</v>
      </c>
      <c r="AF8" s="20">
        <f>IFERROR(__xludf.DUMMYFUNCTION("""COMPUTED_VALUE"""),202223.65002441406)</f>
        <v>202223.65</v>
      </c>
      <c r="AG8" s="21">
        <f>IFERROR(__xludf.DUMMYFUNCTION("""COMPUTED_VALUE"""),-273837.56467188225)</f>
        <v>-273837.5647</v>
      </c>
      <c r="AH8" s="29">
        <f>IFERROR(__xludf.DUMMYFUNCTION("""COMPUTED_VALUE"""),-0.5752150274341865)</f>
        <v>-0.5752150274</v>
      </c>
      <c r="AI8" s="30">
        <f>IFERROR(__xludf.DUMMYFUNCTION("""COMPUTED_VALUE"""),121689.23297491074)</f>
        <v>121689.233</v>
      </c>
      <c r="AJ8" s="30">
        <f>IFERROR(__xludf.DUMMYFUNCTION("""COMPUTED_VALUE"""),-411408.349975586)</f>
        <v>-411408.35</v>
      </c>
      <c r="AK8" s="4">
        <f>IFERROR(__xludf.DUMMYFUNCTION("""COMPUTED_VALUE"""),10880.0)</f>
        <v>10880</v>
      </c>
      <c r="AL8" s="31">
        <f>IFERROR(__xludf.DUMMYFUNCTION("""COMPUTED_VALUE"""),4044.4730004882813)</f>
        <v>4044.473</v>
      </c>
      <c r="AM8" s="30">
        <f t="shared" si="1"/>
        <v>-6835.527</v>
      </c>
      <c r="AN8" s="32">
        <f t="shared" si="2"/>
        <v>-0.6282653492</v>
      </c>
      <c r="AO8" s="10">
        <f t="shared" si="3"/>
        <v>-69632</v>
      </c>
      <c r="AP8" s="10">
        <f t="shared" si="4"/>
        <v>-341776.35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Instagram Tallis")</f>
        <v>Form G4 Instagram Tallis</v>
      </c>
      <c r="B9" s="19">
        <f>IFERROR(__xludf.DUMMYFUNCTION("""COMPUTED_VALUE"""),338.7096774193546)</f>
        <v>338.7096774</v>
      </c>
      <c r="C9" s="20">
        <f>IFERROR(__xludf.DUMMYFUNCTION("""COMPUTED_VALUE"""),422.0)</f>
        <v>422</v>
      </c>
      <c r="D9" s="21">
        <f>IFERROR(__xludf.DUMMYFUNCTION("""COMPUTED_VALUE"""),83.29032258064541)</f>
        <v>83.29032258</v>
      </c>
      <c r="E9" s="22">
        <f>IFERROR(__xludf.DUMMYFUNCTION("""COMPUTED_VALUE"""),0.24590476190476282)</f>
        <v>0.2459047619</v>
      </c>
      <c r="F9" s="23">
        <f>IFERROR(__xludf.DUMMYFUNCTION("""COMPUTED_VALUE"""),0.8420724459024018)</f>
        <v>0.8420724459</v>
      </c>
      <c r="G9" s="23">
        <f>IFERROR(__xludf.DUMMYFUNCTION("""COMPUTED_VALUE"""),0.8436018957345972)</f>
        <v>0.8436018957</v>
      </c>
      <c r="H9" s="24">
        <f>IFERROR(__xludf.DUMMYFUNCTION("""COMPUTED_VALUE"""),0.15294498321953842)</f>
        <v>0.1529449832</v>
      </c>
      <c r="I9" s="19">
        <f>IFERROR(__xludf.DUMMYFUNCTION("""COMPUTED_VALUE"""),285.21808651532945)</f>
        <v>285.2180865</v>
      </c>
      <c r="J9" s="20">
        <f>IFERROR(__xludf.DUMMYFUNCTION("""COMPUTED_VALUE"""),356.0)</f>
        <v>356</v>
      </c>
      <c r="K9" s="21">
        <f>IFERROR(__xludf.DUMMYFUNCTION("""COMPUTED_VALUE"""),70.78191348467055)</f>
        <v>70.78191348</v>
      </c>
      <c r="L9" s="22">
        <f>IFERROR(__xludf.DUMMYFUNCTION("""COMPUTED_VALUE"""),0.2481676893266244)</f>
        <v>0.2481676893</v>
      </c>
      <c r="M9" s="25">
        <f>IFERROR(__xludf.DUMMYFUNCTION("""COMPUTED_VALUE"""),0.34)</f>
        <v>0.34</v>
      </c>
      <c r="N9" s="23">
        <f>IFERROR(__xludf.DUMMYFUNCTION("""COMPUTED_VALUE"""),0.45224719101123595)</f>
        <v>0.452247191</v>
      </c>
      <c r="O9" s="26">
        <f>IFERROR(__xludf.DUMMYFUNCTION("""COMPUTED_VALUE"""),11.224719101123593)</f>
        <v>11.2247191</v>
      </c>
      <c r="P9" s="19">
        <f>IFERROR(__xludf.DUMMYFUNCTION("""COMPUTED_VALUE"""),95.19629000926656)</f>
        <v>95.19629001</v>
      </c>
      <c r="Q9" s="20">
        <f>IFERROR(__xludf.DUMMYFUNCTION("""COMPUTED_VALUE"""),161.0)</f>
        <v>161</v>
      </c>
      <c r="R9" s="21">
        <f>IFERROR(__xludf.DUMMYFUNCTION("""COMPUTED_VALUE"""),65.80370999073344)</f>
        <v>65.80370999</v>
      </c>
      <c r="S9" s="27">
        <f>IFERROR(__xludf.DUMMYFUNCTION("""COMPUTED_VALUE"""),0.6912423791339767)</f>
        <v>0.6912423791</v>
      </c>
      <c r="T9" s="23">
        <f>IFERROR(__xludf.DUMMYFUNCTION("""COMPUTED_VALUE"""),0.16)</f>
        <v>0.16</v>
      </c>
      <c r="U9" s="23">
        <f>IFERROR(__xludf.DUMMYFUNCTION("""COMPUTED_VALUE"""),0.19254658385093168)</f>
        <v>0.1925465839</v>
      </c>
      <c r="V9" s="24">
        <f>IFERROR(__xludf.DUMMYFUNCTION("""COMPUTED_VALUE"""),3.2546583850931676)</f>
        <v>3.254658385</v>
      </c>
      <c r="W9" s="19">
        <f>IFERROR(__xludf.DUMMYFUNCTION("""COMPUTED_VALUE"""),15.23140640148265)</f>
        <v>15.2314064</v>
      </c>
      <c r="X9" s="20">
        <f>IFERROR(__xludf.DUMMYFUNCTION("""COMPUTED_VALUE"""),31.0)</f>
        <v>31</v>
      </c>
      <c r="Y9" s="21">
        <f>IFERROR(__xludf.DUMMYFUNCTION("""COMPUTED_VALUE"""),15.76859359851735)</f>
        <v>15.7685936</v>
      </c>
      <c r="Z9" s="28">
        <f>IFERROR(__xludf.DUMMYFUNCTION("""COMPUTED_VALUE"""),1.035268391038559)</f>
        <v>1.035268391</v>
      </c>
      <c r="AA9" s="19">
        <f>IFERROR(__xludf.DUMMYFUNCTION("""COMPUTED_VALUE"""),26500.0)</f>
        <v>26500</v>
      </c>
      <c r="AB9" s="20">
        <f>IFERROR(__xludf.DUMMYFUNCTION("""COMPUTED_VALUE"""),36095.06451612903)</f>
        <v>36095.06452</v>
      </c>
      <c r="AC9" s="21">
        <f>IFERROR(__xludf.DUMMYFUNCTION("""COMPUTED_VALUE"""),9595.06451612903)</f>
        <v>9595.064516</v>
      </c>
      <c r="AD9" s="28">
        <f>IFERROR(__xludf.DUMMYFUNCTION("""COMPUTED_VALUE"""),0.36207790626902003)</f>
        <v>0.3620779063</v>
      </c>
      <c r="AE9" s="19">
        <f>IFERROR(__xludf.DUMMYFUNCTION("""COMPUTED_VALUE"""),397896.44264967914)</f>
        <v>397896.4426</v>
      </c>
      <c r="AF9" s="20">
        <f>IFERROR(__xludf.DUMMYFUNCTION("""COMPUTED_VALUE"""),1118947.0)</f>
        <v>1118947</v>
      </c>
      <c r="AG9" s="21">
        <f>IFERROR(__xludf.DUMMYFUNCTION("""COMPUTED_VALUE"""),721050.5573503209)</f>
        <v>721050.5574</v>
      </c>
      <c r="AH9" s="29">
        <f>IFERROR(__xludf.DUMMYFUNCTION("""COMPUTED_VALUE"""),1.8121563302971195)</f>
        <v>1.81215633</v>
      </c>
      <c r="AI9" s="30">
        <f>IFERROR(__xludf.DUMMYFUNCTION("""COMPUTED_VALUE"""),102039.20647950108)</f>
        <v>102039.2065</v>
      </c>
      <c r="AJ9" s="30">
        <f>IFERROR(__xludf.DUMMYFUNCTION("""COMPUTED_VALUE"""),605737.3999999999)</f>
        <v>605737.4</v>
      </c>
      <c r="AK9" s="4">
        <f>IFERROR(__xludf.DUMMYFUNCTION("""COMPUTED_VALUE"""),4240.0)</f>
        <v>4240</v>
      </c>
      <c r="AL9" s="31">
        <f>IFERROR(__xludf.DUMMYFUNCTION("""COMPUTED_VALUE"""),6949.981366459628)</f>
        <v>6949.981366</v>
      </c>
      <c r="AM9" s="30">
        <f t="shared" si="1"/>
        <v>2709.981366</v>
      </c>
      <c r="AN9" s="32">
        <f t="shared" si="2"/>
        <v>0.6391465487</v>
      </c>
      <c r="AO9" s="10">
        <f t="shared" si="3"/>
        <v>169430.4</v>
      </c>
      <c r="AP9" s="10">
        <f t="shared" si="4"/>
        <v>436307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IFERROR(__xludf.DUMMYFUNCTION("""COMPUTED_VALUE"""),"Form G4 Outros - Não Orgânico")</f>
        <v>Form G4 Outros - Não Orgânico</v>
      </c>
      <c r="B10" s="19">
        <f>IFERROR(__xludf.DUMMYFUNCTION("""COMPUTED_VALUE"""),157.74193548387086)</f>
        <v>157.7419355</v>
      </c>
      <c r="C10" s="20">
        <f>IFERROR(__xludf.DUMMYFUNCTION("""COMPUTED_VALUE"""),106.0)</f>
        <v>106</v>
      </c>
      <c r="D10" s="21">
        <f>IFERROR(__xludf.DUMMYFUNCTION("""COMPUTED_VALUE"""),-51.74193548387086)</f>
        <v>-51.74193548</v>
      </c>
      <c r="E10" s="22">
        <f>IFERROR(__xludf.DUMMYFUNCTION("""COMPUTED_VALUE"""),-0.32801635991819994)</f>
        <v>-0.3280163599</v>
      </c>
      <c r="F10" s="23">
        <f>IFERROR(__xludf.DUMMYFUNCTION("""COMPUTED_VALUE"""),0.8547633194692018)</f>
        <v>0.8547633195</v>
      </c>
      <c r="G10" s="23">
        <f>IFERROR(__xludf.DUMMYFUNCTION("""COMPUTED_VALUE"""),0.8207547169811321)</f>
        <v>0.820754717</v>
      </c>
      <c r="H10" s="24">
        <f>IFERROR(__xludf.DUMMYFUNCTION("""COMPUTED_VALUE"""),-3.4008602488069695)</f>
        <v>-3.400860249</v>
      </c>
      <c r="I10" s="19">
        <f>IFERROR(__xludf.DUMMYFUNCTION("""COMPUTED_VALUE"""),134.83202039369013)</f>
        <v>134.8320204</v>
      </c>
      <c r="J10" s="20">
        <f>IFERROR(__xludf.DUMMYFUNCTION("""COMPUTED_VALUE"""),87.0)</f>
        <v>87</v>
      </c>
      <c r="K10" s="21">
        <f>IFERROR(__xludf.DUMMYFUNCTION("""COMPUTED_VALUE"""),-47.83202039369013)</f>
        <v>-47.83202039</v>
      </c>
      <c r="L10" s="22">
        <f>IFERROR(__xludf.DUMMYFUNCTION("""COMPUTED_VALUE"""),-0.354752678585009)</f>
        <v>-0.3547526786</v>
      </c>
      <c r="M10" s="25">
        <f>IFERROR(__xludf.DUMMYFUNCTION("""COMPUTED_VALUE"""),0.33)</f>
        <v>0.33</v>
      </c>
      <c r="N10" s="23">
        <f>IFERROR(__xludf.DUMMYFUNCTION("""COMPUTED_VALUE"""),0.3333333333333333)</f>
        <v>0.3333333333</v>
      </c>
      <c r="O10" s="26">
        <f>IFERROR(__xludf.DUMMYFUNCTION("""COMPUTED_VALUE"""),0.33333333333332993)</f>
        <v>0.3333333333</v>
      </c>
      <c r="P10" s="19">
        <f>IFERROR(__xludf.DUMMYFUNCTION("""COMPUTED_VALUE"""),43.67883300653597)</f>
        <v>43.67883301</v>
      </c>
      <c r="Q10" s="20">
        <f>IFERROR(__xludf.DUMMYFUNCTION("""COMPUTED_VALUE"""),29.0)</f>
        <v>29</v>
      </c>
      <c r="R10" s="21">
        <f>IFERROR(__xludf.DUMMYFUNCTION("""COMPUTED_VALUE"""),-14.678833006535967)</f>
        <v>-14.67883301</v>
      </c>
      <c r="S10" s="27">
        <f>IFERROR(__xludf.DUMMYFUNCTION("""COMPUTED_VALUE"""),-0.33606284774914824)</f>
        <v>-0.3360628477</v>
      </c>
      <c r="T10" s="23">
        <f>IFERROR(__xludf.DUMMYFUNCTION("""COMPUTED_VALUE"""),0.25)</f>
        <v>0.25</v>
      </c>
      <c r="U10" s="23">
        <f>IFERROR(__xludf.DUMMYFUNCTION("""COMPUTED_VALUE"""),0.0)</f>
        <v>0</v>
      </c>
      <c r="V10" s="24">
        <f>IFERROR(__xludf.DUMMYFUNCTION("""COMPUTED_VALUE"""),-25.0)</f>
        <v>-25</v>
      </c>
      <c r="W10" s="19">
        <f>IFERROR(__xludf.DUMMYFUNCTION("""COMPUTED_VALUE"""),10.919708251633992)</f>
        <v>10.91970825</v>
      </c>
      <c r="X10" s="20">
        <f>IFERROR(__xludf.DUMMYFUNCTION("""COMPUTED_VALUE"""),0.0)</f>
        <v>0</v>
      </c>
      <c r="Y10" s="21">
        <f>IFERROR(__xludf.DUMMYFUNCTION("""COMPUTED_VALUE"""),-10.919708251633992)</f>
        <v>-10.91970825</v>
      </c>
      <c r="Z10" s="28">
        <f>IFERROR(__xludf.DUMMYFUNCTION("""COMPUTED_VALUE"""),-1.0)</f>
        <v>-1</v>
      </c>
      <c r="AA10" s="19">
        <f>IFERROR(__xludf.DUMMYFUNCTION("""COMPUTED_VALUE"""),26000.0)</f>
        <v>26000</v>
      </c>
      <c r="AB10" s="20">
        <f>IFERROR(__xludf.DUMMYFUNCTION("""COMPUTED_VALUE"""),0.0)</f>
        <v>0</v>
      </c>
      <c r="AC10" s="21">
        <f>IFERROR(__xludf.DUMMYFUNCTION("""COMPUTED_VALUE"""),-26000.0)</f>
        <v>-26000</v>
      </c>
      <c r="AD10" s="28">
        <f>IFERROR(__xludf.DUMMYFUNCTION("""COMPUTED_VALUE"""),-1.0)</f>
        <v>-1</v>
      </c>
      <c r="AE10" s="19">
        <f>IFERROR(__xludf.DUMMYFUNCTION("""COMPUTED_VALUE"""),279877.8697042484)</f>
        <v>279877.8697</v>
      </c>
      <c r="AF10" s="20">
        <f>IFERROR(__xludf.DUMMYFUNCTION("""COMPUTED_VALUE"""),0.0)</f>
        <v>0</v>
      </c>
      <c r="AG10" s="21">
        <f>IFERROR(__xludf.DUMMYFUNCTION("""COMPUTED_VALUE"""),-279877.8697042484)</f>
        <v>-279877.8697</v>
      </c>
      <c r="AH10" s="29">
        <f>IFERROR(__xludf.DUMMYFUNCTION("""COMPUTED_VALUE"""),-1.0)</f>
        <v>-1</v>
      </c>
      <c r="AI10" s="30">
        <f>IFERROR(__xludf.DUMMYFUNCTION("""COMPUTED_VALUE"""),-102599.68374446532)</f>
        <v>-102599.6837</v>
      </c>
      <c r="AJ10" s="30">
        <f>IFERROR(__xludf.DUMMYFUNCTION("""COMPUTED_VALUE"""),-186615.0)</f>
        <v>-186615</v>
      </c>
      <c r="AK10" s="4">
        <f>IFERROR(__xludf.DUMMYFUNCTION("""COMPUTED_VALUE"""),6500.0)</f>
        <v>6500</v>
      </c>
      <c r="AL10" s="31">
        <f>IFERROR(__xludf.DUMMYFUNCTION("""COMPUTED_VALUE"""),0.0)</f>
        <v>0</v>
      </c>
      <c r="AM10" s="30">
        <f t="shared" si="1"/>
        <v>-6500</v>
      </c>
      <c r="AN10" s="32">
        <f t="shared" si="2"/>
        <v>-1</v>
      </c>
      <c r="AO10" s="10">
        <f t="shared" si="3"/>
        <v>1885</v>
      </c>
      <c r="AP10" s="10">
        <f t="shared" si="4"/>
        <v>-188500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Site")</f>
        <v>[SKL] Site</v>
      </c>
      <c r="B11" s="19">
        <f>IFERROR(__xludf.DUMMYFUNCTION("""COMPUTED_VALUE"""),375.48387096774167)</f>
        <v>375.483871</v>
      </c>
      <c r="C11" s="20">
        <f>IFERROR(__xludf.DUMMYFUNCTION("""COMPUTED_VALUE"""),197.0)</f>
        <v>197</v>
      </c>
      <c r="D11" s="21">
        <f>IFERROR(__xludf.DUMMYFUNCTION("""COMPUTED_VALUE"""),-178.48387096774167)</f>
        <v>-178.483871</v>
      </c>
      <c r="E11" s="22">
        <f>IFERROR(__xludf.DUMMYFUNCTION("""COMPUTED_VALUE"""),-0.4753436426116835)</f>
        <v>-0.4753436426</v>
      </c>
      <c r="F11" s="23">
        <f>IFERROR(__xludf.DUMMYFUNCTION("""COMPUTED_VALUE"""),0.8413693776815816)</f>
        <v>0.8413693777</v>
      </c>
      <c r="G11" s="23">
        <f>IFERROR(__xludf.DUMMYFUNCTION("""COMPUTED_VALUE"""),0.7309644670050761)</f>
        <v>0.730964467</v>
      </c>
      <c r="H11" s="24">
        <f>IFERROR(__xludf.DUMMYFUNCTION("""COMPUTED_VALUE"""),-11.04049106765055)</f>
        <v>-11.04049107</v>
      </c>
      <c r="I11" s="19">
        <f>IFERROR(__xludf.DUMMYFUNCTION("""COMPUTED_VALUE"""),315.9206308456001)</f>
        <v>315.9206308</v>
      </c>
      <c r="J11" s="20">
        <f>IFERROR(__xludf.DUMMYFUNCTION("""COMPUTED_VALUE"""),144.0)</f>
        <v>144</v>
      </c>
      <c r="K11" s="21">
        <f>IFERROR(__xludf.DUMMYFUNCTION("""COMPUTED_VALUE"""),-171.9206308456001)</f>
        <v>-171.9206308</v>
      </c>
      <c r="L11" s="22">
        <f>IFERROR(__xludf.DUMMYFUNCTION("""COMPUTED_VALUE"""),-0.5441893123137719)</f>
        <v>-0.5441893123</v>
      </c>
      <c r="M11" s="25">
        <f>IFERROR(__xludf.DUMMYFUNCTION("""COMPUTED_VALUE"""),0.15)</f>
        <v>0.15</v>
      </c>
      <c r="N11" s="23">
        <f>IFERROR(__xludf.DUMMYFUNCTION("""COMPUTED_VALUE"""),0.19444444444444445)</f>
        <v>0.1944444444</v>
      </c>
      <c r="O11" s="26">
        <f>IFERROR(__xludf.DUMMYFUNCTION("""COMPUTED_VALUE"""),4.4444444444444455)</f>
        <v>4.444444444</v>
      </c>
      <c r="P11" s="19">
        <f>IFERROR(__xludf.DUMMYFUNCTION("""COMPUTED_VALUE"""),46.51931289201466)</f>
        <v>46.51931289</v>
      </c>
      <c r="Q11" s="20">
        <f>IFERROR(__xludf.DUMMYFUNCTION("""COMPUTED_VALUE"""),28.0)</f>
        <v>28</v>
      </c>
      <c r="R11" s="21">
        <f>IFERROR(__xludf.DUMMYFUNCTION("""COMPUTED_VALUE"""),-18.51931289201466)</f>
        <v>-18.51931289</v>
      </c>
      <c r="S11" s="27">
        <f>IFERROR(__xludf.DUMMYFUNCTION("""COMPUTED_VALUE"""),-0.39809945032944843)</f>
        <v>-0.3980994503</v>
      </c>
      <c r="T11" s="23">
        <f>IFERROR(__xludf.DUMMYFUNCTION("""COMPUTED_VALUE"""),0.27)</f>
        <v>0.27</v>
      </c>
      <c r="U11" s="23">
        <f>IFERROR(__xludf.DUMMYFUNCTION("""COMPUTED_VALUE"""),0.14285714285714285)</f>
        <v>0.1428571429</v>
      </c>
      <c r="V11" s="24">
        <f>IFERROR(__xludf.DUMMYFUNCTION("""COMPUTED_VALUE"""),-12.714285714285717)</f>
        <v>-12.71428571</v>
      </c>
      <c r="W11" s="19">
        <f>IFERROR(__xludf.DUMMYFUNCTION("""COMPUTED_VALUE"""),12.560214480843959)</f>
        <v>12.56021448</v>
      </c>
      <c r="X11" s="20">
        <f>IFERROR(__xludf.DUMMYFUNCTION("""COMPUTED_VALUE"""),4.0)</f>
        <v>4</v>
      </c>
      <c r="Y11" s="21">
        <f>IFERROR(__xludf.DUMMYFUNCTION("""COMPUTED_VALUE"""),-8.560214480843959)</f>
        <v>-8.560214481</v>
      </c>
      <c r="Z11" s="28">
        <f>IFERROR(__xludf.DUMMYFUNCTION("""COMPUTED_VALUE"""),-0.6815341007034119)</f>
        <v>-0.6815341007</v>
      </c>
      <c r="AA11" s="19">
        <f>IFERROR(__xludf.DUMMYFUNCTION("""COMPUTED_VALUE"""),19000.0)</f>
        <v>19000</v>
      </c>
      <c r="AB11" s="20">
        <f>IFERROR(__xludf.DUMMYFUNCTION("""COMPUTED_VALUE"""),29074.32501220703)</f>
        <v>29074.32501</v>
      </c>
      <c r="AC11" s="21">
        <f>IFERROR(__xludf.DUMMYFUNCTION("""COMPUTED_VALUE"""),10074.325012207031)</f>
        <v>10074.32501</v>
      </c>
      <c r="AD11" s="28">
        <f>IFERROR(__xludf.DUMMYFUNCTION("""COMPUTED_VALUE"""),0.5302276322214227)</f>
        <v>0.5302276322</v>
      </c>
      <c r="AE11" s="19">
        <f>IFERROR(__xludf.DUMMYFUNCTION("""COMPUTED_VALUE"""),235252.81722620726)</f>
        <v>235252.8172</v>
      </c>
      <c r="AF11" s="20">
        <f>IFERROR(__xludf.DUMMYFUNCTION("""COMPUTED_VALUE"""),116297.30004882812)</f>
        <v>116297.3</v>
      </c>
      <c r="AG11" s="21">
        <f>IFERROR(__xludf.DUMMYFUNCTION("""COMPUTED_VALUE"""),-118955.51717737914)</f>
        <v>-118955.5172</v>
      </c>
      <c r="AH11" s="29">
        <f>IFERROR(__xludf.DUMMYFUNCTION("""COMPUTED_VALUE"""),-0.5056497030724079)</f>
        <v>-0.5056497031</v>
      </c>
      <c r="AI11" s="30">
        <f>IFERROR(__xludf.DUMMYFUNCTION("""COMPUTED_VALUE"""),-132292.92543568928)</f>
        <v>-132292.9254</v>
      </c>
      <c r="AJ11" s="30">
        <f>IFERROR(__xludf.DUMMYFUNCTION("""COMPUTED_VALUE"""),5489.300048828132)</f>
        <v>5489.300049</v>
      </c>
      <c r="AK11" s="4">
        <f>IFERROR(__xludf.DUMMYFUNCTION("""COMPUTED_VALUE"""),5130.0)</f>
        <v>5130</v>
      </c>
      <c r="AL11" s="31">
        <f>IFERROR(__xludf.DUMMYFUNCTION("""COMPUTED_VALUE"""),4153.475001743862)</f>
        <v>4153.475002</v>
      </c>
      <c r="AM11" s="30">
        <f t="shared" si="1"/>
        <v>-976.5249983</v>
      </c>
      <c r="AN11" s="32">
        <f t="shared" si="2"/>
        <v>-0.1903557501</v>
      </c>
      <c r="AO11" s="10">
        <f t="shared" si="3"/>
        <v>32832</v>
      </c>
      <c r="AP11" s="10">
        <f t="shared" si="4"/>
        <v>-27342.69995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Incompleto Outros")</f>
        <v>Form G4 Incompleto Outros</v>
      </c>
      <c r="B12" s="19">
        <f>IFERROR(__xludf.DUMMYFUNCTION("""COMPUTED_VALUE"""),1108.0645161290315)</f>
        <v>1108.064516</v>
      </c>
      <c r="C12" s="20">
        <f>IFERROR(__xludf.DUMMYFUNCTION("""COMPUTED_VALUE"""),561.0)</f>
        <v>561</v>
      </c>
      <c r="D12" s="21">
        <f>IFERROR(__xludf.DUMMYFUNCTION("""COMPUTED_VALUE"""),-547.0645161290315)</f>
        <v>-547.0645161</v>
      </c>
      <c r="E12" s="22">
        <f>IFERROR(__xludf.DUMMYFUNCTION("""COMPUTED_VALUE"""),-0.4937117903930128)</f>
        <v>-0.4937117904</v>
      </c>
      <c r="F12" s="23">
        <f>IFERROR(__xludf.DUMMYFUNCTION("""COMPUTED_VALUE"""),0.6994918874384062)</f>
        <v>0.6994918874</v>
      </c>
      <c r="G12" s="23">
        <f>IFERROR(__xludf.DUMMYFUNCTION("""COMPUTED_VALUE"""),0.5632798573975044)</f>
        <v>0.5632798574</v>
      </c>
      <c r="H12" s="24">
        <f>IFERROR(__xludf.DUMMYFUNCTION("""COMPUTED_VALUE"""),-13.621203004090177)</f>
        <v>-13.621203</v>
      </c>
      <c r="I12" s="19">
        <f>IFERROR(__xludf.DUMMYFUNCTION("""COMPUTED_VALUE"""),775.0821397906205)</f>
        <v>775.0821398</v>
      </c>
      <c r="J12" s="20">
        <f>IFERROR(__xludf.DUMMYFUNCTION("""COMPUTED_VALUE"""),316.0)</f>
        <v>316</v>
      </c>
      <c r="K12" s="21">
        <f>IFERROR(__xludf.DUMMYFUNCTION("""COMPUTED_VALUE"""),-459.08213979062054)</f>
        <v>-459.0821398</v>
      </c>
      <c r="L12" s="22">
        <f>IFERROR(__xludf.DUMMYFUNCTION("""COMPUTED_VALUE"""),-0.5923012752101813)</f>
        <v>-0.5923012752</v>
      </c>
      <c r="M12" s="25">
        <f>IFERROR(__xludf.DUMMYFUNCTION("""COMPUTED_VALUE"""),0.16)</f>
        <v>0.16</v>
      </c>
      <c r="N12" s="23">
        <f>IFERROR(__xludf.DUMMYFUNCTION("""COMPUTED_VALUE"""),0.15822784810126583)</f>
        <v>0.1582278481</v>
      </c>
      <c r="O12" s="26">
        <f>IFERROR(__xludf.DUMMYFUNCTION("""COMPUTED_VALUE"""),-0.177215189873417)</f>
        <v>-0.1772151899</v>
      </c>
      <c r="P12" s="19">
        <f>IFERROR(__xludf.DUMMYFUNCTION("""COMPUTED_VALUE"""),121.73956808978024)</f>
        <v>121.7395681</v>
      </c>
      <c r="Q12" s="20">
        <f>IFERROR(__xludf.DUMMYFUNCTION("""COMPUTED_VALUE"""),50.0)</f>
        <v>50</v>
      </c>
      <c r="R12" s="21">
        <f>IFERROR(__xludf.DUMMYFUNCTION("""COMPUTED_VALUE"""),-71.73956808978024)</f>
        <v>-71.73956809</v>
      </c>
      <c r="S12" s="27">
        <f>IFERROR(__xludf.DUMMYFUNCTION("""COMPUTED_VALUE"""),-0.5892871908077897)</f>
        <v>-0.5892871908</v>
      </c>
      <c r="T12" s="23">
        <f>IFERROR(__xludf.DUMMYFUNCTION("""COMPUTED_VALUE"""),0.12)</f>
        <v>0.12</v>
      </c>
      <c r="U12" s="23">
        <f>IFERROR(__xludf.DUMMYFUNCTION("""COMPUTED_VALUE"""),0.04)</f>
        <v>0.04</v>
      </c>
      <c r="V12" s="24">
        <f>IFERROR(__xludf.DUMMYFUNCTION("""COMPUTED_VALUE"""),-7.999999999999999)</f>
        <v>-8</v>
      </c>
      <c r="W12" s="19">
        <f>IFERROR(__xludf.DUMMYFUNCTION("""COMPUTED_VALUE"""),14.608748170773627)</f>
        <v>14.60874817</v>
      </c>
      <c r="X12" s="20">
        <f>IFERROR(__xludf.DUMMYFUNCTION("""COMPUTED_VALUE"""),2.0)</f>
        <v>2</v>
      </c>
      <c r="Y12" s="21">
        <f>IFERROR(__xludf.DUMMYFUNCTION("""COMPUTED_VALUE"""),-12.608748170773627)</f>
        <v>-12.60874817</v>
      </c>
      <c r="Z12" s="28">
        <f>IFERROR(__xludf.DUMMYFUNCTION("""COMPUTED_VALUE"""),-0.8630957302692632)</f>
        <v>-0.8630957303</v>
      </c>
      <c r="AA12" s="19">
        <f>IFERROR(__xludf.DUMMYFUNCTION("""COMPUTED_VALUE"""),15000.0)</f>
        <v>15000</v>
      </c>
      <c r="AB12" s="20">
        <f>IFERROR(__xludf.DUMMYFUNCTION("""COMPUTED_VALUE"""),39450.0)</f>
        <v>39450</v>
      </c>
      <c r="AC12" s="21">
        <f>IFERROR(__xludf.DUMMYFUNCTION("""COMPUTED_VALUE"""),24450.0)</f>
        <v>24450</v>
      </c>
      <c r="AD12" s="28">
        <f>IFERROR(__xludf.DUMMYFUNCTION("""COMPUTED_VALUE"""),1.63)</f>
        <v>1.63</v>
      </c>
      <c r="AE12" s="19">
        <f>IFERROR(__xludf.DUMMYFUNCTION("""COMPUTED_VALUE"""),216017.25255678155)</f>
        <v>216017.2526</v>
      </c>
      <c r="AF12" s="20">
        <f>IFERROR(__xludf.DUMMYFUNCTION("""COMPUTED_VALUE"""),78900.0)</f>
        <v>78900</v>
      </c>
      <c r="AG12" s="21">
        <f>IFERROR(__xludf.DUMMYFUNCTION("""COMPUTED_VALUE"""),-137117.25255678155)</f>
        <v>-137117.2526</v>
      </c>
      <c r="AH12" s="29">
        <f>IFERROR(__xludf.DUMMYFUNCTION("""COMPUTED_VALUE"""),-0.634751395705023)</f>
        <v>-0.6347513957</v>
      </c>
      <c r="AI12" s="30">
        <f>IFERROR(__xludf.DUMMYFUNCTION("""COMPUTED_VALUE"""),-132215.65625969868)</f>
        <v>-132215.6563</v>
      </c>
      <c r="AJ12" s="30">
        <f>IFERROR(__xludf.DUMMYFUNCTION("""COMPUTED_VALUE"""),-12107.99999999998)</f>
        <v>-12108</v>
      </c>
      <c r="AK12" s="4">
        <f>IFERROR(__xludf.DUMMYFUNCTION("""COMPUTED_VALUE"""),1799.9999999999998)</f>
        <v>1800</v>
      </c>
      <c r="AL12" s="31">
        <f>IFERROR(__xludf.DUMMYFUNCTION("""COMPUTED_VALUE"""),1578.0)</f>
        <v>1578</v>
      </c>
      <c r="AM12" s="30">
        <f t="shared" si="1"/>
        <v>-222</v>
      </c>
      <c r="AN12" s="32">
        <f t="shared" si="2"/>
        <v>-0.1233333333</v>
      </c>
      <c r="AO12" s="10">
        <f t="shared" si="3"/>
        <v>-1008</v>
      </c>
      <c r="AP12" s="10">
        <f t="shared" si="4"/>
        <v>-11100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Instagram")</f>
        <v>Form G4 - K Instagram</v>
      </c>
      <c r="B13" s="19">
        <f>IFERROR(__xludf.DUMMYFUNCTION("""COMPUTED_VALUE"""),827.4193548387092)</f>
        <v>827.4193548</v>
      </c>
      <c r="C13" s="20">
        <f>IFERROR(__xludf.DUMMYFUNCTION("""COMPUTED_VALUE"""),862.0)</f>
        <v>862</v>
      </c>
      <c r="D13" s="21">
        <f>IFERROR(__xludf.DUMMYFUNCTION("""COMPUTED_VALUE"""),34.58064516129082)</f>
        <v>34.58064516</v>
      </c>
      <c r="E13" s="22">
        <f>IFERROR(__xludf.DUMMYFUNCTION("""COMPUTED_VALUE"""),0.04179337231968873)</f>
        <v>0.04179337232</v>
      </c>
      <c r="F13" s="23">
        <f>IFERROR(__xludf.DUMMYFUNCTION("""COMPUTED_VALUE"""),0.788229528314873)</f>
        <v>0.7882295283</v>
      </c>
      <c r="G13" s="23">
        <f>IFERROR(__xludf.DUMMYFUNCTION("""COMPUTED_VALUE"""),0.7447795823665894)</f>
        <v>0.7447795824</v>
      </c>
      <c r="H13" s="24">
        <f>IFERROR(__xludf.DUMMYFUNCTION("""COMPUTED_VALUE"""),-4.344994594828366)</f>
        <v>-4.344994595</v>
      </c>
      <c r="I13" s="19">
        <f>IFERROR(__xludf.DUMMYFUNCTION("""COMPUTED_VALUE"""),652.1963677831122)</f>
        <v>652.1963678</v>
      </c>
      <c r="J13" s="20">
        <f>IFERROR(__xludf.DUMMYFUNCTION("""COMPUTED_VALUE"""),642.0)</f>
        <v>642</v>
      </c>
      <c r="K13" s="21">
        <f>IFERROR(__xludf.DUMMYFUNCTION("""COMPUTED_VALUE"""),-10.196367783112237)</f>
        <v>-10.19636778</v>
      </c>
      <c r="L13" s="22">
        <f>IFERROR(__xludf.DUMMYFUNCTION("""COMPUTED_VALUE"""),-0.015633892316467234)</f>
        <v>-0.01563389232</v>
      </c>
      <c r="M13" s="25">
        <f>IFERROR(__xludf.DUMMYFUNCTION("""COMPUTED_VALUE"""),0.21)</f>
        <v>0.21</v>
      </c>
      <c r="N13" s="23">
        <f>IFERROR(__xludf.DUMMYFUNCTION("""COMPUTED_VALUE"""),0.2383177570093458)</f>
        <v>0.238317757</v>
      </c>
      <c r="O13" s="26">
        <f>IFERROR(__xludf.DUMMYFUNCTION("""COMPUTED_VALUE"""),2.83177570093458)</f>
        <v>2.831775701</v>
      </c>
      <c r="P13" s="19">
        <f>IFERROR(__xludf.DUMMYFUNCTION("""COMPUTED_VALUE"""),134.45028121848873)</f>
        <v>134.4502812</v>
      </c>
      <c r="Q13" s="20">
        <f>IFERROR(__xludf.DUMMYFUNCTION("""COMPUTED_VALUE"""),153.0)</f>
        <v>153</v>
      </c>
      <c r="R13" s="21">
        <f>IFERROR(__xludf.DUMMYFUNCTION("""COMPUTED_VALUE"""),18.549718781511274)</f>
        <v>18.54971878</v>
      </c>
      <c r="S13" s="27">
        <f>IFERROR(__xludf.DUMMYFUNCTION("""COMPUTED_VALUE"""),0.13796712519601959)</f>
        <v>0.1379671252</v>
      </c>
      <c r="T13" s="23">
        <f>IFERROR(__xludf.DUMMYFUNCTION("""COMPUTED_VALUE"""),0.17)</f>
        <v>0.17</v>
      </c>
      <c r="U13" s="23">
        <f>IFERROR(__xludf.DUMMYFUNCTION("""COMPUTED_VALUE"""),0.1111111111111111)</f>
        <v>0.1111111111</v>
      </c>
      <c r="V13" s="24">
        <f>IFERROR(__xludf.DUMMYFUNCTION("""COMPUTED_VALUE"""),-5.888888888888891)</f>
        <v>-5.888888889</v>
      </c>
      <c r="W13" s="19">
        <f>IFERROR(__xludf.DUMMYFUNCTION("""COMPUTED_VALUE"""),22.856547807143087)</f>
        <v>22.85654781</v>
      </c>
      <c r="X13" s="20">
        <f>IFERROR(__xludf.DUMMYFUNCTION("""COMPUTED_VALUE"""),17.0)</f>
        <v>17</v>
      </c>
      <c r="Y13" s="21">
        <f>IFERROR(__xludf.DUMMYFUNCTION("""COMPUTED_VALUE"""),-5.856547807143087)</f>
        <v>-5.856547807</v>
      </c>
      <c r="Z13" s="28">
        <f>IFERROR(__xludf.DUMMYFUNCTION("""COMPUTED_VALUE"""),-0.25623063712678473)</f>
        <v>-0.2562306371</v>
      </c>
      <c r="AA13" s="19">
        <f>IFERROR(__xludf.DUMMYFUNCTION("""COMPUTED_VALUE"""),9200.0)</f>
        <v>9200</v>
      </c>
      <c r="AB13" s="20">
        <f>IFERROR(__xludf.DUMMYFUNCTION("""COMPUTED_VALUE"""),15255.094123391544)</f>
        <v>15255.09412</v>
      </c>
      <c r="AC13" s="21">
        <f>IFERROR(__xludf.DUMMYFUNCTION("""COMPUTED_VALUE"""),6055.094123391544)</f>
        <v>6055.094123</v>
      </c>
      <c r="AD13" s="28">
        <f>IFERROR(__xludf.DUMMYFUNCTION("""COMPUTED_VALUE"""),0.6581624047164721)</f>
        <v>0.6581624047</v>
      </c>
      <c r="AE13" s="19">
        <f>IFERROR(__xludf.DUMMYFUNCTION("""COMPUTED_VALUE"""),207292.04694398245)</f>
        <v>207292.0469</v>
      </c>
      <c r="AF13" s="20">
        <f>IFERROR(__xludf.DUMMYFUNCTION("""COMPUTED_VALUE"""),259336.60009765625)</f>
        <v>259336.6001</v>
      </c>
      <c r="AG13" s="21">
        <f>IFERROR(__xludf.DUMMYFUNCTION("""COMPUTED_VALUE"""),52044.5531536738)</f>
        <v>52044.55315</v>
      </c>
      <c r="AH13" s="29">
        <f>IFERROR(__xludf.DUMMYFUNCTION("""COMPUTED_VALUE"""),0.2510687405568341)</f>
        <v>0.2510687406</v>
      </c>
      <c r="AI13" s="30">
        <f>IFERROR(__xludf.DUMMYFUNCTION("""COMPUTED_VALUE"""),-3348.895034685383)</f>
        <v>-3348.895035</v>
      </c>
      <c r="AJ13" s="30">
        <f>IFERROR(__xludf.DUMMYFUNCTION("""COMPUTED_VALUE"""),48478.12009765626)</f>
        <v>48478.1201</v>
      </c>
      <c r="AK13" s="4">
        <f>IFERROR(__xludf.DUMMYFUNCTION("""COMPUTED_VALUE"""),1564.0)</f>
        <v>1564</v>
      </c>
      <c r="AL13" s="31">
        <f>IFERROR(__xludf.DUMMYFUNCTION("""COMPUTED_VALUE"""),1695.0104581546161)</f>
        <v>1695.010458</v>
      </c>
      <c r="AM13" s="30">
        <f t="shared" si="1"/>
        <v>131.0104582</v>
      </c>
      <c r="AN13" s="32">
        <f t="shared" si="2"/>
        <v>0.08376627759</v>
      </c>
      <c r="AO13" s="10">
        <f t="shared" si="3"/>
        <v>28433.52</v>
      </c>
      <c r="AP13" s="10">
        <f t="shared" si="4"/>
        <v>20044.6001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Incompleto Instagram")</f>
        <v>Form G4 Incompleto Instagram</v>
      </c>
      <c r="B14" s="19">
        <f>IFERROR(__xludf.DUMMYFUNCTION("""COMPUTED_VALUE"""),725.8064516129027)</f>
        <v>725.8064516</v>
      </c>
      <c r="C14" s="20">
        <f>IFERROR(__xludf.DUMMYFUNCTION("""COMPUTED_VALUE"""),615.0)</f>
        <v>615</v>
      </c>
      <c r="D14" s="21">
        <f>IFERROR(__xludf.DUMMYFUNCTION("""COMPUTED_VALUE"""),-110.80645161290272)</f>
        <v>-110.8064516</v>
      </c>
      <c r="E14" s="22">
        <f>IFERROR(__xludf.DUMMYFUNCTION("""COMPUTED_VALUE"""),-0.15266666666666606)</f>
        <v>-0.1526666667</v>
      </c>
      <c r="F14" s="23">
        <f>IFERROR(__xludf.DUMMYFUNCTION("""COMPUTED_VALUE"""),0.7238658777120316)</f>
        <v>0.7238658777</v>
      </c>
      <c r="G14" s="23">
        <f>IFERROR(__xludf.DUMMYFUNCTION("""COMPUTED_VALUE"""),0.71869918699187)</f>
        <v>0.718699187</v>
      </c>
      <c r="H14" s="24">
        <f>IFERROR(__xludf.DUMMYFUNCTION("""COMPUTED_VALUE"""),-0.5166690720161626)</f>
        <v>-0.516669072</v>
      </c>
      <c r="I14" s="19">
        <f>IFERROR(__xludf.DUMMYFUNCTION("""COMPUTED_VALUE"""),525.3865241458291)</f>
        <v>525.3865241</v>
      </c>
      <c r="J14" s="20">
        <f>IFERROR(__xludf.DUMMYFUNCTION("""COMPUTED_VALUE"""),442.0)</f>
        <v>442</v>
      </c>
      <c r="K14" s="21">
        <f>IFERROR(__xludf.DUMMYFUNCTION("""COMPUTED_VALUE"""),-83.38652414582907)</f>
        <v>-83.38652415</v>
      </c>
      <c r="L14" s="22">
        <f>IFERROR(__xludf.DUMMYFUNCTION("""COMPUTED_VALUE"""),-0.15871462306993597)</f>
        <v>-0.1587146231</v>
      </c>
      <c r="M14" s="25">
        <f>IFERROR(__xludf.DUMMYFUNCTION("""COMPUTED_VALUE"""),0.175)</f>
        <v>0.175</v>
      </c>
      <c r="N14" s="23">
        <f>IFERROR(__xludf.DUMMYFUNCTION("""COMPUTED_VALUE"""),0.19683257918552036)</f>
        <v>0.1968325792</v>
      </c>
      <c r="O14" s="26">
        <f>IFERROR(__xludf.DUMMYFUNCTION("""COMPUTED_VALUE"""),2.183257918552037)</f>
        <v>2.183257919</v>
      </c>
      <c r="P14" s="19">
        <f>IFERROR(__xludf.DUMMYFUNCTION("""COMPUTED_VALUE"""),90.25702662721896)</f>
        <v>90.25702663</v>
      </c>
      <c r="Q14" s="20">
        <f>IFERROR(__xludf.DUMMYFUNCTION("""COMPUTED_VALUE"""),87.0)</f>
        <v>87</v>
      </c>
      <c r="R14" s="21">
        <f>IFERROR(__xludf.DUMMYFUNCTION("""COMPUTED_VALUE"""),-3.2570266272189627)</f>
        <v>-3.257026627</v>
      </c>
      <c r="S14" s="27">
        <f>IFERROR(__xludf.DUMMYFUNCTION("""COMPUTED_VALUE"""),-0.03608612812685695)</f>
        <v>-0.03608612813</v>
      </c>
      <c r="T14" s="23">
        <f>IFERROR(__xludf.DUMMYFUNCTION("""COMPUTED_VALUE"""),0.12)</f>
        <v>0.12</v>
      </c>
      <c r="U14" s="23">
        <f>IFERROR(__xludf.DUMMYFUNCTION("""COMPUTED_VALUE"""),0.09195402298850575)</f>
        <v>0.09195402299</v>
      </c>
      <c r="V14" s="24">
        <f>IFERROR(__xludf.DUMMYFUNCTION("""COMPUTED_VALUE"""),-2.804597701149425)</f>
        <v>-2.804597701</v>
      </c>
      <c r="W14" s="19">
        <f>IFERROR(__xludf.DUMMYFUNCTION("""COMPUTED_VALUE"""),10.830843195266274)</f>
        <v>10.8308432</v>
      </c>
      <c r="X14" s="20">
        <f>IFERROR(__xludf.DUMMYFUNCTION("""COMPUTED_VALUE"""),8.0)</f>
        <v>8</v>
      </c>
      <c r="Y14" s="21">
        <f>IFERROR(__xludf.DUMMYFUNCTION("""COMPUTED_VALUE"""),-2.830843195266274)</f>
        <v>-2.830843195</v>
      </c>
      <c r="Z14" s="28">
        <f>IFERROR(__xludf.DUMMYFUNCTION("""COMPUTED_VALUE"""),-0.2613686805569784)</f>
        <v>-0.2613686806</v>
      </c>
      <c r="AA14" s="19">
        <f>IFERROR(__xludf.DUMMYFUNCTION("""COMPUTED_VALUE"""),17000.0)</f>
        <v>17000</v>
      </c>
      <c r="AB14" s="20">
        <f>IFERROR(__xludf.DUMMYFUNCTION("""COMPUTED_VALUE"""),14064.96875)</f>
        <v>14064.96875</v>
      </c>
      <c r="AC14" s="21">
        <f>IFERROR(__xludf.DUMMYFUNCTION("""COMPUTED_VALUE"""),-2935.03125)</f>
        <v>-2935.03125</v>
      </c>
      <c r="AD14" s="28">
        <f>IFERROR(__xludf.DUMMYFUNCTION("""COMPUTED_VALUE"""),-0.17264889705882352)</f>
        <v>-0.1726488971</v>
      </c>
      <c r="AE14" s="19">
        <f>IFERROR(__xludf.DUMMYFUNCTION("""COMPUTED_VALUE"""),181507.83062130178)</f>
        <v>181507.8306</v>
      </c>
      <c r="AF14" s="20">
        <f>IFERROR(__xludf.DUMMYFUNCTION("""COMPUTED_VALUE"""),112519.75)</f>
        <v>112519.75</v>
      </c>
      <c r="AG14" s="21">
        <f>IFERROR(__xludf.DUMMYFUNCTION("""COMPUTED_VALUE"""),-68988.08062130178)</f>
        <v>-68988.08062</v>
      </c>
      <c r="AH14" s="29">
        <f>IFERROR(__xludf.DUMMYFUNCTION("""COMPUTED_VALUE"""),-0.3800832194685783)</f>
        <v>-0.3800832195</v>
      </c>
      <c r="AI14" s="30">
        <f>IFERROR(__xludf.DUMMYFUNCTION("""COMPUTED_VALUE"""),-29768.989120060975)</f>
        <v>-29768.98912</v>
      </c>
      <c r="AJ14" s="30">
        <f>IFERROR(__xludf.DUMMYFUNCTION("""COMPUTED_VALUE"""),-45274.24999999998)</f>
        <v>-45274.25</v>
      </c>
      <c r="AK14" s="4">
        <f>IFERROR(__xludf.DUMMYFUNCTION("""COMPUTED_VALUE"""),2039.9999999999998)</f>
        <v>2040</v>
      </c>
      <c r="AL14" s="31">
        <f>IFERROR(__xludf.DUMMYFUNCTION("""COMPUTED_VALUE"""),1293.3304597701149)</f>
        <v>1293.33046</v>
      </c>
      <c r="AM14" s="30">
        <f t="shared" si="1"/>
        <v>-746.6695402</v>
      </c>
      <c r="AN14" s="32">
        <f t="shared" si="2"/>
        <v>-0.3660144805</v>
      </c>
      <c r="AO14" s="10">
        <f t="shared" si="3"/>
        <v>19686</v>
      </c>
      <c r="AP14" s="10">
        <f t="shared" si="4"/>
        <v>-64960.25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IFERROR(__xludf.DUMMYFUNCTION("""COMPUTED_VALUE"""),"[ON] Chat")</f>
        <v>[ON] Chat</v>
      </c>
      <c r="B15" s="19">
        <f>IFERROR(__xludf.DUMMYFUNCTION("""COMPUTED_VALUE"""),251.6129032258063)</f>
        <v>251.6129032</v>
      </c>
      <c r="C15" s="20">
        <f>IFERROR(__xludf.DUMMYFUNCTION("""COMPUTED_VALUE"""),131.0)</f>
        <v>131</v>
      </c>
      <c r="D15" s="21">
        <f>IFERROR(__xludf.DUMMYFUNCTION("""COMPUTED_VALUE"""),-120.61290322580629)</f>
        <v>-120.6129032</v>
      </c>
      <c r="E15" s="22">
        <f>IFERROR(__xludf.DUMMYFUNCTION("""COMPUTED_VALUE"""),-0.479358974358974)</f>
        <v>-0.4793589744</v>
      </c>
      <c r="F15" s="23">
        <f>IFERROR(__xludf.DUMMYFUNCTION("""COMPUTED_VALUE"""),0.66)</f>
        <v>0.66</v>
      </c>
      <c r="G15" s="23">
        <f>IFERROR(__xludf.DUMMYFUNCTION("""COMPUTED_VALUE"""),0.6335877862595419)</f>
        <v>0.6335877863</v>
      </c>
      <c r="H15" s="24">
        <f>IFERROR(__xludf.DUMMYFUNCTION("""COMPUTED_VALUE"""),-2.64122137404581)</f>
        <v>-2.641221374</v>
      </c>
      <c r="I15" s="19">
        <f>IFERROR(__xludf.DUMMYFUNCTION("""COMPUTED_VALUE"""),166.06451612903214)</f>
        <v>166.0645161</v>
      </c>
      <c r="J15" s="20">
        <f>IFERROR(__xludf.DUMMYFUNCTION("""COMPUTED_VALUE"""),83.0)</f>
        <v>83</v>
      </c>
      <c r="K15" s="21">
        <f>IFERROR(__xludf.DUMMYFUNCTION("""COMPUTED_VALUE"""),-83.06451612903214)</f>
        <v>-83.06451613</v>
      </c>
      <c r="L15" s="22">
        <f>IFERROR(__xludf.DUMMYFUNCTION("""COMPUTED_VALUE"""),-0.5001942501942499)</f>
        <v>-0.5001942502</v>
      </c>
      <c r="M15" s="25">
        <f>IFERROR(__xludf.DUMMYFUNCTION("""COMPUTED_VALUE"""),0.53)</f>
        <v>0.53</v>
      </c>
      <c r="N15" s="23">
        <f>IFERROR(__xludf.DUMMYFUNCTION("""COMPUTED_VALUE"""),0.6987951807228916)</f>
        <v>0.6987951807</v>
      </c>
      <c r="O15" s="26">
        <f>IFERROR(__xludf.DUMMYFUNCTION("""COMPUTED_VALUE"""),16.87951807228916)</f>
        <v>16.87951807</v>
      </c>
      <c r="P15" s="19">
        <f>IFERROR(__xludf.DUMMYFUNCTION("""COMPUTED_VALUE"""),86.40060000000004)</f>
        <v>86.4006</v>
      </c>
      <c r="Q15" s="20">
        <f>IFERROR(__xludf.DUMMYFUNCTION("""COMPUTED_VALUE"""),58.0)</f>
        <v>58</v>
      </c>
      <c r="R15" s="21">
        <f>IFERROR(__xludf.DUMMYFUNCTION("""COMPUTED_VALUE"""),-28.40060000000004)</f>
        <v>-28.4006</v>
      </c>
      <c r="S15" s="27">
        <f>IFERROR(__xludf.DUMMYFUNCTION("""COMPUTED_VALUE"""),-0.32870836545116616)</f>
        <v>-0.3287083655</v>
      </c>
      <c r="T15" s="23">
        <f>IFERROR(__xludf.DUMMYFUNCTION("""COMPUTED_VALUE"""),0.31)</f>
        <v>0.31</v>
      </c>
      <c r="U15" s="23">
        <f>IFERROR(__xludf.DUMMYFUNCTION("""COMPUTED_VALUE"""),0.29310344827586204)</f>
        <v>0.2931034483</v>
      </c>
      <c r="V15" s="24">
        <f>IFERROR(__xludf.DUMMYFUNCTION("""COMPUTED_VALUE"""),-1.6896551724137954)</f>
        <v>-1.689655172</v>
      </c>
      <c r="W15" s="19">
        <f>IFERROR(__xludf.DUMMYFUNCTION("""COMPUTED_VALUE"""),26.784186000000012)</f>
        <v>26.784186</v>
      </c>
      <c r="X15" s="20">
        <f>IFERROR(__xludf.DUMMYFUNCTION("""COMPUTED_VALUE"""),17.0)</f>
        <v>17</v>
      </c>
      <c r="Y15" s="21">
        <f>IFERROR(__xludf.DUMMYFUNCTION("""COMPUTED_VALUE"""),-9.784186000000012)</f>
        <v>-9.784186</v>
      </c>
      <c r="Z15" s="28">
        <f>IFERROR(__xludf.DUMMYFUNCTION("""COMPUTED_VALUE"""),-0.3652971197257967)</f>
        <v>-0.3652971197</v>
      </c>
      <c r="AA15" s="19">
        <f>IFERROR(__xludf.DUMMYFUNCTION("""COMPUTED_VALUE"""),6600.0)</f>
        <v>6600</v>
      </c>
      <c r="AB15" s="20">
        <f>IFERROR(__xludf.DUMMYFUNCTION("""COMPUTED_VALUE"""),8383.14705882353)</f>
        <v>8383.147059</v>
      </c>
      <c r="AC15" s="21">
        <f>IFERROR(__xludf.DUMMYFUNCTION("""COMPUTED_VALUE"""),1783.1470588235297)</f>
        <v>1783.147059</v>
      </c>
      <c r="AD15" s="28">
        <f>IFERROR(__xludf.DUMMYFUNCTION("""COMPUTED_VALUE"""),0.2701737967914439)</f>
        <v>0.2701737968</v>
      </c>
      <c r="AE15" s="19">
        <f>IFERROR(__xludf.DUMMYFUNCTION("""COMPUTED_VALUE"""),174263.55289200004)</f>
        <v>174263.5529</v>
      </c>
      <c r="AF15" s="20">
        <f>IFERROR(__xludf.DUMMYFUNCTION("""COMPUTED_VALUE"""),142513.5)</f>
        <v>142513.5</v>
      </c>
      <c r="AG15" s="21">
        <f>IFERROR(__xludf.DUMMYFUNCTION("""COMPUTED_VALUE"""),-31750.052892000036)</f>
        <v>-31750.05289</v>
      </c>
      <c r="AH15" s="29">
        <f>IFERROR(__xludf.DUMMYFUNCTION("""COMPUTED_VALUE"""),-0.1821956018059448)</f>
        <v>-0.1821956018</v>
      </c>
      <c r="AI15" s="30">
        <f>IFERROR(__xludf.DUMMYFUNCTION("""COMPUTED_VALUE"""),-90073.4999999999)</f>
        <v>-90073.5</v>
      </c>
      <c r="AJ15" s="30">
        <f>IFERROR(__xludf.DUMMYFUNCTION("""COMPUTED_VALUE"""),52509.95999999997)</f>
        <v>52509.96</v>
      </c>
      <c r="AK15" s="4">
        <f>IFERROR(__xludf.DUMMYFUNCTION("""COMPUTED_VALUE"""),2046.0000000000002)</f>
        <v>2046</v>
      </c>
      <c r="AL15" s="31">
        <f>IFERROR(__xludf.DUMMYFUNCTION("""COMPUTED_VALUE"""),2457.1293103448274)</f>
        <v>2457.12931</v>
      </c>
      <c r="AM15" s="30">
        <f t="shared" si="1"/>
        <v>411.1293103</v>
      </c>
      <c r="AN15" s="32">
        <f t="shared" si="2"/>
        <v>0.2009429669</v>
      </c>
      <c r="AO15" s="10">
        <f t="shared" si="3"/>
        <v>28664.46</v>
      </c>
      <c r="AP15" s="10">
        <f t="shared" si="4"/>
        <v>23845.5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IFERROR(__xludf.DUMMYFUNCTION("""COMPUTED_VALUE"""),"Form G4 Google")</f>
        <v>Form G4 Google</v>
      </c>
      <c r="B16" s="19">
        <f>IFERROR(__xludf.DUMMYFUNCTION("""COMPUTED_VALUE"""),140.3225806451612)</f>
        <v>140.3225806</v>
      </c>
      <c r="C16" s="20">
        <f>IFERROR(__xludf.DUMMYFUNCTION("""COMPUTED_VALUE"""),282.0)</f>
        <v>282</v>
      </c>
      <c r="D16" s="21">
        <f>IFERROR(__xludf.DUMMYFUNCTION("""COMPUTED_VALUE"""),141.6774193548388)</f>
        <v>141.6774194</v>
      </c>
      <c r="E16" s="22">
        <f>IFERROR(__xludf.DUMMYFUNCTION("""COMPUTED_VALUE"""),1.0096551724137945)</f>
        <v>1.009655172</v>
      </c>
      <c r="F16" s="23">
        <f>IFERROR(__xludf.DUMMYFUNCTION("""COMPUTED_VALUE"""),0.5893855762154737)</f>
        <v>0.5893855762</v>
      </c>
      <c r="G16" s="23">
        <f>IFERROR(__xludf.DUMMYFUNCTION("""COMPUTED_VALUE"""),0.7978723404255319)</f>
        <v>0.7978723404</v>
      </c>
      <c r="H16" s="24">
        <f>IFERROR(__xludf.DUMMYFUNCTION("""COMPUTED_VALUE"""),20.84867642100582)</f>
        <v>20.84867642</v>
      </c>
      <c r="I16" s="19">
        <f>IFERROR(__xludf.DUMMYFUNCTION("""COMPUTED_VALUE"""),82.70410504959061)</f>
        <v>82.70410505</v>
      </c>
      <c r="J16" s="20">
        <f>IFERROR(__xludf.DUMMYFUNCTION("""COMPUTED_VALUE"""),225.0)</f>
        <v>225</v>
      </c>
      <c r="K16" s="21">
        <f>IFERROR(__xludf.DUMMYFUNCTION("""COMPUTED_VALUE"""),142.29589495040938)</f>
        <v>142.295895</v>
      </c>
      <c r="L16" s="22">
        <f>IFERROR(__xludf.DUMMYFUNCTION("""COMPUTED_VALUE"""),1.7205421044709528)</f>
        <v>1.720542104</v>
      </c>
      <c r="M16" s="25">
        <f>IFERROR(__xludf.DUMMYFUNCTION("""COMPUTED_VALUE"""),0.37)</f>
        <v>0.37</v>
      </c>
      <c r="N16" s="23">
        <f>IFERROR(__xludf.DUMMYFUNCTION("""COMPUTED_VALUE"""),0.4444444444444444)</f>
        <v>0.4444444444</v>
      </c>
      <c r="O16" s="26">
        <f>IFERROR(__xludf.DUMMYFUNCTION("""COMPUTED_VALUE"""),7.444444444444443)</f>
        <v>7.444444444</v>
      </c>
      <c r="P16" s="19">
        <f>IFERROR(__xludf.DUMMYFUNCTION("""COMPUTED_VALUE"""),30.039509355762164)</f>
        <v>30.03950936</v>
      </c>
      <c r="Q16" s="20">
        <f>IFERROR(__xludf.DUMMYFUNCTION("""COMPUTED_VALUE"""),100.0)</f>
        <v>100</v>
      </c>
      <c r="R16" s="21">
        <f>IFERROR(__xludf.DUMMYFUNCTION("""COMPUTED_VALUE"""),69.96049064423784)</f>
        <v>69.96049064</v>
      </c>
      <c r="S16" s="27">
        <f>IFERROR(__xludf.DUMMYFUNCTION("""COMPUTED_VALUE"""),2.3289491787527496)</f>
        <v>2.328949179</v>
      </c>
      <c r="T16" s="23">
        <f>IFERROR(__xludf.DUMMYFUNCTION("""COMPUTED_VALUE"""),0.23)</f>
        <v>0.23</v>
      </c>
      <c r="U16" s="23">
        <f>IFERROR(__xludf.DUMMYFUNCTION("""COMPUTED_VALUE"""),0.28)</f>
        <v>0.28</v>
      </c>
      <c r="V16" s="24">
        <f>IFERROR(__xludf.DUMMYFUNCTION("""COMPUTED_VALUE"""),5.000000000000002)</f>
        <v>5</v>
      </c>
      <c r="W16" s="19">
        <f>IFERROR(__xludf.DUMMYFUNCTION("""COMPUTED_VALUE"""),6.9090871518252985)</f>
        <v>6.909087152</v>
      </c>
      <c r="X16" s="20">
        <f>IFERROR(__xludf.DUMMYFUNCTION("""COMPUTED_VALUE"""),28.0)</f>
        <v>28</v>
      </c>
      <c r="Y16" s="21">
        <f>IFERROR(__xludf.DUMMYFUNCTION("""COMPUTED_VALUE"""),21.090912848174703)</f>
        <v>21.09091285</v>
      </c>
      <c r="Z16" s="28">
        <f>IFERROR(__xludf.DUMMYFUNCTION("""COMPUTED_VALUE"""),3.0526337828294343)</f>
        <v>3.052633783</v>
      </c>
      <c r="AA16" s="19">
        <f>IFERROR(__xludf.DUMMYFUNCTION("""COMPUTED_VALUE"""),24000.0)</f>
        <v>24000</v>
      </c>
      <c r="AB16" s="20">
        <f>IFERROR(__xludf.DUMMYFUNCTION("""COMPUTED_VALUE"""),33450.107142857145)</f>
        <v>33450.10714</v>
      </c>
      <c r="AC16" s="21">
        <f>IFERROR(__xludf.DUMMYFUNCTION("""COMPUTED_VALUE"""),9450.107142857145)</f>
        <v>9450.107143</v>
      </c>
      <c r="AD16" s="28">
        <f>IFERROR(__xludf.DUMMYFUNCTION("""COMPUTED_VALUE"""),0.39375446428571437)</f>
        <v>0.3937544643</v>
      </c>
      <c r="AE16" s="19">
        <f>IFERROR(__xludf.DUMMYFUNCTION("""COMPUTED_VALUE"""),163461.72928886878)</f>
        <v>163461.7293</v>
      </c>
      <c r="AF16" s="20">
        <f>IFERROR(__xludf.DUMMYFUNCTION("""COMPUTED_VALUE"""),936603.0)</f>
        <v>936603</v>
      </c>
      <c r="AG16" s="21">
        <f>IFERROR(__xludf.DUMMYFUNCTION("""COMPUTED_VALUE"""),773141.2707111312)</f>
        <v>773141.2707</v>
      </c>
      <c r="AH16" s="29">
        <f>IFERROR(__xludf.DUMMYFUNCTION("""COMPUTED_VALUE"""),4.729799899185207)</f>
        <v>4.729799899</v>
      </c>
      <c r="AI16" s="30">
        <f>IFERROR(__xludf.DUMMYFUNCTION("""COMPUTED_VALUE"""),290625.1358467161)</f>
        <v>290625.1358</v>
      </c>
      <c r="AJ16" s="30">
        <f>IFERROR(__xludf.DUMMYFUNCTION("""COMPUTED_VALUE"""),477063.0000000002)</f>
        <v>477063</v>
      </c>
      <c r="AK16" s="4">
        <f>IFERROR(__xludf.DUMMYFUNCTION("""COMPUTED_VALUE"""),5520.0)</f>
        <v>5520</v>
      </c>
      <c r="AL16" s="31">
        <f>IFERROR(__xludf.DUMMYFUNCTION("""COMPUTED_VALUE"""),9366.03)</f>
        <v>9366.03</v>
      </c>
      <c r="AM16" s="30">
        <f t="shared" si="1"/>
        <v>3846.03</v>
      </c>
      <c r="AN16" s="32">
        <f t="shared" si="2"/>
        <v>0.6967445652</v>
      </c>
      <c r="AO16" s="10">
        <f t="shared" si="3"/>
        <v>92460</v>
      </c>
      <c r="AP16" s="10">
        <f t="shared" si="4"/>
        <v>384603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IFERROR(__xludf.DUMMYFUNCTION("""COMPUTED_VALUE"""),"[ON] Form G4")</f>
        <v>[ON] Form G4</v>
      </c>
      <c r="B17" s="19">
        <f>IFERROR(__xludf.DUMMYFUNCTION("""COMPUTED_VALUE"""),241.93548387096757)</f>
        <v>241.9354839</v>
      </c>
      <c r="C17" s="20">
        <f>IFERROR(__xludf.DUMMYFUNCTION("""COMPUTED_VALUE"""),469.0)</f>
        <v>469</v>
      </c>
      <c r="D17" s="21">
        <f>IFERROR(__xludf.DUMMYFUNCTION("""COMPUTED_VALUE"""),227.06451612903243)</f>
        <v>227.0645161</v>
      </c>
      <c r="E17" s="22">
        <f>IFERROR(__xludf.DUMMYFUNCTION("""COMPUTED_VALUE"""),0.9385333333333347)</f>
        <v>0.9385333333</v>
      </c>
      <c r="F17" s="23">
        <f>IFERROR(__xludf.DUMMYFUNCTION("""COMPUTED_VALUE"""),0.7668348414091741)</f>
        <v>0.7668348414</v>
      </c>
      <c r="G17" s="23">
        <f>IFERROR(__xludf.DUMMYFUNCTION("""COMPUTED_VALUE"""),0.6716417910447762)</f>
        <v>0.671641791</v>
      </c>
      <c r="H17" s="24">
        <f>IFERROR(__xludf.DUMMYFUNCTION("""COMPUTED_VALUE"""),-9.519305036439796)</f>
        <v>-9.519305036</v>
      </c>
      <c r="I17" s="19">
        <f>IFERROR(__xludf.DUMMYFUNCTION("""COMPUTED_VALUE"""),185.52455840544525)</f>
        <v>185.5245584</v>
      </c>
      <c r="J17" s="20">
        <f>IFERROR(__xludf.DUMMYFUNCTION("""COMPUTED_VALUE"""),315.0)</f>
        <v>315</v>
      </c>
      <c r="K17" s="21">
        <f>IFERROR(__xludf.DUMMYFUNCTION("""COMPUTED_VALUE"""),129.47544159455475)</f>
        <v>129.4754416</v>
      </c>
      <c r="L17" s="22">
        <f>IFERROR(__xludf.DUMMYFUNCTION("""COMPUTED_VALUE"""),0.697888423545519)</f>
        <v>0.6978884235</v>
      </c>
      <c r="M17" s="25">
        <f>IFERROR(__xludf.DUMMYFUNCTION("""COMPUTED_VALUE"""),0.27)</f>
        <v>0.27</v>
      </c>
      <c r="N17" s="23">
        <f>IFERROR(__xludf.DUMMYFUNCTION("""COMPUTED_VALUE"""),0.28888888888888886)</f>
        <v>0.2888888889</v>
      </c>
      <c r="O17" s="26">
        <f>IFERROR(__xludf.DUMMYFUNCTION("""COMPUTED_VALUE"""),1.8888888888888844)</f>
        <v>1.888888889</v>
      </c>
      <c r="P17" s="19">
        <f>IFERROR(__xludf.DUMMYFUNCTION("""COMPUTED_VALUE"""),49.17328420536331)</f>
        <v>49.17328421</v>
      </c>
      <c r="Q17" s="20">
        <f>IFERROR(__xludf.DUMMYFUNCTION("""COMPUTED_VALUE"""),91.0)</f>
        <v>91</v>
      </c>
      <c r="R17" s="21">
        <f>IFERROR(__xludf.DUMMYFUNCTION("""COMPUTED_VALUE"""),41.82671579463669)</f>
        <v>41.82671579</v>
      </c>
      <c r="S17" s="27">
        <f>IFERROR(__xludf.DUMMYFUNCTION("""COMPUTED_VALUE"""),0.8505983781753318)</f>
        <v>0.8505983782</v>
      </c>
      <c r="T17" s="23">
        <f>IFERROR(__xludf.DUMMYFUNCTION("""COMPUTED_VALUE"""),0.23)</f>
        <v>0.23</v>
      </c>
      <c r="U17" s="23">
        <f>IFERROR(__xludf.DUMMYFUNCTION("""COMPUTED_VALUE"""),0.10989010989010989)</f>
        <v>0.1098901099</v>
      </c>
      <c r="V17" s="24">
        <f>IFERROR(__xludf.DUMMYFUNCTION("""COMPUTED_VALUE"""),-12.010989010989013)</f>
        <v>-12.01098901</v>
      </c>
      <c r="W17" s="19">
        <f>IFERROR(__xludf.DUMMYFUNCTION("""COMPUTED_VALUE"""),11.309855367233563)</f>
        <v>11.30985537</v>
      </c>
      <c r="X17" s="20">
        <f>IFERROR(__xludf.DUMMYFUNCTION("""COMPUTED_VALUE"""),10.0)</f>
        <v>10</v>
      </c>
      <c r="Y17" s="21">
        <f>IFERROR(__xludf.DUMMYFUNCTION("""COMPUTED_VALUE"""),-1.3098553672335633)</f>
        <v>-1.309855367</v>
      </c>
      <c r="Z17" s="28">
        <f>IFERROR(__xludf.DUMMYFUNCTION("""COMPUTED_VALUE"""),-0.11581539504284212)</f>
        <v>-0.115815395</v>
      </c>
      <c r="AA17" s="19">
        <f>IFERROR(__xludf.DUMMYFUNCTION("""COMPUTED_VALUE"""),13000.0)</f>
        <v>13000</v>
      </c>
      <c r="AB17" s="20">
        <f>IFERROR(__xludf.DUMMYFUNCTION("""COMPUTED_VALUE"""),13825.76005859375)</f>
        <v>13825.76006</v>
      </c>
      <c r="AC17" s="21">
        <f>IFERROR(__xludf.DUMMYFUNCTION("""COMPUTED_VALUE"""),825.7600585937507)</f>
        <v>825.7600586</v>
      </c>
      <c r="AD17" s="28">
        <f>IFERROR(__xludf.DUMMYFUNCTION("""COMPUTED_VALUE"""),0.0635200045072116)</f>
        <v>0.06352000451</v>
      </c>
      <c r="AE17" s="19">
        <f>IFERROR(__xludf.DUMMYFUNCTION("""COMPUTED_VALUE"""),144938.77280882627)</f>
        <v>144938.7728</v>
      </c>
      <c r="AF17" s="20">
        <f>IFERROR(__xludf.DUMMYFUNCTION("""COMPUTED_VALUE"""),138257.6005859375)</f>
        <v>138257.6006</v>
      </c>
      <c r="AG17" s="21">
        <f>IFERROR(__xludf.DUMMYFUNCTION("""COMPUTED_VALUE"""),-6681.172222888767)</f>
        <v>-6681.172223</v>
      </c>
      <c r="AH17" s="29">
        <f>IFERROR(__xludf.DUMMYFUNCTION("""COMPUTED_VALUE"""),-0.04609651436542249)</f>
        <v>-0.04609651437</v>
      </c>
      <c r="AI17" s="30">
        <f>IFERROR(__xludf.DUMMYFUNCTION("""COMPUTED_VALUE"""),104525.52399928408)</f>
        <v>104525.524</v>
      </c>
      <c r="AJ17" s="30">
        <f>IFERROR(__xludf.DUMMYFUNCTION("""COMPUTED_VALUE"""),-116041.89941406257)</f>
        <v>-116041.8994</v>
      </c>
      <c r="AK17" s="4">
        <f>IFERROR(__xludf.DUMMYFUNCTION("""COMPUTED_VALUE"""),2990.0)</f>
        <v>2990</v>
      </c>
      <c r="AL17" s="4">
        <f>IFERROR(__xludf.DUMMYFUNCTION("""COMPUTED_VALUE"""),1519.3142921531594)</f>
        <v>1519.314292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IFERROR(__xludf.DUMMYFUNCTION("""COMPUTED_VALUE"""),"[ON] Abandono de carrinho")</f>
        <v>[ON] Abandono de carrinho</v>
      </c>
      <c r="B18" s="19">
        <f>IFERROR(__xludf.DUMMYFUNCTION("""COMPUTED_VALUE"""),290.3225806451611)</f>
        <v>290.3225806</v>
      </c>
      <c r="C18" s="20">
        <f>IFERROR(__xludf.DUMMYFUNCTION("""COMPUTED_VALUE"""),255.0)</f>
        <v>255</v>
      </c>
      <c r="D18" s="21">
        <f>IFERROR(__xludf.DUMMYFUNCTION("""COMPUTED_VALUE"""),-35.32258064516111)</f>
        <v>-35.32258065</v>
      </c>
      <c r="E18" s="22">
        <f>IFERROR(__xludf.DUMMYFUNCTION("""COMPUTED_VALUE"""),-0.12166666666666612)</f>
        <v>-0.1216666667</v>
      </c>
      <c r="F18" s="23">
        <f>IFERROR(__xludf.DUMMYFUNCTION("""COMPUTED_VALUE"""),0.803725753800487)</f>
        <v>0.8037257538</v>
      </c>
      <c r="G18" s="23">
        <f>IFERROR(__xludf.DUMMYFUNCTION("""COMPUTED_VALUE"""),0.788235294117647)</f>
        <v>0.7882352941</v>
      </c>
      <c r="H18" s="24">
        <f>IFERROR(__xludf.DUMMYFUNCTION("""COMPUTED_VALUE"""),-1.5490459682840019)</f>
        <v>-1.549045968</v>
      </c>
      <c r="I18" s="19">
        <f>IFERROR(__xludf.DUMMYFUNCTION("""COMPUTED_VALUE"""),233.3397349743348)</f>
        <v>233.339735</v>
      </c>
      <c r="J18" s="20">
        <f>IFERROR(__xludf.DUMMYFUNCTION("""COMPUTED_VALUE"""),201.0)</f>
        <v>201</v>
      </c>
      <c r="K18" s="21">
        <f>IFERROR(__xludf.DUMMYFUNCTION("""COMPUTED_VALUE"""),-32.33973497433479)</f>
        <v>-32.33973497</v>
      </c>
      <c r="L18" s="22">
        <f>IFERROR(__xludf.DUMMYFUNCTION("""COMPUTED_VALUE"""),-0.1385950617364499)</f>
        <v>-0.1385950617</v>
      </c>
      <c r="M18" s="25">
        <f>IFERROR(__xludf.DUMMYFUNCTION("""COMPUTED_VALUE"""),0.23)</f>
        <v>0.23</v>
      </c>
      <c r="N18" s="23">
        <f>IFERROR(__xludf.DUMMYFUNCTION("""COMPUTED_VALUE"""),0.21393034825870647)</f>
        <v>0.2139303483</v>
      </c>
      <c r="O18" s="26">
        <f>IFERROR(__xludf.DUMMYFUNCTION("""COMPUTED_VALUE"""),-1.6069651741293545)</f>
        <v>-1.606965174</v>
      </c>
      <c r="P18" s="19">
        <f>IFERROR(__xludf.DUMMYFUNCTION("""COMPUTED_VALUE"""),52.684223161621944)</f>
        <v>52.68422316</v>
      </c>
      <c r="Q18" s="20">
        <f>IFERROR(__xludf.DUMMYFUNCTION("""COMPUTED_VALUE"""),43.0)</f>
        <v>43</v>
      </c>
      <c r="R18" s="21">
        <f>IFERROR(__xludf.DUMMYFUNCTION("""COMPUTED_VALUE"""),-9.684223161621944)</f>
        <v>-9.684223162</v>
      </c>
      <c r="S18" s="27">
        <f>IFERROR(__xludf.DUMMYFUNCTION("""COMPUTED_VALUE"""),-0.1838163795623062)</f>
        <v>-0.1838163796</v>
      </c>
      <c r="T18" s="23">
        <f>IFERROR(__xludf.DUMMYFUNCTION("""COMPUTED_VALUE"""),0.8)</f>
        <v>0.8</v>
      </c>
      <c r="U18" s="23">
        <f>IFERROR(__xludf.DUMMYFUNCTION("""COMPUTED_VALUE"""),0.6744186046511628)</f>
        <v>0.6744186047</v>
      </c>
      <c r="V18" s="24">
        <f>IFERROR(__xludf.DUMMYFUNCTION("""COMPUTED_VALUE"""),-12.558139534883727)</f>
        <v>-12.55813953</v>
      </c>
      <c r="W18" s="19">
        <f>IFERROR(__xludf.DUMMYFUNCTION("""COMPUTED_VALUE"""),42.14737852929756)</f>
        <v>42.14737853</v>
      </c>
      <c r="X18" s="20">
        <f>IFERROR(__xludf.DUMMYFUNCTION("""COMPUTED_VALUE"""),29.0)</f>
        <v>29</v>
      </c>
      <c r="Y18" s="21">
        <f>IFERROR(__xludf.DUMMYFUNCTION("""COMPUTED_VALUE"""),-13.147378529297562)</f>
        <v>-13.14737853</v>
      </c>
      <c r="Z18" s="28">
        <f>IFERROR(__xludf.DUMMYFUNCTION("""COMPUTED_VALUE"""),-0.31193822695659545)</f>
        <v>-0.311938227</v>
      </c>
      <c r="AA18" s="19">
        <f>IFERROR(__xludf.DUMMYFUNCTION("""COMPUTED_VALUE"""),3400.0)</f>
        <v>3400</v>
      </c>
      <c r="AB18" s="20">
        <f>IFERROR(__xludf.DUMMYFUNCTION("""COMPUTED_VALUE"""),3168.8796635910485)</f>
        <v>3168.879664</v>
      </c>
      <c r="AC18" s="21">
        <f>IFERROR(__xludf.DUMMYFUNCTION("""COMPUTED_VALUE"""),-231.12033640895152)</f>
        <v>-231.1203364</v>
      </c>
      <c r="AD18" s="28">
        <f>IFERROR(__xludf.DUMMYFUNCTION("""COMPUTED_VALUE"""),-0.06797656953204456)</f>
        <v>-0.06797656953</v>
      </c>
      <c r="AE18" s="19">
        <f>IFERROR(__xludf.DUMMYFUNCTION("""COMPUTED_VALUE"""),141264.70313172246)</f>
        <v>141264.7031</v>
      </c>
      <c r="AF18" s="20">
        <f>IFERROR(__xludf.DUMMYFUNCTION("""COMPUTED_VALUE"""),91897.5102441404)</f>
        <v>91897.51024</v>
      </c>
      <c r="AG18" s="21">
        <f>IFERROR(__xludf.DUMMYFUNCTION("""COMPUTED_VALUE"""),-49367.19288758206)</f>
        <v>-49367.19289</v>
      </c>
      <c r="AH18" s="29">
        <f>IFERROR(__xludf.DUMMYFUNCTION("""COMPUTED_VALUE"""),-0.3494658735915762)</f>
        <v>-0.3494658736</v>
      </c>
      <c r="AI18" s="30">
        <f>IFERROR(__xludf.DUMMYFUNCTION("""COMPUTED_VALUE"""),-20231.738199943848)</f>
        <v>-20231.7382</v>
      </c>
      <c r="AJ18" s="30">
        <f>IFERROR(__xludf.DUMMYFUNCTION("""COMPUTED_VALUE"""),-33848.089755859626)</f>
        <v>-33848.08976</v>
      </c>
      <c r="AK18" s="4">
        <f>IFERROR(__xludf.DUMMYFUNCTION("""COMPUTED_VALUE"""),2720.0000000000005)</f>
        <v>2720</v>
      </c>
      <c r="AL18" s="4">
        <f>IFERROR(__xludf.DUMMYFUNCTION("""COMPUTED_VALUE"""),2137.151401026521)</f>
        <v>2137.151401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 t="str">
        <f>IFERROR(__xludf.DUMMYFUNCTION("""COMPUTED_VALUE"""),"[ON] Outros")</f>
        <v>[ON] Outros</v>
      </c>
      <c r="B19" s="19">
        <f>IFERROR(__xludf.DUMMYFUNCTION("""COMPUTED_VALUE"""),452.9032258064513)</f>
        <v>452.9032258</v>
      </c>
      <c r="C19" s="20">
        <f>IFERROR(__xludf.DUMMYFUNCTION("""COMPUTED_VALUE"""),612.0)</f>
        <v>612</v>
      </c>
      <c r="D19" s="21">
        <f>IFERROR(__xludf.DUMMYFUNCTION("""COMPUTED_VALUE"""),159.0967741935487)</f>
        <v>159.0967742</v>
      </c>
      <c r="E19" s="22">
        <f>IFERROR(__xludf.DUMMYFUNCTION("""COMPUTED_VALUE"""),0.3512820512820522)</f>
        <v>0.3512820513</v>
      </c>
      <c r="F19" s="23">
        <f>IFERROR(__xludf.DUMMYFUNCTION("""COMPUTED_VALUE"""),0.9475165594472242)</f>
        <v>0.9475165594</v>
      </c>
      <c r="G19" s="23">
        <f>IFERROR(__xludf.DUMMYFUNCTION("""COMPUTED_VALUE"""),0.4918300653594771)</f>
        <v>0.4918300654</v>
      </c>
      <c r="H19" s="24">
        <f>IFERROR(__xludf.DUMMYFUNCTION("""COMPUTED_VALUE"""),-45.56864940877471)</f>
        <v>-45.56864941</v>
      </c>
      <c r="I19" s="19">
        <f>IFERROR(__xludf.DUMMYFUNCTION("""COMPUTED_VALUE"""),429.13330627867805)</f>
        <v>429.1333063</v>
      </c>
      <c r="J19" s="20">
        <f>IFERROR(__xludf.DUMMYFUNCTION("""COMPUTED_VALUE"""),301.0)</f>
        <v>301</v>
      </c>
      <c r="K19" s="21">
        <f>IFERROR(__xludf.DUMMYFUNCTION("""COMPUTED_VALUE"""),-128.13330627867805)</f>
        <v>-128.1333063</v>
      </c>
      <c r="L19" s="22">
        <f>IFERROR(__xludf.DUMMYFUNCTION("""COMPUTED_VALUE"""),-0.29858625374435194)</f>
        <v>-0.2985862537</v>
      </c>
      <c r="M19" s="25">
        <f>IFERROR(__xludf.DUMMYFUNCTION("""COMPUTED_VALUE"""),0.13939841437632133)</f>
        <v>0.1393984144</v>
      </c>
      <c r="N19" s="23">
        <f>IFERROR(__xludf.DUMMYFUNCTION("""COMPUTED_VALUE"""),0.11960132890365449)</f>
        <v>0.1196013289</v>
      </c>
      <c r="O19" s="26">
        <f>IFERROR(__xludf.DUMMYFUNCTION("""COMPUTED_VALUE"""),-1.9797085472666842)</f>
        <v>-1.979708547</v>
      </c>
      <c r="P19" s="19">
        <f>IFERROR(__xludf.DUMMYFUNCTION("""COMPUTED_VALUE"""),58.72379323970858)</f>
        <v>58.72379324</v>
      </c>
      <c r="Q19" s="20">
        <f>IFERROR(__xludf.DUMMYFUNCTION("""COMPUTED_VALUE"""),36.0)</f>
        <v>36</v>
      </c>
      <c r="R19" s="21">
        <f>IFERROR(__xludf.DUMMYFUNCTION("""COMPUTED_VALUE"""),-22.723793239708577)</f>
        <v>-22.72379324</v>
      </c>
      <c r="S19" s="27">
        <f>IFERROR(__xludf.DUMMYFUNCTION("""COMPUTED_VALUE"""),-0.3869605825180742)</f>
        <v>-0.3869605825</v>
      </c>
      <c r="T19" s="23">
        <f>IFERROR(__xludf.DUMMYFUNCTION("""COMPUTED_VALUE"""),0.16661628430049485)</f>
        <v>0.1666162843</v>
      </c>
      <c r="U19" s="23">
        <f>IFERROR(__xludf.DUMMYFUNCTION("""COMPUTED_VALUE"""),0.16666666666666666)</f>
        <v>0.1666666667</v>
      </c>
      <c r="V19" s="24">
        <f>IFERROR(__xludf.DUMMYFUNCTION("""COMPUTED_VALUE"""),0.005038236617180281)</f>
        <v>0.005038236617</v>
      </c>
      <c r="W19" s="19">
        <f>IFERROR(__xludf.DUMMYFUNCTION("""COMPUTED_VALUE"""),9.784340229630763)</f>
        <v>9.78434023</v>
      </c>
      <c r="X19" s="20">
        <f>IFERROR(__xludf.DUMMYFUNCTION("""COMPUTED_VALUE"""),6.0)</f>
        <v>6</v>
      </c>
      <c r="Y19" s="21">
        <f>IFERROR(__xludf.DUMMYFUNCTION("""COMPUTED_VALUE"""),-3.7843402296307627)</f>
        <v>-3.78434023</v>
      </c>
      <c r="Z19" s="28">
        <f>IFERROR(__xludf.DUMMYFUNCTION("""COMPUTED_VALUE"""),-0.38677520822204425)</f>
        <v>-0.3867752082</v>
      </c>
      <c r="AA19" s="19">
        <f>IFERROR(__xludf.DUMMYFUNCTION("""COMPUTED_VALUE"""),14270.179055768695)</f>
        <v>14270.17906</v>
      </c>
      <c r="AB19" s="20">
        <f>IFERROR(__xludf.DUMMYFUNCTION("""COMPUTED_VALUE"""),8200.666666666666)</f>
        <v>8200.666667</v>
      </c>
      <c r="AC19" s="21">
        <f>IFERROR(__xludf.DUMMYFUNCTION("""COMPUTED_VALUE"""),-6069.5123891020285)</f>
        <v>-6069.512389</v>
      </c>
      <c r="AD19" s="28">
        <f>IFERROR(__xludf.DUMMYFUNCTION("""COMPUTED_VALUE"""),-0.4253283974491153)</f>
        <v>-0.4253283974</v>
      </c>
      <c r="AE19" s="19">
        <f>IFERROR(__xludf.DUMMYFUNCTION("""COMPUTED_VALUE"""),137640.15241437952)</f>
        <v>137640.1524</v>
      </c>
      <c r="AF19" s="20">
        <f>IFERROR(__xludf.DUMMYFUNCTION("""COMPUTED_VALUE"""),49204.0)</f>
        <v>49204</v>
      </c>
      <c r="AG19" s="21">
        <f>IFERROR(__xludf.DUMMYFUNCTION("""COMPUTED_VALUE"""),-88436.15241437952)</f>
        <v>-88436.15241</v>
      </c>
      <c r="AH19" s="29">
        <f>IFERROR(__xludf.DUMMYFUNCTION("""COMPUTED_VALUE"""),-0.6425171061140181)</f>
        <v>-0.6425171061</v>
      </c>
      <c r="AI19" s="30">
        <f>IFERROR(__xludf.DUMMYFUNCTION("""COMPUTED_VALUE"""),-42468.48162259391)</f>
        <v>-42468.48162</v>
      </c>
      <c r="AJ19" s="30">
        <f>IFERROR(__xludf.DUMMYFUNCTION("""COMPUTED_VALUE"""),-50559.38970446059)</f>
        <v>-50559.3897</v>
      </c>
      <c r="AK19" s="4">
        <f>IFERROR(__xludf.DUMMYFUNCTION("""COMPUTED_VALUE"""),2377.6442105749243)</f>
        <v>2377.644211</v>
      </c>
      <c r="AL19" s="4">
        <f>IFERROR(__xludf.DUMMYFUNCTION("""COMPUTED_VALUE"""),1366.7777777777778)</f>
        <v>1366.777778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 t="str">
        <f>IFERROR(__xludf.DUMMYFUNCTION("""COMPUTED_VALUE"""),"[IM] Link de Indicação")</f>
        <v>[IM] Link de Indicação</v>
      </c>
      <c r="B20" s="19">
        <f>IFERROR(__xludf.DUMMYFUNCTION("""COMPUTED_VALUE"""),109.35483870967735)</f>
        <v>109.3548387</v>
      </c>
      <c r="C20" s="20">
        <f>IFERROR(__xludf.DUMMYFUNCTION("""COMPUTED_VALUE"""),116.0)</f>
        <v>116</v>
      </c>
      <c r="D20" s="21">
        <f>IFERROR(__xludf.DUMMYFUNCTION("""COMPUTED_VALUE"""),6.645161290322648)</f>
        <v>6.64516129</v>
      </c>
      <c r="E20" s="22">
        <f>IFERROR(__xludf.DUMMYFUNCTION("""COMPUTED_VALUE"""),0.060766961651918056)</f>
        <v>0.06076696165</v>
      </c>
      <c r="F20" s="23">
        <f>IFERROR(__xludf.DUMMYFUNCTION("""COMPUTED_VALUE"""),0.7720883770996892)</f>
        <v>0.7720883771</v>
      </c>
      <c r="G20" s="23">
        <f>IFERROR(__xludf.DUMMYFUNCTION("""COMPUTED_VALUE"""),0.8793103448275862)</f>
        <v>0.8793103448</v>
      </c>
      <c r="H20" s="24">
        <f>IFERROR(__xludf.DUMMYFUNCTION("""COMPUTED_VALUE"""),10.722196772789694)</f>
        <v>10.72219677</v>
      </c>
      <c r="I20" s="19">
        <f>IFERROR(__xludf.DUMMYFUNCTION("""COMPUTED_VALUE"""),84.43159994735306)</f>
        <v>84.43159995</v>
      </c>
      <c r="J20" s="20">
        <f>IFERROR(__xludf.DUMMYFUNCTION("""COMPUTED_VALUE"""),102.0)</f>
        <v>102</v>
      </c>
      <c r="K20" s="21">
        <f>IFERROR(__xludf.DUMMYFUNCTION("""COMPUTED_VALUE"""),17.568400052646936)</f>
        <v>17.56840005</v>
      </c>
      <c r="L20" s="22">
        <f>IFERROR(__xludf.DUMMYFUNCTION("""COMPUTED_VALUE"""),0.20807849269232884)</f>
        <v>0.2080784927</v>
      </c>
      <c r="M20" s="25">
        <f>IFERROR(__xludf.DUMMYFUNCTION("""COMPUTED_VALUE"""),0.285)</f>
        <v>0.285</v>
      </c>
      <c r="N20" s="23">
        <f>IFERROR(__xludf.DUMMYFUNCTION("""COMPUTED_VALUE"""),0.21568627450980393)</f>
        <v>0.2156862745</v>
      </c>
      <c r="O20" s="26">
        <f>IFERROR(__xludf.DUMMYFUNCTION("""COMPUTED_VALUE"""),-6.9313725490196045)</f>
        <v>-6.931372549</v>
      </c>
      <c r="P20" s="19">
        <f>IFERROR(__xludf.DUMMYFUNCTION("""COMPUTED_VALUE"""),23.621850875270724)</f>
        <v>23.62185088</v>
      </c>
      <c r="Q20" s="20">
        <f>IFERROR(__xludf.DUMMYFUNCTION("""COMPUTED_VALUE"""),22.0)</f>
        <v>22</v>
      </c>
      <c r="R20" s="21">
        <f>IFERROR(__xludf.DUMMYFUNCTION("""COMPUTED_VALUE"""),-1.6218508752707237)</f>
        <v>-1.621850875</v>
      </c>
      <c r="S20" s="27">
        <f>IFERROR(__xludf.DUMMYFUNCTION("""COMPUTED_VALUE"""),-0.06865892447778549)</f>
        <v>-0.06865892448</v>
      </c>
      <c r="T20" s="23">
        <f>IFERROR(__xludf.DUMMYFUNCTION("""COMPUTED_VALUE"""),0.23)</f>
        <v>0.23</v>
      </c>
      <c r="U20" s="23">
        <f>IFERROR(__xludf.DUMMYFUNCTION("""COMPUTED_VALUE"""),0.22727272727272727)</f>
        <v>0.2272727273</v>
      </c>
      <c r="V20" s="24">
        <f>IFERROR(__xludf.DUMMYFUNCTION("""COMPUTED_VALUE"""),-0.2727272727272745)</f>
        <v>-0.2727272727</v>
      </c>
      <c r="W20" s="19">
        <f>IFERROR(__xludf.DUMMYFUNCTION("""COMPUTED_VALUE"""),5.433025701312267)</f>
        <v>5.433025701</v>
      </c>
      <c r="X20" s="20">
        <f>IFERROR(__xludf.DUMMYFUNCTION("""COMPUTED_VALUE"""),5.0)</f>
        <v>5</v>
      </c>
      <c r="Y20" s="21">
        <f>IFERROR(__xludf.DUMMYFUNCTION("""COMPUTED_VALUE"""),-0.4330257013122667)</f>
        <v>-0.4330257013</v>
      </c>
      <c r="Z20" s="28">
        <f>IFERROR(__xludf.DUMMYFUNCTION("""COMPUTED_VALUE"""),-0.07970249454326633)</f>
        <v>-0.07970249454</v>
      </c>
      <c r="AA20" s="19">
        <f>IFERROR(__xludf.DUMMYFUNCTION("""COMPUTED_VALUE"""),24000.0)</f>
        <v>24000</v>
      </c>
      <c r="AB20" s="20">
        <f>IFERROR(__xludf.DUMMYFUNCTION("""COMPUTED_VALUE"""),20679.0)</f>
        <v>20679</v>
      </c>
      <c r="AC20" s="21">
        <f>IFERROR(__xludf.DUMMYFUNCTION("""COMPUTED_VALUE"""),-3321.0)</f>
        <v>-3321</v>
      </c>
      <c r="AD20" s="28">
        <f>IFERROR(__xludf.DUMMYFUNCTION("""COMPUTED_VALUE"""),-0.138375)</f>
        <v>-0.138375</v>
      </c>
      <c r="AE20" s="19">
        <f>IFERROR(__xludf.DUMMYFUNCTION("""COMPUTED_VALUE"""),128539.66911862578)</f>
        <v>128539.6691</v>
      </c>
      <c r="AF20" s="20">
        <f>IFERROR(__xludf.DUMMYFUNCTION("""COMPUTED_VALUE"""),103395.0)</f>
        <v>103395</v>
      </c>
      <c r="AG20" s="21">
        <f>IFERROR(__xludf.DUMMYFUNCTION("""COMPUTED_VALUE"""),-25144.66911862578)</f>
        <v>-25144.66912</v>
      </c>
      <c r="AH20" s="29">
        <f>IFERROR(__xludf.DUMMYFUNCTION("""COMPUTED_VALUE"""),-0.19561796985349672)</f>
        <v>-0.1956179699</v>
      </c>
      <c r="AI20" s="30">
        <f>IFERROR(__xludf.DUMMYFUNCTION("""COMPUTED_VALUE"""),27638.606962824164)</f>
        <v>27638.60696</v>
      </c>
      <c r="AJ20" s="30">
        <f>IFERROR(__xludf.DUMMYFUNCTION("""COMPUTED_VALUE"""),-57071.40000000003)</f>
        <v>-57071.4</v>
      </c>
      <c r="AK20" s="4">
        <f>IFERROR(__xludf.DUMMYFUNCTION("""COMPUTED_VALUE"""),5520.000000000001)</f>
        <v>5520</v>
      </c>
      <c r="AL20" s="4">
        <f>IFERROR(__xludf.DUMMYFUNCTION("""COMPUTED_VALUE"""),4699.772727272727)</f>
        <v>4699.772727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 t="str">
        <f>IFERROR(__xludf.DUMMYFUNCTION("""COMPUTED_VALUE"""),"[SKL] CRM - WhatsApp")</f>
        <v>[SKL] CRM - WhatsApp</v>
      </c>
      <c r="B21" s="19">
        <f>IFERROR(__xludf.DUMMYFUNCTION("""COMPUTED_VALUE"""),235.1612903225805)</f>
        <v>235.1612903</v>
      </c>
      <c r="C21" s="20">
        <f>IFERROR(__xludf.DUMMYFUNCTION("""COMPUTED_VALUE"""),374.0)</f>
        <v>374</v>
      </c>
      <c r="D21" s="21">
        <f>IFERROR(__xludf.DUMMYFUNCTION("""COMPUTED_VALUE"""),138.8387096774195)</f>
        <v>138.8387097</v>
      </c>
      <c r="E21" s="22">
        <f>IFERROR(__xludf.DUMMYFUNCTION("""COMPUTED_VALUE"""),0.590397805212621)</f>
        <v>0.5903978052</v>
      </c>
      <c r="F21" s="23">
        <f>IFERROR(__xludf.DUMMYFUNCTION("""COMPUTED_VALUE"""),0.8780487804878049)</f>
        <v>0.8780487805</v>
      </c>
      <c r="G21" s="23">
        <f>IFERROR(__xludf.DUMMYFUNCTION("""COMPUTED_VALUE"""),0.8155080213903744)</f>
        <v>0.8155080214</v>
      </c>
      <c r="H21" s="24">
        <f>IFERROR(__xludf.DUMMYFUNCTION("""COMPUTED_VALUE"""),-6.254075909743051)</f>
        <v>-6.25407591</v>
      </c>
      <c r="I21" s="19">
        <f>IFERROR(__xludf.DUMMYFUNCTION("""COMPUTED_VALUE"""),206.48308418568044)</f>
        <v>206.4830842</v>
      </c>
      <c r="J21" s="20">
        <f>IFERROR(__xludf.DUMMYFUNCTION("""COMPUTED_VALUE"""),305.0)</f>
        <v>305</v>
      </c>
      <c r="K21" s="21">
        <f>IFERROR(__xludf.DUMMYFUNCTION("""COMPUTED_VALUE"""),98.51691581431956)</f>
        <v>98.51691581</v>
      </c>
      <c r="L21" s="22">
        <f>IFERROR(__xludf.DUMMYFUNCTION("""COMPUTED_VALUE"""),0.47711857948483555)</f>
        <v>0.4771185795</v>
      </c>
      <c r="M21" s="25">
        <f>IFERROR(__xludf.DUMMYFUNCTION("""COMPUTED_VALUE"""),0.215)</f>
        <v>0.215</v>
      </c>
      <c r="N21" s="23">
        <f>IFERROR(__xludf.DUMMYFUNCTION("""COMPUTED_VALUE"""),0.12786885245901639)</f>
        <v>0.1278688525</v>
      </c>
      <c r="O21" s="26">
        <f>IFERROR(__xludf.DUMMYFUNCTION("""COMPUTED_VALUE"""),-8.713114754098362)</f>
        <v>-8.713114754</v>
      </c>
      <c r="P21" s="19">
        <f>IFERROR(__xludf.DUMMYFUNCTION("""COMPUTED_VALUE"""),43.57997560975611)</f>
        <v>43.57997561</v>
      </c>
      <c r="Q21" s="20">
        <f>IFERROR(__xludf.DUMMYFUNCTION("""COMPUTED_VALUE"""),39.0)</f>
        <v>39</v>
      </c>
      <c r="R21" s="21">
        <f>IFERROR(__xludf.DUMMYFUNCTION("""COMPUTED_VALUE"""),-4.5799756097561115)</f>
        <v>-4.57997561</v>
      </c>
      <c r="S21" s="27">
        <f>IFERROR(__xludf.DUMMYFUNCTION("""COMPUTED_VALUE"""),-0.10509357900445467)</f>
        <v>-0.105093579</v>
      </c>
      <c r="T21" s="23">
        <f>IFERROR(__xludf.DUMMYFUNCTION("""COMPUTED_VALUE"""),0.19)</f>
        <v>0.19</v>
      </c>
      <c r="U21" s="23">
        <f>IFERROR(__xludf.DUMMYFUNCTION("""COMPUTED_VALUE"""),0.15384615384615385)</f>
        <v>0.1538461538</v>
      </c>
      <c r="V21" s="24">
        <f>IFERROR(__xludf.DUMMYFUNCTION("""COMPUTED_VALUE"""),-3.615384615384615)</f>
        <v>-3.615384615</v>
      </c>
      <c r="W21" s="19">
        <f>IFERROR(__xludf.DUMMYFUNCTION("""COMPUTED_VALUE"""),8.280195365853661)</f>
        <v>8.280195366</v>
      </c>
      <c r="X21" s="20">
        <f>IFERROR(__xludf.DUMMYFUNCTION("""COMPUTED_VALUE"""),6.0)</f>
        <v>6</v>
      </c>
      <c r="Y21" s="21">
        <f>IFERROR(__xludf.DUMMYFUNCTION("""COMPUTED_VALUE"""),-2.280195365853661)</f>
        <v>-2.280195366</v>
      </c>
      <c r="Z21" s="28">
        <f>IFERROR(__xludf.DUMMYFUNCTION("""COMPUTED_VALUE"""),-0.275379416197939)</f>
        <v>-0.2753794162</v>
      </c>
      <c r="AA21" s="19">
        <f>IFERROR(__xludf.DUMMYFUNCTION("""COMPUTED_VALUE"""),15200.0)</f>
        <v>15200</v>
      </c>
      <c r="AB21" s="20">
        <f>IFERROR(__xludf.DUMMYFUNCTION("""COMPUTED_VALUE"""),25440.933349609375)</f>
        <v>25440.93335</v>
      </c>
      <c r="AC21" s="21">
        <f>IFERROR(__xludf.DUMMYFUNCTION("""COMPUTED_VALUE"""),10240.933349609375)</f>
        <v>10240.93335</v>
      </c>
      <c r="AD21" s="28">
        <f>IFERROR(__xludf.DUMMYFUNCTION("""COMPUTED_VALUE"""),0.6737456151058799)</f>
        <v>0.6737456151</v>
      </c>
      <c r="AE21" s="19">
        <f>IFERROR(__xludf.DUMMYFUNCTION("""COMPUTED_VALUE"""),124070.44736195121)</f>
        <v>124070.4474</v>
      </c>
      <c r="AF21" s="20">
        <f>IFERROR(__xludf.DUMMYFUNCTION("""COMPUTED_VALUE"""),152645.60009765625)</f>
        <v>152645.6001</v>
      </c>
      <c r="AG21" s="21">
        <f>IFERROR(__xludf.DUMMYFUNCTION("""COMPUTED_VALUE"""),28575.152735705036)</f>
        <v>28575.15274</v>
      </c>
      <c r="AH21" s="29">
        <f>IFERROR(__xludf.DUMMYFUNCTION("""COMPUTED_VALUE"""),0.23031393327971672)</f>
        <v>0.2303139333</v>
      </c>
      <c r="AI21" s="30">
        <f>IFERROR(__xludf.DUMMYFUNCTION("""COMPUTED_VALUE"""),61171.123367427295)</f>
        <v>61171.12337</v>
      </c>
      <c r="AJ21" s="30">
        <f>IFERROR(__xludf.DUMMYFUNCTION("""COMPUTED_VALUE"""),-36734.999902343734)</f>
        <v>-36734.9999</v>
      </c>
      <c r="AK21" s="4">
        <f>IFERROR(__xludf.DUMMYFUNCTION("""COMPUTED_VALUE"""),2888.0)</f>
        <v>2888</v>
      </c>
      <c r="AL21" s="4">
        <f>IFERROR(__xludf.DUMMYFUNCTION("""COMPUTED_VALUE"""),3913.98974609375)</f>
        <v>3913.989746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 t="str">
        <f>IFERROR(__xludf.DUMMYFUNCTION("""COMPUTED_VALUE"""),"[CM] Form G4 - Instagram")</f>
        <v>[CM] Form G4 - Instagram</v>
      </c>
      <c r="B22" s="19">
        <f>IFERROR(__xludf.DUMMYFUNCTION("""COMPUTED_VALUE"""),77.22580645161285)</f>
        <v>77.22580645</v>
      </c>
      <c r="C22" s="20">
        <f>IFERROR(__xludf.DUMMYFUNCTION("""COMPUTED_VALUE"""),123.0)</f>
        <v>123</v>
      </c>
      <c r="D22" s="21">
        <f>IFERROR(__xludf.DUMMYFUNCTION("""COMPUTED_VALUE"""),45.774193548387146)</f>
        <v>45.77419355</v>
      </c>
      <c r="E22" s="22">
        <f>IFERROR(__xludf.DUMMYFUNCTION("""COMPUTED_VALUE"""),0.5927318295739359)</f>
        <v>0.5927318296</v>
      </c>
      <c r="F22" s="23">
        <f>IFERROR(__xludf.DUMMYFUNCTION("""COMPUTED_VALUE"""),0.7)</f>
        <v>0.7</v>
      </c>
      <c r="G22" s="23">
        <f>IFERROR(__xludf.DUMMYFUNCTION("""COMPUTED_VALUE"""),0.6422764227642277)</f>
        <v>0.6422764228</v>
      </c>
      <c r="H22" s="24">
        <f>IFERROR(__xludf.DUMMYFUNCTION("""COMPUTED_VALUE"""),-5.772357723577226)</f>
        <v>-5.772357724</v>
      </c>
      <c r="I22" s="19">
        <f>IFERROR(__xludf.DUMMYFUNCTION("""COMPUTED_VALUE"""),54.05806451612899)</f>
        <v>54.05806452</v>
      </c>
      <c r="J22" s="20">
        <f>IFERROR(__xludf.DUMMYFUNCTION("""COMPUTED_VALUE"""),79.0)</f>
        <v>79</v>
      </c>
      <c r="K22" s="21">
        <f>IFERROR(__xludf.DUMMYFUNCTION("""COMPUTED_VALUE"""),24.941935483871013)</f>
        <v>24.94193548</v>
      </c>
      <c r="L22" s="22">
        <f>IFERROR(__xludf.DUMMYFUNCTION("""COMPUTED_VALUE"""),0.46139157417353027)</f>
        <v>0.4613915742</v>
      </c>
      <c r="M22" s="25">
        <f>IFERROR(__xludf.DUMMYFUNCTION("""COMPUTED_VALUE"""),0.28)</f>
        <v>0.28</v>
      </c>
      <c r="N22" s="23">
        <f>IFERROR(__xludf.DUMMYFUNCTION("""COMPUTED_VALUE"""),0.22784810126582278)</f>
        <v>0.2278481013</v>
      </c>
      <c r="O22" s="26">
        <f>IFERROR(__xludf.DUMMYFUNCTION("""COMPUTED_VALUE"""),-5.215189873417724)</f>
        <v>-5.215189873</v>
      </c>
      <c r="P22" s="19">
        <f>IFERROR(__xludf.DUMMYFUNCTION("""COMPUTED_VALUE"""),14.858760000000004)</f>
        <v>14.85876</v>
      </c>
      <c r="Q22" s="20">
        <f>IFERROR(__xludf.DUMMYFUNCTION("""COMPUTED_VALUE"""),18.0)</f>
        <v>18</v>
      </c>
      <c r="R22" s="21">
        <f>IFERROR(__xludf.DUMMYFUNCTION("""COMPUTED_VALUE"""),3.1412399999999963)</f>
        <v>3.14124</v>
      </c>
      <c r="S22" s="27">
        <f>IFERROR(__xludf.DUMMYFUNCTION("""COMPUTED_VALUE"""),0.21140660458880792)</f>
        <v>0.2114066046</v>
      </c>
      <c r="T22" s="23">
        <f>IFERROR(__xludf.DUMMYFUNCTION("""COMPUTED_VALUE"""),0.21)</f>
        <v>0.21</v>
      </c>
      <c r="U22" s="23">
        <f>IFERROR(__xludf.DUMMYFUNCTION("""COMPUTED_VALUE"""),0.0)</f>
        <v>0</v>
      </c>
      <c r="V22" s="24">
        <f>IFERROR(__xludf.DUMMYFUNCTION("""COMPUTED_VALUE"""),-21.0)</f>
        <v>-21</v>
      </c>
      <c r="W22" s="19">
        <f>IFERROR(__xludf.DUMMYFUNCTION("""COMPUTED_VALUE"""),3.1203396000000008)</f>
        <v>3.1203396</v>
      </c>
      <c r="X22" s="20">
        <f>IFERROR(__xludf.DUMMYFUNCTION("""COMPUTED_VALUE"""),0.0)</f>
        <v>0</v>
      </c>
      <c r="Y22" s="21">
        <f>IFERROR(__xludf.DUMMYFUNCTION("""COMPUTED_VALUE"""),-3.1203396000000008)</f>
        <v>-3.1203396</v>
      </c>
      <c r="Z22" s="28">
        <f>IFERROR(__xludf.DUMMYFUNCTION("""COMPUTED_VALUE"""),-1.0)</f>
        <v>-1</v>
      </c>
      <c r="AA22" s="19">
        <f>IFERROR(__xludf.DUMMYFUNCTION("""COMPUTED_VALUE"""),40000.0)</f>
        <v>40000</v>
      </c>
      <c r="AB22" s="20">
        <f>IFERROR(__xludf.DUMMYFUNCTION("""COMPUTED_VALUE"""),0.0)</f>
        <v>0</v>
      </c>
      <c r="AC22" s="21">
        <f>IFERROR(__xludf.DUMMYFUNCTION("""COMPUTED_VALUE"""),-40000.0)</f>
        <v>-40000</v>
      </c>
      <c r="AD22" s="28">
        <f>IFERROR(__xludf.DUMMYFUNCTION("""COMPUTED_VALUE"""),-1.0)</f>
        <v>-1</v>
      </c>
      <c r="AE22" s="19">
        <f>IFERROR(__xludf.DUMMYFUNCTION("""COMPUTED_VALUE"""),123039.91728)</f>
        <v>123039.9173</v>
      </c>
      <c r="AF22" s="20">
        <f>IFERROR(__xludf.DUMMYFUNCTION("""COMPUTED_VALUE"""),0.0)</f>
        <v>0</v>
      </c>
      <c r="AG22" s="21">
        <f>IFERROR(__xludf.DUMMYFUNCTION("""COMPUTED_VALUE"""),-123039.91728)</f>
        <v>-123039.9173</v>
      </c>
      <c r="AH22" s="29">
        <f>IFERROR(__xludf.DUMMYFUNCTION("""COMPUTED_VALUE"""),-1.0)</f>
        <v>-1</v>
      </c>
      <c r="AI22" s="30">
        <f>IFERROR(__xludf.DUMMYFUNCTION("""COMPUTED_VALUE"""),58663.43225806463)</f>
        <v>58663.43226</v>
      </c>
      <c r="AJ22" s="30">
        <f>IFERROR(__xludf.DUMMYFUNCTION("""COMPUTED_VALUE"""),-185808.00000000003)</f>
        <v>-185808</v>
      </c>
      <c r="AK22" s="4">
        <f>IFERROR(__xludf.DUMMYFUNCTION("""COMPUTED_VALUE"""),8400.0)</f>
        <v>8400</v>
      </c>
      <c r="AL22" s="4">
        <f>IFERROR(__xludf.DUMMYFUNCTION("""COMPUTED_VALUE"""),0.0)</f>
        <v>0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 t="str">
        <f>IFERROR(__xludf.DUMMYFUNCTION("""COMPUTED_VALUE"""),"[SKL] CRM - Email")</f>
        <v>[SKL] CRM - Email</v>
      </c>
      <c r="B23" s="19">
        <f>IFERROR(__xludf.DUMMYFUNCTION("""COMPUTED_VALUE"""),207.09677419354824)</f>
        <v>207.0967742</v>
      </c>
      <c r="C23" s="20">
        <f>IFERROR(__xludf.DUMMYFUNCTION("""COMPUTED_VALUE"""),205.0)</f>
        <v>205</v>
      </c>
      <c r="D23" s="21">
        <f>IFERROR(__xludf.DUMMYFUNCTION("""COMPUTED_VALUE"""),-2.0967741935482422)</f>
        <v>-2.096774194</v>
      </c>
      <c r="E23" s="22">
        <f>IFERROR(__xludf.DUMMYFUNCTION("""COMPUTED_VALUE"""),-0.010124610591899619)</f>
        <v>-0.01012461059</v>
      </c>
      <c r="F23" s="23">
        <f>IFERROR(__xludf.DUMMYFUNCTION("""COMPUTED_VALUE"""),0.8977164542590002)</f>
        <v>0.8977164543</v>
      </c>
      <c r="G23" s="23">
        <f>IFERROR(__xludf.DUMMYFUNCTION("""COMPUTED_VALUE"""),0.8097560975609757)</f>
        <v>0.8097560976</v>
      </c>
      <c r="H23" s="24">
        <f>IFERROR(__xludf.DUMMYFUNCTION("""COMPUTED_VALUE"""),-8.79603566980245)</f>
        <v>-8.79603567</v>
      </c>
      <c r="I23" s="19">
        <f>IFERROR(__xludf.DUMMYFUNCTION("""COMPUTED_VALUE"""),185.91418181750893)</f>
        <v>185.9141818</v>
      </c>
      <c r="J23" s="20">
        <f>IFERROR(__xludf.DUMMYFUNCTION("""COMPUTED_VALUE"""),166.0)</f>
        <v>166</v>
      </c>
      <c r="K23" s="21">
        <f>IFERROR(__xludf.DUMMYFUNCTION("""COMPUTED_VALUE"""),-19.914181817508933)</f>
        <v>-19.91418182</v>
      </c>
      <c r="L23" s="22">
        <f>IFERROR(__xludf.DUMMYFUNCTION("""COMPUTED_VALUE"""),-0.10711491518735482)</f>
        <v>-0.1071149152</v>
      </c>
      <c r="M23" s="25">
        <f>IFERROR(__xludf.DUMMYFUNCTION("""COMPUTED_VALUE"""),0.22)</f>
        <v>0.22</v>
      </c>
      <c r="N23" s="23">
        <f>IFERROR(__xludf.DUMMYFUNCTION("""COMPUTED_VALUE"""),0.13855421686746988)</f>
        <v>0.1385542169</v>
      </c>
      <c r="O23" s="26">
        <f>IFERROR(__xludf.DUMMYFUNCTION("""COMPUTED_VALUE"""),-8.144578313253012)</f>
        <v>-8.144578313</v>
      </c>
      <c r="P23" s="19">
        <f>IFERROR(__xludf.DUMMYFUNCTION("""COMPUTED_VALUE"""),40.15126613318805)</f>
        <v>40.15126613</v>
      </c>
      <c r="Q23" s="20">
        <f>IFERROR(__xludf.DUMMYFUNCTION("""COMPUTED_VALUE"""),23.0)</f>
        <v>23</v>
      </c>
      <c r="R23" s="21">
        <f>IFERROR(__xludf.DUMMYFUNCTION("""COMPUTED_VALUE"""),-17.151266133188052)</f>
        <v>-17.15126613</v>
      </c>
      <c r="S23" s="27">
        <f>IFERROR(__xludf.DUMMYFUNCTION("""COMPUTED_VALUE"""),-0.4271662586254344)</f>
        <v>-0.4271662586</v>
      </c>
      <c r="T23" s="23">
        <f>IFERROR(__xludf.DUMMYFUNCTION("""COMPUTED_VALUE"""),0.182)</f>
        <v>0.182</v>
      </c>
      <c r="U23" s="23">
        <f>IFERROR(__xludf.DUMMYFUNCTION("""COMPUTED_VALUE"""),0.13043478260869565)</f>
        <v>0.1304347826</v>
      </c>
      <c r="V23" s="24">
        <f>IFERROR(__xludf.DUMMYFUNCTION("""COMPUTED_VALUE"""),-5.156521739130435)</f>
        <v>-5.156521739</v>
      </c>
      <c r="W23" s="19">
        <f>IFERROR(__xludf.DUMMYFUNCTION("""COMPUTED_VALUE"""),7.307530436240226)</f>
        <v>7.307530436</v>
      </c>
      <c r="X23" s="20">
        <f>IFERROR(__xludf.DUMMYFUNCTION("""COMPUTED_VALUE"""),3.0)</f>
        <v>3</v>
      </c>
      <c r="Y23" s="21">
        <f>IFERROR(__xludf.DUMMYFUNCTION("""COMPUTED_VALUE"""),-4.307530436240226)</f>
        <v>-4.307530436</v>
      </c>
      <c r="Z23" s="28">
        <f>IFERROR(__xludf.DUMMYFUNCTION("""COMPUTED_VALUE"""),-0.5894645905103448)</f>
        <v>-0.5894645905</v>
      </c>
      <c r="AA23" s="19">
        <f>IFERROR(__xludf.DUMMYFUNCTION("""COMPUTED_VALUE"""),15800.0)</f>
        <v>15800</v>
      </c>
      <c r="AB23" s="20">
        <f>IFERROR(__xludf.DUMMYFUNCTION("""COMPUTED_VALUE"""),57951.333333333336)</f>
        <v>57951.33333</v>
      </c>
      <c r="AC23" s="21">
        <f>IFERROR(__xludf.DUMMYFUNCTION("""COMPUTED_VALUE"""),42151.333333333336)</f>
        <v>42151.33333</v>
      </c>
      <c r="AD23" s="28">
        <f>IFERROR(__xludf.DUMMYFUNCTION("""COMPUTED_VALUE"""),2.667805907172996)</f>
        <v>2.667805907</v>
      </c>
      <c r="AE23" s="19">
        <f>IFERROR(__xludf.DUMMYFUNCTION("""COMPUTED_VALUE"""),113818.24800622706)</f>
        <v>113818.248</v>
      </c>
      <c r="AF23" s="20">
        <f>IFERROR(__xludf.DUMMYFUNCTION("""COMPUTED_VALUE"""),173854.0)</f>
        <v>173854</v>
      </c>
      <c r="AG23" s="21">
        <f>IFERROR(__xludf.DUMMYFUNCTION("""COMPUTED_VALUE"""),60035.75199377294)</f>
        <v>60035.75199</v>
      </c>
      <c r="AH23" s="29">
        <f>IFERROR(__xludf.DUMMYFUNCTION("""COMPUTED_VALUE"""),0.5274703577451688)</f>
        <v>0.5274703577</v>
      </c>
      <c r="AI23" s="30">
        <f>IFERROR(__xludf.DUMMYFUNCTION("""COMPUTED_VALUE"""),-12598.34867157431)</f>
        <v>-12598.34867</v>
      </c>
      <c r="AJ23" s="30">
        <f>IFERROR(__xludf.DUMMYFUNCTION("""COMPUTED_VALUE"""),68837.08799999999)</f>
        <v>68837.088</v>
      </c>
      <c r="AK23" s="4">
        <f>IFERROR(__xludf.DUMMYFUNCTION("""COMPUTED_VALUE"""),2875.6)</f>
        <v>2875.6</v>
      </c>
      <c r="AL23" s="4">
        <f>IFERROR(__xludf.DUMMYFUNCTION("""COMPUTED_VALUE"""),7558.869565217391)</f>
        <v>7558.869565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 t="str">
        <f>IFERROR(__xludf.DUMMYFUNCTION("""COMPUTED_VALUE"""),"Form G4 - K Outros")</f>
        <v>Form G4 - K Outros</v>
      </c>
      <c r="B24" s="19">
        <f>IFERROR(__xludf.DUMMYFUNCTION("""COMPUTED_VALUE"""),374.5161290322578)</f>
        <v>374.516129</v>
      </c>
      <c r="C24" s="20">
        <f>IFERROR(__xludf.DUMMYFUNCTION("""COMPUTED_VALUE"""),327.0)</f>
        <v>327</v>
      </c>
      <c r="D24" s="21">
        <f>IFERROR(__xludf.DUMMYFUNCTION("""COMPUTED_VALUE"""),-47.51612903225782)</f>
        <v>-47.51612903</v>
      </c>
      <c r="E24" s="22">
        <f>IFERROR(__xludf.DUMMYFUNCTION("""COMPUTED_VALUE"""),-0.12687338501291934)</f>
        <v>-0.126873385</v>
      </c>
      <c r="F24" s="23">
        <f>IFERROR(__xludf.DUMMYFUNCTION("""COMPUTED_VALUE"""),0.7002901485740028)</f>
        <v>0.7002901486</v>
      </c>
      <c r="G24" s="23">
        <f>IFERROR(__xludf.DUMMYFUNCTION("""COMPUTED_VALUE"""),0.7247706422018348)</f>
        <v>0.7247706422</v>
      </c>
      <c r="H24" s="24">
        <f>IFERROR(__xludf.DUMMYFUNCTION("""COMPUTED_VALUE"""),2.4480493627832)</f>
        <v>2.448049363</v>
      </c>
      <c r="I24" s="19">
        <f>IFERROR(__xludf.DUMMYFUNCTION("""COMPUTED_VALUE"""),262.2699556433602)</f>
        <v>262.2699556</v>
      </c>
      <c r="J24" s="20">
        <f>IFERROR(__xludf.DUMMYFUNCTION("""COMPUTED_VALUE"""),237.0)</f>
        <v>237</v>
      </c>
      <c r="K24" s="21">
        <f>IFERROR(__xludf.DUMMYFUNCTION("""COMPUTED_VALUE"""),-25.26995564336022)</f>
        <v>-25.26995564</v>
      </c>
      <c r="L24" s="22">
        <f>IFERROR(__xludf.DUMMYFUNCTION("""COMPUTED_VALUE"""),-0.096350935742418)</f>
        <v>-0.09635093574</v>
      </c>
      <c r="M24" s="25">
        <f>IFERROR(__xludf.DUMMYFUNCTION("""COMPUTED_VALUE"""),0.22)</f>
        <v>0.22</v>
      </c>
      <c r="N24" s="23">
        <f>IFERROR(__xludf.DUMMYFUNCTION("""COMPUTED_VALUE"""),0.24050632911392406)</f>
        <v>0.2405063291</v>
      </c>
      <c r="O24" s="26">
        <f>IFERROR(__xludf.DUMMYFUNCTION("""COMPUTED_VALUE"""),2.0506329113924053)</f>
        <v>2.050632911</v>
      </c>
      <c r="P24" s="19">
        <f>IFERROR(__xludf.DUMMYFUNCTION("""COMPUTED_VALUE"""),56.64156808711108)</f>
        <v>56.64156809</v>
      </c>
      <c r="Q24" s="20">
        <f>IFERROR(__xludf.DUMMYFUNCTION("""COMPUTED_VALUE"""),57.0)</f>
        <v>57</v>
      </c>
      <c r="R24" s="21">
        <f>IFERROR(__xludf.DUMMYFUNCTION("""COMPUTED_VALUE"""),0.35843191288891774)</f>
        <v>0.3584319129</v>
      </c>
      <c r="S24" s="27">
        <f>IFERROR(__xludf.DUMMYFUNCTION("""COMPUTED_VALUE"""),0.0063280718559499015)</f>
        <v>0.006328071856</v>
      </c>
      <c r="T24" s="23">
        <f>IFERROR(__xludf.DUMMYFUNCTION("""COMPUTED_VALUE"""),0.155)</f>
        <v>0.155</v>
      </c>
      <c r="U24" s="23">
        <f>IFERROR(__xludf.DUMMYFUNCTION("""COMPUTED_VALUE"""),0.12280701754385964)</f>
        <v>0.1228070175</v>
      </c>
      <c r="V24" s="24">
        <f>IFERROR(__xludf.DUMMYFUNCTION("""COMPUTED_VALUE"""),-3.2192982456140355)</f>
        <v>-3.219298246</v>
      </c>
      <c r="W24" s="19">
        <f>IFERROR(__xludf.DUMMYFUNCTION("""COMPUTED_VALUE"""),8.779443053502217)</f>
        <v>8.779443054</v>
      </c>
      <c r="X24" s="20">
        <f>IFERROR(__xludf.DUMMYFUNCTION("""COMPUTED_VALUE"""),7.0)</f>
        <v>7</v>
      </c>
      <c r="Y24" s="21">
        <f>IFERROR(__xludf.DUMMYFUNCTION("""COMPUTED_VALUE"""),-1.7794430535022165)</f>
        <v>-1.779443054</v>
      </c>
      <c r="Z24" s="28">
        <f>IFERROR(__xludf.DUMMYFUNCTION("""COMPUTED_VALUE"""),-0.2026829085465025)</f>
        <v>-0.2026829085</v>
      </c>
      <c r="AA24" s="19">
        <f>IFERROR(__xludf.DUMMYFUNCTION("""COMPUTED_VALUE"""),13000.0)</f>
        <v>13000</v>
      </c>
      <c r="AB24" s="20">
        <f>IFERROR(__xludf.DUMMYFUNCTION("""COMPUTED_VALUE"""),11761.878574916294)</f>
        <v>11761.87857</v>
      </c>
      <c r="AC24" s="21">
        <f>IFERROR(__xludf.DUMMYFUNCTION("""COMPUTED_VALUE"""),-1238.1214250837056)</f>
        <v>-1238.121425</v>
      </c>
      <c r="AD24" s="28">
        <f>IFERROR(__xludf.DUMMYFUNCTION("""COMPUTED_VALUE"""),-0.09524010962182351)</f>
        <v>-0.09524010962</v>
      </c>
      <c r="AE24" s="19">
        <f>IFERROR(__xludf.DUMMYFUNCTION("""COMPUTED_VALUE"""),112510.8731103818)</f>
        <v>112510.8731</v>
      </c>
      <c r="AF24" s="20">
        <f>IFERROR(__xludf.DUMMYFUNCTION("""COMPUTED_VALUE"""),82333.15002441406)</f>
        <v>82333.15002</v>
      </c>
      <c r="AG24" s="21">
        <f>IFERROR(__xludf.DUMMYFUNCTION("""COMPUTED_VALUE"""),-30177.723085967737)</f>
        <v>-30177.72309</v>
      </c>
      <c r="AH24" s="29">
        <f>IFERROR(__xludf.DUMMYFUNCTION("""COMPUTED_VALUE"""),-0.2682205039539696)</f>
        <v>-0.268220504</v>
      </c>
      <c r="AI24" s="30">
        <f>IFERROR(__xludf.DUMMYFUNCTION("""COMPUTED_VALUE"""),-11202.171336701584)</f>
        <v>-11202.17134</v>
      </c>
      <c r="AJ24" s="30">
        <f>IFERROR(__xludf.DUMMYFUNCTION("""COMPUTED_VALUE"""),-22728.94997558592)</f>
        <v>-22728.94998</v>
      </c>
      <c r="AK24" s="4">
        <f>IFERROR(__xludf.DUMMYFUNCTION("""COMPUTED_VALUE"""),2014.9999999999998)</f>
        <v>2015</v>
      </c>
      <c r="AL24" s="4">
        <f>IFERROR(__xludf.DUMMYFUNCTION("""COMPUTED_VALUE"""),1444.4412284984924)</f>
        <v>1444.441228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 t="str">
        <f>IFERROR(__xludf.DUMMYFUNCTION("""COMPUTED_VALUE"""),"[SKL] Social")</f>
        <v>[SKL] Social</v>
      </c>
      <c r="B25" s="19">
        <f>IFERROR(__xludf.DUMMYFUNCTION("""COMPUTED_VALUE"""),241.93548387096757)</f>
        <v>241.9354839</v>
      </c>
      <c r="C25" s="20">
        <f>IFERROR(__xludf.DUMMYFUNCTION("""COMPUTED_VALUE"""),235.0)</f>
        <v>235</v>
      </c>
      <c r="D25" s="21">
        <f>IFERROR(__xludf.DUMMYFUNCTION("""COMPUTED_VALUE"""),-6.935483870967573)</f>
        <v>-6.935483871</v>
      </c>
      <c r="E25" s="22">
        <f>IFERROR(__xludf.DUMMYFUNCTION("""COMPUTED_VALUE"""),-0.02866666666666599)</f>
        <v>-0.02866666667</v>
      </c>
      <c r="F25" s="23">
        <f>IFERROR(__xludf.DUMMYFUNCTION("""COMPUTED_VALUE"""),0.7887)</f>
        <v>0.7887</v>
      </c>
      <c r="G25" s="23">
        <f>IFERROR(__xludf.DUMMYFUNCTION("""COMPUTED_VALUE"""),0.8936170212765957)</f>
        <v>0.8936170213</v>
      </c>
      <c r="H25" s="24">
        <f>IFERROR(__xludf.DUMMYFUNCTION("""COMPUTED_VALUE"""),10.491702127659575)</f>
        <v>10.49170213</v>
      </c>
      <c r="I25" s="19">
        <f>IFERROR(__xludf.DUMMYFUNCTION("""COMPUTED_VALUE"""),190.8145161290321)</f>
        <v>190.8145161</v>
      </c>
      <c r="J25" s="20">
        <f>IFERROR(__xludf.DUMMYFUNCTION("""COMPUTED_VALUE"""),210.0)</f>
        <v>210</v>
      </c>
      <c r="K25" s="21">
        <f>IFERROR(__xludf.DUMMYFUNCTION("""COMPUTED_VALUE"""),19.185483870967886)</f>
        <v>19.18548387</v>
      </c>
      <c r="L25" s="22">
        <f>IFERROR(__xludf.DUMMYFUNCTION("""COMPUTED_VALUE"""),0.10054520096361183)</f>
        <v>0.100545201</v>
      </c>
      <c r="M25" s="25">
        <f>IFERROR(__xludf.DUMMYFUNCTION("""COMPUTED_VALUE"""),0.18)</f>
        <v>0.18</v>
      </c>
      <c r="N25" s="23">
        <f>IFERROR(__xludf.DUMMYFUNCTION("""COMPUTED_VALUE"""),0.18095238095238095)</f>
        <v>0.180952381</v>
      </c>
      <c r="O25" s="26">
        <f>IFERROR(__xludf.DUMMYFUNCTION("""COMPUTED_VALUE"""),0.09523809523809545)</f>
        <v>0.09523809524</v>
      </c>
      <c r="P25" s="19">
        <f>IFERROR(__xludf.DUMMYFUNCTION("""COMPUTED_VALUE"""),33.716925)</f>
        <v>33.716925</v>
      </c>
      <c r="Q25" s="20">
        <f>IFERROR(__xludf.DUMMYFUNCTION("""COMPUTED_VALUE"""),38.0)</f>
        <v>38</v>
      </c>
      <c r="R25" s="21">
        <f>IFERROR(__xludf.DUMMYFUNCTION("""COMPUTED_VALUE"""),4.283074999999997)</f>
        <v>4.283075</v>
      </c>
      <c r="S25" s="27">
        <f>IFERROR(__xludf.DUMMYFUNCTION("""COMPUTED_VALUE"""),0.1270304157333445)</f>
        <v>0.1270304157</v>
      </c>
      <c r="T25" s="23">
        <f>IFERROR(__xludf.DUMMYFUNCTION("""COMPUTED_VALUE"""),0.16)</f>
        <v>0.16</v>
      </c>
      <c r="U25" s="23">
        <f>IFERROR(__xludf.DUMMYFUNCTION("""COMPUTED_VALUE"""),0.07894736842105263)</f>
        <v>0.07894736842</v>
      </c>
      <c r="V25" s="24">
        <f>IFERROR(__xludf.DUMMYFUNCTION("""COMPUTED_VALUE"""),-8.105263157894738)</f>
        <v>-8.105263158</v>
      </c>
      <c r="W25" s="19">
        <f>IFERROR(__xludf.DUMMYFUNCTION("""COMPUTED_VALUE"""),5.394708000000001)</f>
        <v>5.394708</v>
      </c>
      <c r="X25" s="20">
        <f>IFERROR(__xludf.DUMMYFUNCTION("""COMPUTED_VALUE"""),3.0)</f>
        <v>3</v>
      </c>
      <c r="Y25" s="21">
        <f>IFERROR(__xludf.DUMMYFUNCTION("""COMPUTED_VALUE"""),-2.3947080000000014)</f>
        <v>-2.394708</v>
      </c>
      <c r="Z25" s="28">
        <f>IFERROR(__xludf.DUMMYFUNCTION("""COMPUTED_VALUE"""),-0.44389946592104723)</f>
        <v>-0.4438994659</v>
      </c>
      <c r="AA25" s="19">
        <f>IFERROR(__xludf.DUMMYFUNCTION("""COMPUTED_VALUE"""),21000.0)</f>
        <v>21000</v>
      </c>
      <c r="AB25" s="20">
        <f>IFERROR(__xludf.DUMMYFUNCTION("""COMPUTED_VALUE"""),14361.666666666666)</f>
        <v>14361.66667</v>
      </c>
      <c r="AC25" s="21">
        <f>IFERROR(__xludf.DUMMYFUNCTION("""COMPUTED_VALUE"""),-6638.333333333334)</f>
        <v>-6638.333333</v>
      </c>
      <c r="AD25" s="28">
        <f>IFERROR(__xludf.DUMMYFUNCTION("""COMPUTED_VALUE"""),-0.3161111111111111)</f>
        <v>-0.3161111111</v>
      </c>
      <c r="AE25" s="19">
        <f>IFERROR(__xludf.DUMMYFUNCTION("""COMPUTED_VALUE"""),111678.97355999998)</f>
        <v>111678.9736</v>
      </c>
      <c r="AF25" s="20">
        <f>IFERROR(__xludf.DUMMYFUNCTION("""COMPUTED_VALUE"""),43085.0)</f>
        <v>43085</v>
      </c>
      <c r="AG25" s="21">
        <f>IFERROR(__xludf.DUMMYFUNCTION("""COMPUTED_VALUE"""),-68593.97355999998)</f>
        <v>-68593.97356</v>
      </c>
      <c r="AH25" s="29">
        <f>IFERROR(__xludf.DUMMYFUNCTION("""COMPUTED_VALUE"""),-0.6142066977643521)</f>
        <v>-0.6142066978</v>
      </c>
      <c r="AI25" s="30">
        <f>IFERROR(__xludf.DUMMYFUNCTION("""COMPUTED_VALUE"""),11603.380645161376)</f>
        <v>11603.38065</v>
      </c>
      <c r="AJ25" s="30">
        <f>IFERROR(__xludf.DUMMYFUNCTION("""COMPUTED_VALUE"""),-83923.0)</f>
        <v>-83923</v>
      </c>
      <c r="AK25" s="4">
        <f>IFERROR(__xludf.DUMMYFUNCTION("""COMPUTED_VALUE"""),3360.0)</f>
        <v>3360</v>
      </c>
      <c r="AL25" s="4">
        <f>IFERROR(__xludf.DUMMYFUNCTION("""COMPUTED_VALUE"""),1133.8157894736842)</f>
        <v>1133.815789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 t="str">
        <f>IFERROR(__xludf.DUMMYFUNCTION("""COMPUTED_VALUE"""),"Form G4 Facebook")</f>
        <v>Form G4 Facebook</v>
      </c>
      <c r="B26" s="19">
        <f>IFERROR(__xludf.DUMMYFUNCTION("""COMPUTED_VALUE"""),174.19354838709666)</f>
        <v>174.1935484</v>
      </c>
      <c r="C26" s="20">
        <f>IFERROR(__xludf.DUMMYFUNCTION("""COMPUTED_VALUE"""),236.0)</f>
        <v>236</v>
      </c>
      <c r="D26" s="21">
        <f>IFERROR(__xludf.DUMMYFUNCTION("""COMPUTED_VALUE"""),61.806451612903345)</f>
        <v>61.80645161</v>
      </c>
      <c r="E26" s="22">
        <f>IFERROR(__xludf.DUMMYFUNCTION("""COMPUTED_VALUE"""),0.35481481481481575)</f>
        <v>0.3548148148</v>
      </c>
      <c r="F26" s="23">
        <f>IFERROR(__xludf.DUMMYFUNCTION("""COMPUTED_VALUE"""),0.7488125590778879)</f>
        <v>0.7488125591</v>
      </c>
      <c r="G26" s="23">
        <f>IFERROR(__xludf.DUMMYFUNCTION("""COMPUTED_VALUE"""),0.711864406779661)</f>
        <v>0.7118644068</v>
      </c>
      <c r="H26" s="24">
        <f>IFERROR(__xludf.DUMMYFUNCTION("""COMPUTED_VALUE"""),-3.69481522982269)</f>
        <v>-3.69481523</v>
      </c>
      <c r="I26" s="19">
        <f>IFERROR(__xludf.DUMMYFUNCTION("""COMPUTED_VALUE"""),130.43831674259974)</f>
        <v>130.4383167</v>
      </c>
      <c r="J26" s="20">
        <f>IFERROR(__xludf.DUMMYFUNCTION("""COMPUTED_VALUE"""),168.0)</f>
        <v>168</v>
      </c>
      <c r="K26" s="21">
        <f>IFERROR(__xludf.DUMMYFUNCTION("""COMPUTED_VALUE"""),37.56168325740026)</f>
        <v>37.56168326</v>
      </c>
      <c r="L26" s="22">
        <f>IFERROR(__xludf.DUMMYFUNCTION("""COMPUTED_VALUE"""),0.2879651025512891)</f>
        <v>0.2879651026</v>
      </c>
      <c r="M26" s="25">
        <f>IFERROR(__xludf.DUMMYFUNCTION("""COMPUTED_VALUE"""),0.27)</f>
        <v>0.27</v>
      </c>
      <c r="N26" s="23">
        <f>IFERROR(__xludf.DUMMYFUNCTION("""COMPUTED_VALUE"""),0.26785714285714285)</f>
        <v>0.2678571429</v>
      </c>
      <c r="O26" s="26">
        <f>IFERROR(__xludf.DUMMYFUNCTION("""COMPUTED_VALUE"""),-0.21428571428571686)</f>
        <v>-0.2142857143</v>
      </c>
      <c r="P26" s="19">
        <f>IFERROR(__xludf.DUMMYFUNCTION("""COMPUTED_VALUE"""),34.5726758526261)</f>
        <v>34.57267585</v>
      </c>
      <c r="Q26" s="20">
        <f>IFERROR(__xludf.DUMMYFUNCTION("""COMPUTED_VALUE"""),45.0)</f>
        <v>45</v>
      </c>
      <c r="R26" s="21">
        <f>IFERROR(__xludf.DUMMYFUNCTION("""COMPUTED_VALUE"""),10.427324147373902)</f>
        <v>10.42732415</v>
      </c>
      <c r="S26" s="27">
        <f>IFERROR(__xludf.DUMMYFUNCTION("""COMPUTED_VALUE"""),0.3016059327262589)</f>
        <v>0.3016059327</v>
      </c>
      <c r="T26" s="23">
        <f>IFERROR(__xludf.DUMMYFUNCTION("""COMPUTED_VALUE"""),0.14)</f>
        <v>0.14</v>
      </c>
      <c r="U26" s="23">
        <f>IFERROR(__xludf.DUMMYFUNCTION("""COMPUTED_VALUE"""),0.1111111111111111)</f>
        <v>0.1111111111</v>
      </c>
      <c r="V26" s="24">
        <f>IFERROR(__xludf.DUMMYFUNCTION("""COMPUTED_VALUE"""),-2.888888888888891)</f>
        <v>-2.888888889</v>
      </c>
      <c r="W26" s="19">
        <f>IFERROR(__xludf.DUMMYFUNCTION("""COMPUTED_VALUE"""),4.840174619367653)</f>
        <v>4.840174619</v>
      </c>
      <c r="X26" s="20">
        <f>IFERROR(__xludf.DUMMYFUNCTION("""COMPUTED_VALUE"""),5.0)</f>
        <v>5</v>
      </c>
      <c r="Y26" s="21">
        <f>IFERROR(__xludf.DUMMYFUNCTION("""COMPUTED_VALUE"""),0.15982538063234664)</f>
        <v>0.1598253806</v>
      </c>
      <c r="Z26" s="28">
        <f>IFERROR(__xludf.DUMMYFUNCTION("""COMPUTED_VALUE"""),0.03302058152877697)</f>
        <v>0.03302058153</v>
      </c>
      <c r="AA26" s="19">
        <f>IFERROR(__xludf.DUMMYFUNCTION("""COMPUTED_VALUE"""),23000.0)</f>
        <v>23000</v>
      </c>
      <c r="AB26" s="20">
        <f>IFERROR(__xludf.DUMMYFUNCTION("""COMPUTED_VALUE"""),20930.8)</f>
        <v>20930.8</v>
      </c>
      <c r="AC26" s="21">
        <f>IFERROR(__xludf.DUMMYFUNCTION("""COMPUTED_VALUE"""),-2069.2000000000007)</f>
        <v>-2069.2</v>
      </c>
      <c r="AD26" s="28">
        <f>IFERROR(__xludf.DUMMYFUNCTION("""COMPUTED_VALUE"""),-0.08996521739130438)</f>
        <v>-0.08996521739</v>
      </c>
      <c r="AE26" s="19">
        <f>IFERROR(__xludf.DUMMYFUNCTION("""COMPUTED_VALUE"""),109742.04338302057)</f>
        <v>109742.0434</v>
      </c>
      <c r="AF26" s="20">
        <f>IFERROR(__xludf.DUMMYFUNCTION("""COMPUTED_VALUE"""),104654.0)</f>
        <v>104654</v>
      </c>
      <c r="AG26" s="21">
        <f>IFERROR(__xludf.DUMMYFUNCTION("""COMPUTED_VALUE"""),-5088.043383020573)</f>
        <v>-5088.043383</v>
      </c>
      <c r="AH26" s="29">
        <f>IFERROR(__xludf.DUMMYFUNCTION("""COMPUTED_VALUE"""),-0.04636366543005159)</f>
        <v>-0.04636366543</v>
      </c>
      <c r="AI26" s="30">
        <f>IFERROR(__xludf.DUMMYFUNCTION("""COMPUTED_VALUE"""),32656.127423983795)</f>
        <v>32656.12742</v>
      </c>
      <c r="AJ26" s="30">
        <f>IFERROR(__xludf.DUMMYFUNCTION("""COMPUTED_VALUE"""),-41405.20000000004)</f>
        <v>-41405.2</v>
      </c>
      <c r="AK26" s="4">
        <f>IFERROR(__xludf.DUMMYFUNCTION("""COMPUTED_VALUE"""),3220.0)</f>
        <v>3220</v>
      </c>
      <c r="AL26" s="4">
        <f>IFERROR(__xludf.DUMMYFUNCTION("""COMPUTED_VALUE"""),2325.6444444444446)</f>
        <v>2325.644444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 t="str">
        <f>IFERROR(__xludf.DUMMYFUNCTION("""COMPUTED_VALUE"""),"[SKL] Midia Paga - Quente")</f>
        <v>[SKL] Midia Paga - Quente</v>
      </c>
      <c r="B27" s="19">
        <f>IFERROR(__xludf.DUMMYFUNCTION("""COMPUTED_VALUE"""),449.9999999999997)</f>
        <v>450</v>
      </c>
      <c r="C27" s="20">
        <f>IFERROR(__xludf.DUMMYFUNCTION("""COMPUTED_VALUE"""),852.0)</f>
        <v>852</v>
      </c>
      <c r="D27" s="21">
        <f>IFERROR(__xludf.DUMMYFUNCTION("""COMPUTED_VALUE"""),402.0000000000003)</f>
        <v>402</v>
      </c>
      <c r="E27" s="22">
        <f>IFERROR(__xludf.DUMMYFUNCTION("""COMPUTED_VALUE"""),0.8933333333333345)</f>
        <v>0.8933333333</v>
      </c>
      <c r="F27" s="23">
        <f>IFERROR(__xludf.DUMMYFUNCTION("""COMPUTED_VALUE"""),0.801)</f>
        <v>0.801</v>
      </c>
      <c r="G27" s="23">
        <f>IFERROR(__xludf.DUMMYFUNCTION("""COMPUTED_VALUE"""),0.8028169014084507)</f>
        <v>0.8028169014</v>
      </c>
      <c r="H27" s="24">
        <f>IFERROR(__xludf.DUMMYFUNCTION("""COMPUTED_VALUE"""),0.18169014084506996)</f>
        <v>0.1816901408</v>
      </c>
      <c r="I27" s="19">
        <f>IFERROR(__xludf.DUMMYFUNCTION("""COMPUTED_VALUE"""),360.4499999999998)</f>
        <v>360.45</v>
      </c>
      <c r="J27" s="20">
        <f>IFERROR(__xludf.DUMMYFUNCTION("""COMPUTED_VALUE"""),684.0)</f>
        <v>684</v>
      </c>
      <c r="K27" s="21">
        <f>IFERROR(__xludf.DUMMYFUNCTION("""COMPUTED_VALUE"""),323.5500000000002)</f>
        <v>323.55</v>
      </c>
      <c r="L27" s="22">
        <f>IFERROR(__xludf.DUMMYFUNCTION("""COMPUTED_VALUE"""),0.8976279650436964)</f>
        <v>0.897627965</v>
      </c>
      <c r="M27" s="25">
        <f>IFERROR(__xludf.DUMMYFUNCTION("""COMPUTED_VALUE"""),0.1746)</f>
        <v>0.1746</v>
      </c>
      <c r="N27" s="23">
        <f>IFERROR(__xludf.DUMMYFUNCTION("""COMPUTED_VALUE"""),0.12573099415204678)</f>
        <v>0.1257309942</v>
      </c>
      <c r="O27" s="26">
        <f>IFERROR(__xludf.DUMMYFUNCTION("""COMPUTED_VALUE"""),-4.886900584795323)</f>
        <v>-4.886900585</v>
      </c>
      <c r="P27" s="19">
        <f>IFERROR(__xludf.DUMMYFUNCTION("""COMPUTED_VALUE"""),61.78076955000003)</f>
        <v>61.78076955</v>
      </c>
      <c r="Q27" s="20">
        <f>IFERROR(__xludf.DUMMYFUNCTION("""COMPUTED_VALUE"""),86.0)</f>
        <v>86</v>
      </c>
      <c r="R27" s="21">
        <f>IFERROR(__xludf.DUMMYFUNCTION("""COMPUTED_VALUE"""),24.21923044999997)</f>
        <v>24.21923045</v>
      </c>
      <c r="S27" s="27">
        <f>IFERROR(__xludf.DUMMYFUNCTION("""COMPUTED_VALUE"""),0.3920189182881416)</f>
        <v>0.3920189183</v>
      </c>
      <c r="T27" s="23">
        <f>IFERROR(__xludf.DUMMYFUNCTION("""COMPUTED_VALUE"""),0.0794)</f>
        <v>0.0794</v>
      </c>
      <c r="U27" s="23">
        <f>IFERROR(__xludf.DUMMYFUNCTION("""COMPUTED_VALUE"""),0.11627906976744186)</f>
        <v>0.1162790698</v>
      </c>
      <c r="V27" s="24">
        <f>IFERROR(__xludf.DUMMYFUNCTION("""COMPUTED_VALUE"""),3.687906976744186)</f>
        <v>3.687906977</v>
      </c>
      <c r="W27" s="19">
        <f>IFERROR(__xludf.DUMMYFUNCTION("""COMPUTED_VALUE"""),4.905393102270002)</f>
        <v>4.905393102</v>
      </c>
      <c r="X27" s="20">
        <f>IFERROR(__xludf.DUMMYFUNCTION("""COMPUTED_VALUE"""),10.0)</f>
        <v>10</v>
      </c>
      <c r="Y27" s="21">
        <f>IFERROR(__xludf.DUMMYFUNCTION("""COMPUTED_VALUE"""),5.094606897729998)</f>
        <v>5.094606898</v>
      </c>
      <c r="Z27" s="28">
        <f>IFERROR(__xludf.DUMMYFUNCTION("""COMPUTED_VALUE"""),1.0385726060104001)</f>
        <v>1.038572606</v>
      </c>
      <c r="AA27" s="19">
        <f>IFERROR(__xludf.DUMMYFUNCTION("""COMPUTED_VALUE"""),21356.0)</f>
        <v>21356</v>
      </c>
      <c r="AB27" s="20">
        <f>IFERROR(__xludf.DUMMYFUNCTION("""COMPUTED_VALUE"""),13131.3)</f>
        <v>13131.3</v>
      </c>
      <c r="AC27" s="21">
        <f>IFERROR(__xludf.DUMMYFUNCTION("""COMPUTED_VALUE"""),-8224.7)</f>
        <v>-8224.7</v>
      </c>
      <c r="AD27" s="28">
        <f>IFERROR(__xludf.DUMMYFUNCTION("""COMPUTED_VALUE"""),-0.3851236186551789)</f>
        <v>-0.3851236187</v>
      </c>
      <c r="AE27" s="19">
        <f>IFERROR(__xludf.DUMMYFUNCTION("""COMPUTED_VALUE"""),103270.88639340125)</f>
        <v>103270.8864</v>
      </c>
      <c r="AF27" s="20">
        <f>IFERROR(__xludf.DUMMYFUNCTION("""COMPUTED_VALUE"""),131313.0)</f>
        <v>131313</v>
      </c>
      <c r="AG27" s="21">
        <f>IFERROR(__xludf.DUMMYFUNCTION("""COMPUTED_VALUE"""),28042.113606598752)</f>
        <v>28042.11361</v>
      </c>
      <c r="AH27" s="29">
        <f>IFERROR(__xludf.DUMMYFUNCTION("""COMPUTED_VALUE"""),0.2715393910707304)</f>
        <v>0.2715393911</v>
      </c>
      <c r="AI27" s="30">
        <f>IFERROR(__xludf.DUMMYFUNCTION("""COMPUTED_VALUE"""),95791.29800551206)</f>
        <v>95791.29801</v>
      </c>
      <c r="AJ27" s="30">
        <f>IFERROR(__xludf.DUMMYFUNCTION("""COMPUTED_VALUE"""),-71194.33375296001)</f>
        <v>-71194.33375</v>
      </c>
      <c r="AK27" s="4">
        <f>IFERROR(__xludf.DUMMYFUNCTION("""COMPUTED_VALUE"""),1695.6664)</f>
        <v>1695.6664</v>
      </c>
      <c r="AL27" s="4">
        <f>IFERROR(__xludf.DUMMYFUNCTION("""COMPUTED_VALUE"""),1526.8953488372092)</f>
        <v>1526.895349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 t="str">
        <f>IFERROR(__xludf.DUMMYFUNCTION("""COMPUTED_VALUE"""),"[CM] Form G4 - Outros")</f>
        <v>[CM] Form G4 - Outros</v>
      </c>
      <c r="B28" s="19">
        <f>IFERROR(__xludf.DUMMYFUNCTION("""COMPUTED_VALUE"""),51.48387096774191)</f>
        <v>51.48387097</v>
      </c>
      <c r="C28" s="20">
        <f>IFERROR(__xludf.DUMMYFUNCTION("""COMPUTED_VALUE"""),73.0)</f>
        <v>73</v>
      </c>
      <c r="D28" s="21">
        <f>IFERROR(__xludf.DUMMYFUNCTION("""COMPUTED_VALUE"""),21.516129032258092)</f>
        <v>21.51612903</v>
      </c>
      <c r="E28" s="22">
        <f>IFERROR(__xludf.DUMMYFUNCTION("""COMPUTED_VALUE"""),0.41791979949874764)</f>
        <v>0.4179197995</v>
      </c>
      <c r="F28" s="23">
        <f>IFERROR(__xludf.DUMMYFUNCTION("""COMPUTED_VALUE"""),0.7)</f>
        <v>0.7</v>
      </c>
      <c r="G28" s="23">
        <f>IFERROR(__xludf.DUMMYFUNCTION("""COMPUTED_VALUE"""),0.5753424657534246)</f>
        <v>0.5753424658</v>
      </c>
      <c r="H28" s="24">
        <f>IFERROR(__xludf.DUMMYFUNCTION("""COMPUTED_VALUE"""),-12.465753424657533)</f>
        <v>-12.46575342</v>
      </c>
      <c r="I28" s="19">
        <f>IFERROR(__xludf.DUMMYFUNCTION("""COMPUTED_VALUE"""),36.038709677419334)</f>
        <v>36.03870968</v>
      </c>
      <c r="J28" s="20">
        <f>IFERROR(__xludf.DUMMYFUNCTION("""COMPUTED_VALUE"""),42.0)</f>
        <v>42</v>
      </c>
      <c r="K28" s="21">
        <f>IFERROR(__xludf.DUMMYFUNCTION("""COMPUTED_VALUE"""),5.961290322580666)</f>
        <v>5.961290323</v>
      </c>
      <c r="L28" s="22">
        <f>IFERROR(__xludf.DUMMYFUNCTION("""COMPUTED_VALUE"""),0.16541353383458715)</f>
        <v>0.1654135338</v>
      </c>
      <c r="M28" s="25">
        <f>IFERROR(__xludf.DUMMYFUNCTION("""COMPUTED_VALUE"""),0.28)</f>
        <v>0.28</v>
      </c>
      <c r="N28" s="23">
        <f>IFERROR(__xludf.DUMMYFUNCTION("""COMPUTED_VALUE"""),0.3333333333333333)</f>
        <v>0.3333333333</v>
      </c>
      <c r="O28" s="26">
        <f>IFERROR(__xludf.DUMMYFUNCTION("""COMPUTED_VALUE"""),5.333333333333329)</f>
        <v>5.333333333</v>
      </c>
      <c r="P28" s="19">
        <f>IFERROR(__xludf.DUMMYFUNCTION("""COMPUTED_VALUE"""),9.905840000000003)</f>
        <v>9.90584</v>
      </c>
      <c r="Q28" s="20">
        <f>IFERROR(__xludf.DUMMYFUNCTION("""COMPUTED_VALUE"""),14.0)</f>
        <v>14</v>
      </c>
      <c r="R28" s="21">
        <f>IFERROR(__xludf.DUMMYFUNCTION("""COMPUTED_VALUE"""),4.094159999999997)</f>
        <v>4.09416</v>
      </c>
      <c r="S28" s="27">
        <f>IFERROR(__xludf.DUMMYFUNCTION("""COMPUTED_VALUE"""),0.41330770535360917)</f>
        <v>0.4133077054</v>
      </c>
      <c r="T28" s="23">
        <f>IFERROR(__xludf.DUMMYFUNCTION("""COMPUTED_VALUE"""),0.21)</f>
        <v>0.21</v>
      </c>
      <c r="U28" s="23">
        <f>IFERROR(__xludf.DUMMYFUNCTION("""COMPUTED_VALUE"""),0.21428571428571427)</f>
        <v>0.2142857143</v>
      </c>
      <c r="V28" s="24">
        <f>IFERROR(__xludf.DUMMYFUNCTION("""COMPUTED_VALUE"""),0.42857142857142816)</f>
        <v>0.4285714286</v>
      </c>
      <c r="W28" s="19">
        <f>IFERROR(__xludf.DUMMYFUNCTION("""COMPUTED_VALUE"""),2.080226400000001)</f>
        <v>2.0802264</v>
      </c>
      <c r="X28" s="20">
        <f>IFERROR(__xludf.DUMMYFUNCTION("""COMPUTED_VALUE"""),3.0)</f>
        <v>3</v>
      </c>
      <c r="Y28" s="21">
        <f>IFERROR(__xludf.DUMMYFUNCTION("""COMPUTED_VALUE"""),0.9197735999999992)</f>
        <v>0.9197736</v>
      </c>
      <c r="Z28" s="28">
        <f>IFERROR(__xludf.DUMMYFUNCTION("""COMPUTED_VALUE"""),0.44215071974858067)</f>
        <v>0.4421507197</v>
      </c>
      <c r="AA28" s="19">
        <f>IFERROR(__xludf.DUMMYFUNCTION("""COMPUTED_VALUE"""),40000.0)</f>
        <v>40000</v>
      </c>
      <c r="AB28" s="20">
        <f>IFERROR(__xludf.DUMMYFUNCTION("""COMPUTED_VALUE"""),46266.666666666664)</f>
        <v>46266.66667</v>
      </c>
      <c r="AC28" s="21">
        <f>IFERROR(__xludf.DUMMYFUNCTION("""COMPUTED_VALUE"""),6266.666666666664)</f>
        <v>6266.666667</v>
      </c>
      <c r="AD28" s="28">
        <f>IFERROR(__xludf.DUMMYFUNCTION("""COMPUTED_VALUE"""),0.1566666666666666)</f>
        <v>0.1566666667</v>
      </c>
      <c r="AE28" s="19">
        <f>IFERROR(__xludf.DUMMYFUNCTION("""COMPUTED_VALUE"""),82026.61152)</f>
        <v>82026.61152</v>
      </c>
      <c r="AF28" s="20">
        <f>IFERROR(__xludf.DUMMYFUNCTION("""COMPUTED_VALUE"""),138800.0)</f>
        <v>138800</v>
      </c>
      <c r="AG28" s="21">
        <f>IFERROR(__xludf.DUMMYFUNCTION("""COMPUTED_VALUE"""),56773.388479999994)</f>
        <v>56773.38848</v>
      </c>
      <c r="AH28" s="29">
        <f>IFERROR(__xludf.DUMMYFUNCTION("""COMPUTED_VALUE"""),0.6921337774163366)</f>
        <v>0.6921337774</v>
      </c>
      <c r="AI28" s="30">
        <f>IFERROR(__xludf.DUMMYFUNCTION("""COMPUTED_VALUE"""),14020.954838709727)</f>
        <v>14020.95484</v>
      </c>
      <c r="AJ28" s="30">
        <f>IFERROR(__xludf.DUMMYFUNCTION("""COMPUTED_VALUE"""),40015.99999999999)</f>
        <v>40016</v>
      </c>
      <c r="AK28" s="4">
        <f>IFERROR(__xludf.DUMMYFUNCTION("""COMPUTED_VALUE"""),8400.0)</f>
        <v>8400</v>
      </c>
      <c r="AL28" s="4">
        <f>IFERROR(__xludf.DUMMYFUNCTION("""COMPUTED_VALUE"""),9914.285714285714)</f>
        <v>9914.285714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 t="str">
        <f>IFERROR(__xludf.DUMMYFUNCTION("""COMPUTED_VALUE"""),"Aplicativo G4 - Indicação")</f>
        <v>Aplicativo G4 - Indicação</v>
      </c>
      <c r="B29" s="19">
        <f>IFERROR(__xludf.DUMMYFUNCTION("""COMPUTED_VALUE"""),156.774193548387)</f>
        <v>156.7741935</v>
      </c>
      <c r="C29" s="20">
        <f>IFERROR(__xludf.DUMMYFUNCTION("""COMPUTED_VALUE"""),333.0)</f>
        <v>333</v>
      </c>
      <c r="D29" s="21">
        <f>IFERROR(__xludf.DUMMYFUNCTION("""COMPUTED_VALUE"""),176.225806451613)</f>
        <v>176.2258065</v>
      </c>
      <c r="E29" s="22">
        <f>IFERROR(__xludf.DUMMYFUNCTION("""COMPUTED_VALUE"""),1.1240740740740756)</f>
        <v>1.124074074</v>
      </c>
      <c r="F29" s="23">
        <f>IFERROR(__xludf.DUMMYFUNCTION("""COMPUTED_VALUE"""),0.6697217630478434)</f>
        <v>0.669721763</v>
      </c>
      <c r="G29" s="23">
        <f>IFERROR(__xludf.DUMMYFUNCTION("""COMPUTED_VALUE"""),0.93993993993994)</f>
        <v>0.9399399399</v>
      </c>
      <c r="H29" s="24">
        <f>IFERROR(__xludf.DUMMYFUNCTION("""COMPUTED_VALUE"""),27.02181768920966)</f>
        <v>27.02181769</v>
      </c>
      <c r="I29" s="19">
        <f>IFERROR(__xludf.DUMMYFUNCTION("""COMPUTED_VALUE"""),104.99508930362957)</f>
        <v>104.9950893</v>
      </c>
      <c r="J29" s="20">
        <f>IFERROR(__xludf.DUMMYFUNCTION("""COMPUTED_VALUE"""),313.0)</f>
        <v>313</v>
      </c>
      <c r="K29" s="21">
        <f>IFERROR(__xludf.DUMMYFUNCTION("""COMPUTED_VALUE"""),208.00491069637042)</f>
        <v>208.0049107</v>
      </c>
      <c r="L29" s="22">
        <f>IFERROR(__xludf.DUMMYFUNCTION("""COMPUTED_VALUE"""),1.9810918022542212)</f>
        <v>1.981091802</v>
      </c>
      <c r="M29" s="25">
        <f>IFERROR(__xludf.DUMMYFUNCTION("""COMPUTED_VALUE"""),0.21)</f>
        <v>0.21</v>
      </c>
      <c r="N29" s="23">
        <f>IFERROR(__xludf.DUMMYFUNCTION("""COMPUTED_VALUE"""),0.08306709265175719)</f>
        <v>0.08306709265</v>
      </c>
      <c r="O29" s="26">
        <f>IFERROR(__xludf.DUMMYFUNCTION("""COMPUTED_VALUE"""),-12.69329073482428)</f>
        <v>-12.69329073</v>
      </c>
      <c r="P29" s="19">
        <f>IFERROR(__xludf.DUMMYFUNCTION("""COMPUTED_VALUE"""),21.644737659943253)</f>
        <v>21.64473766</v>
      </c>
      <c r="Q29" s="20">
        <f>IFERROR(__xludf.DUMMYFUNCTION("""COMPUTED_VALUE"""),26.0)</f>
        <v>26</v>
      </c>
      <c r="R29" s="21">
        <f>IFERROR(__xludf.DUMMYFUNCTION("""COMPUTED_VALUE"""),4.355262340056747)</f>
        <v>4.35526234</v>
      </c>
      <c r="S29" s="27">
        <f>IFERROR(__xludf.DUMMYFUNCTION("""COMPUTED_VALUE"""),0.20121576008365283)</f>
        <v>0.2012157601</v>
      </c>
      <c r="T29" s="23">
        <f>IFERROR(__xludf.DUMMYFUNCTION("""COMPUTED_VALUE"""),0.13)</f>
        <v>0.13</v>
      </c>
      <c r="U29" s="23">
        <f>IFERROR(__xludf.DUMMYFUNCTION("""COMPUTED_VALUE"""),0.038461538461538464)</f>
        <v>0.03846153846</v>
      </c>
      <c r="V29" s="24">
        <f>IFERROR(__xludf.DUMMYFUNCTION("""COMPUTED_VALUE"""),-9.153846153846153)</f>
        <v>-9.153846154</v>
      </c>
      <c r="W29" s="19">
        <f>IFERROR(__xludf.DUMMYFUNCTION("""COMPUTED_VALUE"""),2.813815895792623)</f>
        <v>2.813815896</v>
      </c>
      <c r="X29" s="20">
        <f>IFERROR(__xludf.DUMMYFUNCTION("""COMPUTED_VALUE"""),1.0)</f>
        <v>1</v>
      </c>
      <c r="Y29" s="21">
        <f>IFERROR(__xludf.DUMMYFUNCTION("""COMPUTED_VALUE"""),-1.8138158957926231)</f>
        <v>-1.813815896</v>
      </c>
      <c r="Z29" s="28">
        <f>IFERROR(__xludf.DUMMYFUNCTION("""COMPUTED_VALUE"""),-0.6446107218687418)</f>
        <v>-0.6446107219</v>
      </c>
      <c r="AA29" s="19">
        <f>IFERROR(__xludf.DUMMYFUNCTION("""COMPUTED_VALUE"""),29000.0)</f>
        <v>29000</v>
      </c>
      <c r="AB29" s="20">
        <f>IFERROR(__xludf.DUMMYFUNCTION("""COMPUTED_VALUE"""),11223.0)</f>
        <v>11223</v>
      </c>
      <c r="AC29" s="21">
        <f>IFERROR(__xludf.DUMMYFUNCTION("""COMPUTED_VALUE"""),-17777.0)</f>
        <v>-17777</v>
      </c>
      <c r="AD29" s="28">
        <f>IFERROR(__xludf.DUMMYFUNCTION("""COMPUTED_VALUE"""),-0.613)</f>
        <v>-0.613</v>
      </c>
      <c r="AE29" s="19">
        <f>IFERROR(__xludf.DUMMYFUNCTION("""COMPUTED_VALUE"""),80441.07263777257)</f>
        <v>80441.07264</v>
      </c>
      <c r="AF29" s="20">
        <f>IFERROR(__xludf.DUMMYFUNCTION("""COMPUTED_VALUE"""),11223.0)</f>
        <v>11223</v>
      </c>
      <c r="AG29" s="21">
        <f>IFERROR(__xludf.DUMMYFUNCTION("""COMPUTED_VALUE"""),-69218.07263777257)</f>
        <v>-69218.07264</v>
      </c>
      <c r="AH29" s="29">
        <f>IFERROR(__xludf.DUMMYFUNCTION("""COMPUTED_VALUE"""),-0.8604817211906491)</f>
        <v>-0.8604817212</v>
      </c>
      <c r="AI29" s="30">
        <f>IFERROR(__xludf.DUMMYFUNCTION("""COMPUTED_VALUE"""),164677.48779831643)</f>
        <v>164677.4878</v>
      </c>
      <c r="AJ29" s="30">
        <f>IFERROR(__xludf.DUMMYFUNCTION("""COMPUTED_VALUE"""),-236579.09999999995)</f>
        <v>-236579.1</v>
      </c>
      <c r="AK29" s="4">
        <f>IFERROR(__xludf.DUMMYFUNCTION("""COMPUTED_VALUE"""),3770.0)</f>
        <v>3770</v>
      </c>
      <c r="AL29" s="4">
        <f>IFERROR(__xludf.DUMMYFUNCTION("""COMPUTED_VALUE"""),431.65384615384613)</f>
        <v>431.6538462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 t="str">
        <f>IFERROR(__xludf.DUMMYFUNCTION("""COMPUTED_VALUE"""),"[SKL] Midia Paga - Frio")</f>
        <v>[SKL] Midia Paga - Frio</v>
      </c>
      <c r="B30" s="19">
        <f>IFERROR(__xludf.DUMMYFUNCTION("""COMPUTED_VALUE"""),469.3548387096771)</f>
        <v>469.3548387</v>
      </c>
      <c r="C30" s="20">
        <f>IFERROR(__xludf.DUMMYFUNCTION("""COMPUTED_VALUE"""),569.0)</f>
        <v>569</v>
      </c>
      <c r="D30" s="21">
        <f>IFERROR(__xludf.DUMMYFUNCTION("""COMPUTED_VALUE"""),99.6451612903229)</f>
        <v>99.64516129</v>
      </c>
      <c r="E30" s="22">
        <f>IFERROR(__xludf.DUMMYFUNCTION("""COMPUTED_VALUE"""),0.2123024054982826)</f>
        <v>0.2123024055</v>
      </c>
      <c r="F30" s="23">
        <f>IFERROR(__xludf.DUMMYFUNCTION("""COMPUTED_VALUE"""),0.825)</f>
        <v>0.825</v>
      </c>
      <c r="G30" s="23">
        <f>IFERROR(__xludf.DUMMYFUNCTION("""COMPUTED_VALUE"""),0.7135325131810193)</f>
        <v>0.7135325132</v>
      </c>
      <c r="H30" s="24">
        <f>IFERROR(__xludf.DUMMYFUNCTION("""COMPUTED_VALUE"""),-11.146748681898067)</f>
        <v>-11.14674868</v>
      </c>
      <c r="I30" s="19">
        <f>IFERROR(__xludf.DUMMYFUNCTION("""COMPUTED_VALUE"""),387.2177419354836)</f>
        <v>387.2177419</v>
      </c>
      <c r="J30" s="20">
        <f>IFERROR(__xludf.DUMMYFUNCTION("""COMPUTED_VALUE"""),406.0)</f>
        <v>406</v>
      </c>
      <c r="K30" s="21">
        <f>IFERROR(__xludf.DUMMYFUNCTION("""COMPUTED_VALUE"""),18.782258064516384)</f>
        <v>18.78225806</v>
      </c>
      <c r="L30" s="22">
        <f>IFERROR(__xludf.DUMMYFUNCTION("""COMPUTED_VALUE"""),0.04850567530979971)</f>
        <v>0.04850567531</v>
      </c>
      <c r="M30" s="25">
        <f>IFERROR(__xludf.DUMMYFUNCTION("""COMPUTED_VALUE"""),0.1896)</f>
        <v>0.1896</v>
      </c>
      <c r="N30" s="23">
        <f>IFERROR(__xludf.DUMMYFUNCTION("""COMPUTED_VALUE"""),0.14532019704433496)</f>
        <v>0.145320197</v>
      </c>
      <c r="O30" s="26">
        <f>IFERROR(__xludf.DUMMYFUNCTION("""COMPUTED_VALUE"""),-4.427980295566503)</f>
        <v>-4.427980296</v>
      </c>
      <c r="P30" s="19">
        <f>IFERROR(__xludf.DUMMYFUNCTION("""COMPUTED_VALUE"""),72.07051500000001)</f>
        <v>72.070515</v>
      </c>
      <c r="Q30" s="20">
        <f>IFERROR(__xludf.DUMMYFUNCTION("""COMPUTED_VALUE"""),59.0)</f>
        <v>59</v>
      </c>
      <c r="R30" s="21">
        <f>IFERROR(__xludf.DUMMYFUNCTION("""COMPUTED_VALUE"""),-13.070515000000015)</f>
        <v>-13.070515</v>
      </c>
      <c r="S30" s="27">
        <f>IFERROR(__xludf.DUMMYFUNCTION("""COMPUTED_VALUE"""),-0.18135731373641512)</f>
        <v>-0.1813573137</v>
      </c>
      <c r="T30" s="23">
        <f>IFERROR(__xludf.DUMMYFUNCTION("""COMPUTED_VALUE"""),0.0591)</f>
        <v>0.0591</v>
      </c>
      <c r="U30" s="23">
        <f>IFERROR(__xludf.DUMMYFUNCTION("""COMPUTED_VALUE"""),0.0847457627118644)</f>
        <v>0.08474576271</v>
      </c>
      <c r="V30" s="24">
        <f>IFERROR(__xludf.DUMMYFUNCTION("""COMPUTED_VALUE"""),2.56457627118644)</f>
        <v>2.564576271</v>
      </c>
      <c r="W30" s="19">
        <f>IFERROR(__xludf.DUMMYFUNCTION("""COMPUTED_VALUE"""),4.259367436500001)</f>
        <v>4.259367437</v>
      </c>
      <c r="X30" s="20">
        <f>IFERROR(__xludf.DUMMYFUNCTION("""COMPUTED_VALUE"""),5.0)</f>
        <v>5</v>
      </c>
      <c r="Y30" s="21">
        <f>IFERROR(__xludf.DUMMYFUNCTION("""COMPUTED_VALUE"""),0.7406325634999993)</f>
        <v>0.7406325635</v>
      </c>
      <c r="Z30" s="28">
        <f>IFERROR(__xludf.DUMMYFUNCTION("""COMPUTED_VALUE"""),0.17388322903379064)</f>
        <v>0.173883229</v>
      </c>
      <c r="AA30" s="19">
        <f>IFERROR(__xludf.DUMMYFUNCTION("""COMPUTED_VALUE"""),17076.0)</f>
        <v>17076</v>
      </c>
      <c r="AB30" s="20">
        <f>IFERROR(__xludf.DUMMYFUNCTION("""COMPUTED_VALUE"""),9166.2900390625)</f>
        <v>9166.290039</v>
      </c>
      <c r="AC30" s="21">
        <f>IFERROR(__xludf.DUMMYFUNCTION("""COMPUTED_VALUE"""),-7909.7099609375)</f>
        <v>-7909.709961</v>
      </c>
      <c r="AD30" s="28">
        <f>IFERROR(__xludf.DUMMYFUNCTION("""COMPUTED_VALUE"""),-0.46320625210456196)</f>
        <v>-0.4632062521</v>
      </c>
      <c r="AE30" s="19">
        <f>IFERROR(__xludf.DUMMYFUNCTION("""COMPUTED_VALUE"""),71699.38472707757)</f>
        <v>71699.38473</v>
      </c>
      <c r="AF30" s="20">
        <f>IFERROR(__xludf.DUMMYFUNCTION("""COMPUTED_VALUE"""),45831.4501953125)</f>
        <v>45831.4502</v>
      </c>
      <c r="AG30" s="21">
        <f>IFERROR(__xludf.DUMMYFUNCTION("""COMPUTED_VALUE"""),-25867.934531765073)</f>
        <v>-25867.93453</v>
      </c>
      <c r="AH30" s="29">
        <f>IFERROR(__xludf.DUMMYFUNCTION("""COMPUTED_VALUE"""),-0.36078321494990373)</f>
        <v>-0.3607832149</v>
      </c>
      <c r="AI30" s="30">
        <f>IFERROR(__xludf.DUMMYFUNCTION("""COMPUTED_VALUE"""),3593.848484043919)</f>
        <v>3593.848484</v>
      </c>
      <c r="AJ30" s="30">
        <f>IFERROR(__xludf.DUMMYFUNCTION("""COMPUTED_VALUE"""),-31853.697112847487)</f>
        <v>-31853.69711</v>
      </c>
      <c r="AK30" s="4">
        <f>IFERROR(__xludf.DUMMYFUNCTION("""COMPUTED_VALUE"""),1009.1916)</f>
        <v>1009.1916</v>
      </c>
      <c r="AL30" s="4">
        <f>IFERROR(__xludf.DUMMYFUNCTION("""COMPUTED_VALUE"""),776.8042405985169)</f>
        <v>776.8042406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 t="str">
        <f>IFERROR(__xludf.DUMMYFUNCTION("""COMPUTED_VALUE"""),"[IM] Form G4 Facebook Ads - K")</f>
        <v>[IM] Form G4 Facebook Ads - K</v>
      </c>
      <c r="B31" s="19">
        <f>IFERROR(__xludf.DUMMYFUNCTION("""COMPUTED_VALUE"""),301.9354838709675)</f>
        <v>301.9354839</v>
      </c>
      <c r="C31" s="20">
        <f>IFERROR(__xludf.DUMMYFUNCTION("""COMPUTED_VALUE"""),296.0)</f>
        <v>296</v>
      </c>
      <c r="D31" s="21">
        <f>IFERROR(__xludf.DUMMYFUNCTION("""COMPUTED_VALUE"""),-5.935483870967516)</f>
        <v>-5.935483871</v>
      </c>
      <c r="E31" s="22">
        <f>IFERROR(__xludf.DUMMYFUNCTION("""COMPUTED_VALUE"""),-0.019658119658118926)</f>
        <v>-0.01965811966</v>
      </c>
      <c r="F31" s="23">
        <f>IFERROR(__xludf.DUMMYFUNCTION("""COMPUTED_VALUE"""),0.6460293326704482)</f>
        <v>0.6460293327</v>
      </c>
      <c r="G31" s="23">
        <f>IFERROR(__xludf.DUMMYFUNCTION("""COMPUTED_VALUE"""),0.5337837837837838)</f>
        <v>0.5337837838</v>
      </c>
      <c r="H31" s="24">
        <f>IFERROR(__xludf.DUMMYFUNCTION("""COMPUTED_VALUE"""),-11.224554888666438)</f>
        <v>-11.22455489</v>
      </c>
      <c r="I31" s="19">
        <f>IFERROR(__xludf.DUMMYFUNCTION("""COMPUTED_VALUE"""),195.05917915469)</f>
        <v>195.0591792</v>
      </c>
      <c r="J31" s="20">
        <f>IFERROR(__xludf.DUMMYFUNCTION("""COMPUTED_VALUE"""),158.0)</f>
        <v>158</v>
      </c>
      <c r="K31" s="21">
        <f>IFERROR(__xludf.DUMMYFUNCTION("""COMPUTED_VALUE"""),-37.059179154690014)</f>
        <v>-37.05917915</v>
      </c>
      <c r="L31" s="22">
        <f>IFERROR(__xludf.DUMMYFUNCTION("""COMPUTED_VALUE"""),-0.1899894140603378)</f>
        <v>-0.1899894141</v>
      </c>
      <c r="M31" s="25">
        <f>IFERROR(__xludf.DUMMYFUNCTION("""COMPUTED_VALUE"""),0.2695725144420797)</f>
        <v>0.2695725144</v>
      </c>
      <c r="N31" s="23">
        <f>IFERROR(__xludf.DUMMYFUNCTION("""COMPUTED_VALUE"""),0.27848101265822783)</f>
        <v>0.2784810127</v>
      </c>
      <c r="O31" s="26">
        <f>IFERROR(__xludf.DUMMYFUNCTION("""COMPUTED_VALUE"""),0.8908498216148142)</f>
        <v>0.8908498216</v>
      </c>
      <c r="P31" s="19">
        <f>IFERROR(__xludf.DUMMYFUNCTION("""COMPUTED_VALUE"""),51.618579177592736)</f>
        <v>51.61857918</v>
      </c>
      <c r="Q31" s="20">
        <f>IFERROR(__xludf.DUMMYFUNCTION("""COMPUTED_VALUE"""),44.0)</f>
        <v>44</v>
      </c>
      <c r="R31" s="21">
        <f>IFERROR(__xludf.DUMMYFUNCTION("""COMPUTED_VALUE"""),-7.618579177592736)</f>
        <v>-7.618579178</v>
      </c>
      <c r="S31" s="27">
        <f>IFERROR(__xludf.DUMMYFUNCTION("""COMPUTED_VALUE"""),-0.14759374045111082)</f>
        <v>-0.1475937405</v>
      </c>
      <c r="T31" s="23">
        <f>IFERROR(__xludf.DUMMYFUNCTION("""COMPUTED_VALUE"""),0.16306503198294242)</f>
        <v>0.163065032</v>
      </c>
      <c r="U31" s="23">
        <f>IFERROR(__xludf.DUMMYFUNCTION("""COMPUTED_VALUE"""),0.13636363636363635)</f>
        <v>0.1363636364</v>
      </c>
      <c r="V31" s="24">
        <f>IFERROR(__xludf.DUMMYFUNCTION("""COMPUTED_VALUE"""),-2.6701395619306068)</f>
        <v>-2.670139562</v>
      </c>
      <c r="W31" s="19">
        <f>IFERROR(__xludf.DUMMYFUNCTION("""COMPUTED_VALUE"""),8.417185264508205)</f>
        <v>8.417185265</v>
      </c>
      <c r="X31" s="20">
        <f>IFERROR(__xludf.DUMMYFUNCTION("""COMPUTED_VALUE"""),6.0)</f>
        <v>6</v>
      </c>
      <c r="Y31" s="21">
        <f>IFERROR(__xludf.DUMMYFUNCTION("""COMPUTED_VALUE"""),-2.4171852645082055)</f>
        <v>-2.417185265</v>
      </c>
      <c r="Z31" s="28">
        <f>IFERROR(__xludf.DUMMYFUNCTION("""COMPUTED_VALUE"""),-0.2871726341465332)</f>
        <v>-0.2871726341</v>
      </c>
      <c r="AA31" s="19">
        <f>IFERROR(__xludf.DUMMYFUNCTION("""COMPUTED_VALUE"""),8581.358855360244)</f>
        <v>8581.358855</v>
      </c>
      <c r="AB31" s="20">
        <f>IFERROR(__xludf.DUMMYFUNCTION("""COMPUTED_VALUE"""),14057.666666666666)</f>
        <v>14057.66667</v>
      </c>
      <c r="AC31" s="21">
        <f>IFERROR(__xludf.DUMMYFUNCTION("""COMPUTED_VALUE"""),5476.307811306422)</f>
        <v>5476.307811</v>
      </c>
      <c r="AD31" s="28">
        <f>IFERROR(__xludf.DUMMYFUNCTION("""COMPUTED_VALUE"""),0.6381632447273442)</f>
        <v>0.6381632447</v>
      </c>
      <c r="AE31" s="19">
        <f>IFERROR(__xludf.DUMMYFUNCTION("""COMPUTED_VALUE"""),71204.44838190918)</f>
        <v>71204.44838</v>
      </c>
      <c r="AF31" s="20">
        <f>IFERROR(__xludf.DUMMYFUNCTION("""COMPUTED_VALUE"""),84346.0)</f>
        <v>84346</v>
      </c>
      <c r="AG31" s="21">
        <f>IFERROR(__xludf.DUMMYFUNCTION("""COMPUTED_VALUE"""),13141.551618090816)</f>
        <v>13141.55162</v>
      </c>
      <c r="AH31" s="29">
        <f>IFERROR(__xludf.DUMMYFUNCTION("""COMPUTED_VALUE"""),0.18456082332953894)</f>
        <v>0.1845608233</v>
      </c>
      <c r="AI31" s="30">
        <f>IFERROR(__xludf.DUMMYFUNCTION("""COMPUTED_VALUE"""),-13979.392824933419)</f>
        <v>-13979.39282</v>
      </c>
      <c r="AJ31" s="30">
        <f>IFERROR(__xludf.DUMMYFUNCTION("""COMPUTED_VALUE"""),24745.541578622542)</f>
        <v>24745.54158</v>
      </c>
      <c r="AK31" s="4">
        <f>IFERROR(__xludf.DUMMYFUNCTION("""COMPUTED_VALUE"""),1399.3195562064243)</f>
        <v>1399.319556</v>
      </c>
      <c r="AL31" s="4">
        <f>IFERROR(__xludf.DUMMYFUNCTION("""COMPUTED_VALUE"""),1916.9545454545455)</f>
        <v>1916.954545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 t="str">
        <f>IFERROR(__xludf.DUMMYFUNCTION("""COMPUTED_VALUE"""),"[ON] Form G4 Incompleto")</f>
        <v>[ON] Form G4 Incompleto</v>
      </c>
      <c r="B32" s="19">
        <f>IFERROR(__xludf.DUMMYFUNCTION("""COMPUTED_VALUE"""),183.87096774193537)</f>
        <v>183.8709677</v>
      </c>
      <c r="C32" s="20">
        <f>IFERROR(__xludf.DUMMYFUNCTION("""COMPUTED_VALUE"""),403.0)</f>
        <v>403</v>
      </c>
      <c r="D32" s="21"/>
      <c r="E32" s="22"/>
      <c r="F32" s="23">
        <f>IFERROR(__xludf.DUMMYFUNCTION("""COMPUTED_VALUE"""),0.8422)</f>
        <v>0.8422</v>
      </c>
      <c r="G32" s="23"/>
      <c r="H32" s="24"/>
      <c r="I32" s="19">
        <f>IFERROR(__xludf.DUMMYFUNCTION("""COMPUTED_VALUE"""),154.85612903225797)</f>
        <v>154.856129</v>
      </c>
      <c r="J32" s="20">
        <f>IFERROR(__xludf.DUMMYFUNCTION("""COMPUTED_VALUE"""),255.0)</f>
        <v>255</v>
      </c>
      <c r="K32" s="21">
        <f>IFERROR(__xludf.DUMMYFUNCTION("""COMPUTED_VALUE"""),100.14387096774203)</f>
        <v>100.143871</v>
      </c>
      <c r="L32" s="22">
        <f>IFERROR(__xludf.DUMMYFUNCTION("""COMPUTED_VALUE"""),0.6466897474034181)</f>
        <v>0.6466897474</v>
      </c>
      <c r="M32" s="25">
        <f>IFERROR(__xludf.DUMMYFUNCTION("""COMPUTED_VALUE"""),0.22)</f>
        <v>0.22</v>
      </c>
      <c r="N32" s="23">
        <f>IFERROR(__xludf.DUMMYFUNCTION("""COMPUTED_VALUE"""),0.19215686274509805)</f>
        <v>0.1921568627</v>
      </c>
      <c r="O32" s="26">
        <f>IFERROR(__xludf.DUMMYFUNCTION("""COMPUTED_VALUE"""),-2.784313725490195)</f>
        <v>-2.784313725</v>
      </c>
      <c r="P32" s="19">
        <f>IFERROR(__xludf.DUMMYFUNCTION("""COMPUTED_VALUE"""),33.443762000000014)</f>
        <v>33.443762</v>
      </c>
      <c r="Q32" s="20">
        <f>IFERROR(__xludf.DUMMYFUNCTION("""COMPUTED_VALUE"""),49.0)</f>
        <v>49</v>
      </c>
      <c r="R32" s="21">
        <f>IFERROR(__xludf.DUMMYFUNCTION("""COMPUTED_VALUE"""),15.556237999999986)</f>
        <v>15.556238</v>
      </c>
      <c r="S32" s="27">
        <f>IFERROR(__xludf.DUMMYFUNCTION("""COMPUTED_VALUE"""),0.4651461758399064)</f>
        <v>0.4651461758</v>
      </c>
      <c r="T32" s="23">
        <f>IFERROR(__xludf.DUMMYFUNCTION("""COMPUTED_VALUE"""),0.17)</f>
        <v>0.17</v>
      </c>
      <c r="U32" s="23">
        <f>IFERROR(__xludf.DUMMYFUNCTION("""COMPUTED_VALUE"""),0.10204081632653061)</f>
        <v>0.1020408163</v>
      </c>
      <c r="V32" s="24">
        <f>IFERROR(__xludf.DUMMYFUNCTION("""COMPUTED_VALUE"""),-6.79591836734694)</f>
        <v>-6.795918367</v>
      </c>
      <c r="W32" s="19">
        <f>IFERROR(__xludf.DUMMYFUNCTION("""COMPUTED_VALUE"""),5.685439540000002)</f>
        <v>5.68543954</v>
      </c>
      <c r="X32" s="20">
        <f>IFERROR(__xludf.DUMMYFUNCTION("""COMPUTED_VALUE"""),5.0)</f>
        <v>5</v>
      </c>
      <c r="Y32" s="21">
        <f>IFERROR(__xludf.DUMMYFUNCTION("""COMPUTED_VALUE"""),-0.6854395400000017)</f>
        <v>-0.68543954</v>
      </c>
      <c r="Z32" s="28">
        <f>IFERROR(__xludf.DUMMYFUNCTION("""COMPUTED_VALUE"""),-0.12056051870353748)</f>
        <v>-0.1205605187</v>
      </c>
      <c r="AA32" s="19">
        <f>IFERROR(__xludf.DUMMYFUNCTION("""COMPUTED_VALUE"""),7000.0)</f>
        <v>7000</v>
      </c>
      <c r="AB32" s="20">
        <f>IFERROR(__xludf.DUMMYFUNCTION("""COMPUTED_VALUE"""),13453.860009765625)</f>
        <v>13453.86001</v>
      </c>
      <c r="AC32" s="21">
        <f>IFERROR(__xludf.DUMMYFUNCTION("""COMPUTED_VALUE"""),6453.860009765625)</f>
        <v>6453.86001</v>
      </c>
      <c r="AD32" s="28">
        <f>IFERROR(__xludf.DUMMYFUNCTION("""COMPUTED_VALUE"""),0.9219800013950893)</f>
        <v>0.9219800014</v>
      </c>
      <c r="AE32" s="19">
        <f>IFERROR(__xludf.DUMMYFUNCTION("""COMPUTED_VALUE"""),39232.5251626)</f>
        <v>39232.52516</v>
      </c>
      <c r="AF32" s="20">
        <f>IFERROR(__xludf.DUMMYFUNCTION("""COMPUTED_VALUE"""),67269.30004882812)</f>
        <v>67269.30005</v>
      </c>
      <c r="AG32" s="21">
        <f>IFERROR(__xludf.DUMMYFUNCTION("""COMPUTED_VALUE"""),28036.774886228122)</f>
        <v>28036.77489</v>
      </c>
      <c r="AH32" s="29">
        <f>IFERROR(__xludf.DUMMYFUNCTION("""COMPUTED_VALUE"""),0.7146309030588558)</f>
        <v>0.7146309031</v>
      </c>
      <c r="AI32" s="30">
        <f>IFERROR(__xludf.DUMMYFUNCTION("""COMPUTED_VALUE"""),26217.665419354864)</f>
        <v>26217.66542</v>
      </c>
      <c r="AJ32" s="30">
        <f>IFERROR(__xludf.DUMMYFUNCTION("""COMPUTED_VALUE"""),510.3000488281276)</f>
        <v>510.3000488</v>
      </c>
      <c r="AK32" s="4">
        <f>IFERROR(__xludf.DUMMYFUNCTION("""COMPUTED_VALUE"""),1190.0)</f>
        <v>1190</v>
      </c>
      <c r="AL32" s="4">
        <f>IFERROR(__xludf.DUMMYFUNCTION("""COMPUTED_VALUE"""),1372.8428581393496)</f>
        <v>1372.842858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 t="str">
        <f>IFERROR(__xludf.DUMMYFUNCTION("""COMPUTED_VALUE"""),"[ON] Form Meta")</f>
        <v>[ON] Form Meta</v>
      </c>
      <c r="B33" s="19">
        <f>IFERROR(__xludf.DUMMYFUNCTION("""COMPUTED_VALUE"""),145.16129032258056)</f>
        <v>145.1612903</v>
      </c>
      <c r="C33" s="20">
        <f>IFERROR(__xludf.DUMMYFUNCTION("""COMPUTED_VALUE"""),291.0)</f>
        <v>291</v>
      </c>
      <c r="D33" s="21"/>
      <c r="E33" s="22"/>
      <c r="F33" s="23">
        <f>IFERROR(__xludf.DUMMYFUNCTION("""COMPUTED_VALUE"""),0.7583586334362546)</f>
        <v>0.7583586334</v>
      </c>
      <c r="G33" s="23"/>
      <c r="H33" s="24"/>
      <c r="I33" s="19">
        <f>IFERROR(__xludf.DUMMYFUNCTION("""COMPUTED_VALUE"""),110.0843177568756)</f>
        <v>110.0843178</v>
      </c>
      <c r="J33" s="20">
        <f>IFERROR(__xludf.DUMMYFUNCTION("""COMPUTED_VALUE"""),201.0)</f>
        <v>201</v>
      </c>
      <c r="K33" s="21">
        <f>IFERROR(__xludf.DUMMYFUNCTION("""COMPUTED_VALUE"""),90.9156822431244)</f>
        <v>90.91568224</v>
      </c>
      <c r="L33" s="22">
        <f>IFERROR(__xludf.DUMMYFUNCTION("""COMPUTED_VALUE"""),0.8258731497424938)</f>
        <v>0.8258731497</v>
      </c>
      <c r="M33" s="25">
        <f>IFERROR(__xludf.DUMMYFUNCTION("""COMPUTED_VALUE"""),0.24)</f>
        <v>0.24</v>
      </c>
      <c r="N33" s="23">
        <f>IFERROR(__xludf.DUMMYFUNCTION("""COMPUTED_VALUE"""),0.29850746268656714)</f>
        <v>0.2985074627</v>
      </c>
      <c r="O33" s="26">
        <f>IFERROR(__xludf.DUMMYFUNCTION("""COMPUTED_VALUE"""),5.850746268656715)</f>
        <v>5.850746269</v>
      </c>
      <c r="P33" s="19">
        <f>IFERROR(__xludf.DUMMYFUNCTION("""COMPUTED_VALUE"""),25.93586526351992)</f>
        <v>25.93586526</v>
      </c>
      <c r="Q33" s="20">
        <f>IFERROR(__xludf.DUMMYFUNCTION("""COMPUTED_VALUE"""),60.0)</f>
        <v>60</v>
      </c>
      <c r="R33" s="21">
        <f>IFERROR(__xludf.DUMMYFUNCTION("""COMPUTED_VALUE"""),34.064134736480085)</f>
        <v>34.06413474</v>
      </c>
      <c r="S33" s="27">
        <f>IFERROR(__xludf.DUMMYFUNCTION("""COMPUTED_VALUE"""),1.313398816286765)</f>
        <v>1.313398816</v>
      </c>
      <c r="T33" s="23">
        <f>IFERROR(__xludf.DUMMYFUNCTION("""COMPUTED_VALUE"""),0.085)</f>
        <v>0.085</v>
      </c>
      <c r="U33" s="23">
        <f>IFERROR(__xludf.DUMMYFUNCTION("""COMPUTED_VALUE"""),0.13333333333333333)</f>
        <v>0.1333333333</v>
      </c>
      <c r="V33" s="24">
        <f>IFERROR(__xludf.DUMMYFUNCTION("""COMPUTED_VALUE"""),4.833333333333332)</f>
        <v>4.833333333</v>
      </c>
      <c r="W33" s="19">
        <f>IFERROR(__xludf.DUMMYFUNCTION("""COMPUTED_VALUE"""),2.204548547399193)</f>
        <v>2.204548547</v>
      </c>
      <c r="X33" s="20">
        <f>IFERROR(__xludf.DUMMYFUNCTION("""COMPUTED_VALUE"""),8.0)</f>
        <v>8</v>
      </c>
      <c r="Y33" s="21">
        <f>IFERROR(__xludf.DUMMYFUNCTION("""COMPUTED_VALUE"""),5.7954514526008065)</f>
        <v>5.795451453</v>
      </c>
      <c r="Z33" s="28">
        <f>IFERROR(__xludf.DUMMYFUNCTION("""COMPUTED_VALUE"""),2.628860888292964)</f>
        <v>2.628860888</v>
      </c>
      <c r="AA33" s="19">
        <f>IFERROR(__xludf.DUMMYFUNCTION("""COMPUTED_VALUE"""),13000.0)</f>
        <v>13000</v>
      </c>
      <c r="AB33" s="20">
        <f>IFERROR(__xludf.DUMMYFUNCTION("""COMPUTED_VALUE"""),18826.0)</f>
        <v>18826</v>
      </c>
      <c r="AC33" s="21">
        <f>IFERROR(__xludf.DUMMYFUNCTION("""COMPUTED_VALUE"""),5826.0)</f>
        <v>5826</v>
      </c>
      <c r="AD33" s="28">
        <f>IFERROR(__xludf.DUMMYFUNCTION("""COMPUTED_VALUE"""),0.4481538461538462)</f>
        <v>0.4481538462</v>
      </c>
      <c r="AE33" s="19">
        <f>IFERROR(__xludf.DUMMYFUNCTION("""COMPUTED_VALUE"""),28251.86977927523)</f>
        <v>28251.86978</v>
      </c>
      <c r="AF33" s="20">
        <f>IFERROR(__xludf.DUMMYFUNCTION("""COMPUTED_VALUE"""),150608.0)</f>
        <v>150608</v>
      </c>
      <c r="AG33" s="21">
        <f>IFERROR(__xludf.DUMMYFUNCTION("""COMPUTED_VALUE"""),122356.13022072476)</f>
        <v>122356.1302</v>
      </c>
      <c r="AH33" s="29">
        <f>IFERROR(__xludf.DUMMYFUNCTION("""COMPUTED_VALUE"""),4.3309038012939505)</f>
        <v>4.330903801</v>
      </c>
      <c r="AI33" s="30">
        <f>IFERROR(__xludf.DUMMYFUNCTION("""COMPUTED_VALUE"""),24110.838930876587)</f>
        <v>24110.83893</v>
      </c>
      <c r="AJ33" s="30">
        <f>IFERROR(__xludf.DUMMYFUNCTION("""COMPUTED_VALUE"""),97302.79999999999)</f>
        <v>97302.8</v>
      </c>
      <c r="AK33" s="4">
        <f>IFERROR(__xludf.DUMMYFUNCTION("""COMPUTED_VALUE"""),1105.0)</f>
        <v>1105</v>
      </c>
      <c r="AL33" s="4">
        <f>IFERROR(__xludf.DUMMYFUNCTION("""COMPUTED_VALUE"""),2510.133333333333)</f>
        <v>2510.133333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 t="str">
        <f>IFERROR(__xludf.DUMMYFUNCTION("""COMPUTED_VALUE"""),"[SKL] Chat")</f>
        <v>[SKL] Chat</v>
      </c>
      <c r="B34" s="19">
        <f>IFERROR(__xludf.DUMMYFUNCTION("""COMPUTED_VALUE"""),24.193548387096758)</f>
        <v>24.19354839</v>
      </c>
      <c r="C34" s="20">
        <f>IFERROR(__xludf.DUMMYFUNCTION("""COMPUTED_VALUE"""),32.0)</f>
        <v>32</v>
      </c>
      <c r="D34" s="21"/>
      <c r="E34" s="22"/>
      <c r="F34" s="23">
        <f>IFERROR(__xludf.DUMMYFUNCTION("""COMPUTED_VALUE"""),0.6373961038961039)</f>
        <v>0.6373961039</v>
      </c>
      <c r="G34" s="23"/>
      <c r="H34" s="24"/>
      <c r="I34" s="19">
        <f>IFERROR(__xludf.DUMMYFUNCTION("""COMPUTED_VALUE"""),15.420873481357342)</f>
        <v>15.42087348</v>
      </c>
      <c r="J34" s="20">
        <f>IFERROR(__xludf.DUMMYFUNCTION("""COMPUTED_VALUE"""),18.0)</f>
        <v>18</v>
      </c>
      <c r="K34" s="21">
        <f>IFERROR(__xludf.DUMMYFUNCTION("""COMPUTED_VALUE"""),2.579126518642658)</f>
        <v>2.579126519</v>
      </c>
      <c r="L34" s="22">
        <f>IFERROR(__xludf.DUMMYFUNCTION("""COMPUTED_VALUE"""),0.16724905510447416)</f>
        <v>0.1672490551</v>
      </c>
      <c r="M34" s="25">
        <f>IFERROR(__xludf.DUMMYFUNCTION("""COMPUTED_VALUE"""),0.35)</f>
        <v>0.35</v>
      </c>
      <c r="N34" s="23">
        <f>IFERROR(__xludf.DUMMYFUNCTION("""COMPUTED_VALUE"""),0.6666666666666666)</f>
        <v>0.6666666667</v>
      </c>
      <c r="O34" s="26">
        <f>IFERROR(__xludf.DUMMYFUNCTION("""COMPUTED_VALUE"""),31.666666666666664)</f>
        <v>31.66666667</v>
      </c>
      <c r="P34" s="19">
        <f>IFERROR(__xludf.DUMMYFUNCTION("""COMPUTED_VALUE"""),5.298355113636365)</f>
        <v>5.298355114</v>
      </c>
      <c r="Q34" s="20">
        <f>IFERROR(__xludf.DUMMYFUNCTION("""COMPUTED_VALUE"""),12.0)</f>
        <v>12</v>
      </c>
      <c r="R34" s="21">
        <f>IFERROR(__xludf.DUMMYFUNCTION("""COMPUTED_VALUE"""),6.701644886363635)</f>
        <v>6.701644886</v>
      </c>
      <c r="S34" s="27">
        <f>IFERROR(__xludf.DUMMYFUNCTION("""COMPUTED_VALUE"""),1.2648538541925258)</f>
        <v>1.264853854</v>
      </c>
      <c r="T34" s="23">
        <f>IFERROR(__xludf.DUMMYFUNCTION("""COMPUTED_VALUE"""),0.35)</f>
        <v>0.35</v>
      </c>
      <c r="U34" s="23">
        <f>IFERROR(__xludf.DUMMYFUNCTION("""COMPUTED_VALUE"""),0.25)</f>
        <v>0.25</v>
      </c>
      <c r="V34" s="24">
        <f>IFERROR(__xludf.DUMMYFUNCTION("""COMPUTED_VALUE"""),-9.999999999999998)</f>
        <v>-10</v>
      </c>
      <c r="W34" s="19">
        <f>IFERROR(__xludf.DUMMYFUNCTION("""COMPUTED_VALUE"""),1.8544242897727277)</f>
        <v>1.85442429</v>
      </c>
      <c r="X34" s="20">
        <f>IFERROR(__xludf.DUMMYFUNCTION("""COMPUTED_VALUE"""),3.0)</f>
        <v>3</v>
      </c>
      <c r="Y34" s="21">
        <f>IFERROR(__xludf.DUMMYFUNCTION("""COMPUTED_VALUE"""),1.1455757102272723)</f>
        <v>1.14557571</v>
      </c>
      <c r="Z34" s="28">
        <f>IFERROR(__xludf.DUMMYFUNCTION("""COMPUTED_VALUE"""),0.6177527529946615)</f>
        <v>0.617752753</v>
      </c>
      <c r="AA34" s="19">
        <f>IFERROR(__xludf.DUMMYFUNCTION("""COMPUTED_VALUE"""),12000.0)</f>
        <v>12000</v>
      </c>
      <c r="AB34" s="20">
        <f>IFERROR(__xludf.DUMMYFUNCTION("""COMPUTED_VALUE"""),25805.816731770832)</f>
        <v>25805.81673</v>
      </c>
      <c r="AC34" s="21">
        <f>IFERROR(__xludf.DUMMYFUNCTION("""COMPUTED_VALUE"""),13805.816731770832)</f>
        <v>13805.81673</v>
      </c>
      <c r="AD34" s="28">
        <f>IFERROR(__xludf.DUMMYFUNCTION("""COMPUTED_VALUE"""),1.1504847276475694)</f>
        <v>1.150484728</v>
      </c>
      <c r="AE34" s="19">
        <f>IFERROR(__xludf.DUMMYFUNCTION("""COMPUTED_VALUE"""),21936.86333522727)</f>
        <v>21936.86334</v>
      </c>
      <c r="AF34" s="20">
        <f>IFERROR(__xludf.DUMMYFUNCTION("""COMPUTED_VALUE"""),77417.4501953125)</f>
        <v>77417.4502</v>
      </c>
      <c r="AG34" s="21">
        <f>IFERROR(__xludf.DUMMYFUNCTION("""COMPUTED_VALUE"""),55480.58686008523)</f>
        <v>55480.58686</v>
      </c>
      <c r="AH34" s="29">
        <f>IFERROR(__xludf.DUMMYFUNCTION("""COMPUTED_VALUE"""),2.5291029994699303)</f>
        <v>2.529102999</v>
      </c>
      <c r="AI34" s="30">
        <f>IFERROR(__xludf.DUMMYFUNCTION("""COMPUTED_VALUE"""),3791.315982404707)</f>
        <v>3791.315982</v>
      </c>
      <c r="AJ34" s="30">
        <f>IFERROR(__xludf.DUMMYFUNCTION("""COMPUTED_VALUE"""),50957.4501953125)</f>
        <v>50957.4502</v>
      </c>
      <c r="AK34" s="4">
        <f>IFERROR(__xludf.DUMMYFUNCTION("""COMPUTED_VALUE"""),4200.0)</f>
        <v>4200</v>
      </c>
      <c r="AL34" s="4">
        <f>IFERROR(__xludf.DUMMYFUNCTION("""COMPUTED_VALUE"""),6451.454182942708)</f>
        <v>6451.454183</v>
      </c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 t="str">
        <f>IFERROR(__xludf.DUMMYFUNCTION("""COMPUTED_VALUE"""),"[SKL] Midia Paga - Morno")</f>
        <v>[SKL] Midia Paga - Morno</v>
      </c>
      <c r="B35" s="19">
        <f>IFERROR(__xludf.DUMMYFUNCTION("""COMPUTED_VALUE"""),0.0)</f>
        <v>0</v>
      </c>
      <c r="C35" s="20">
        <f>IFERROR(__xludf.DUMMYFUNCTION("""COMPUTED_VALUE"""),0.0)</f>
        <v>0</v>
      </c>
      <c r="D35" s="21"/>
      <c r="E35" s="22"/>
      <c r="F35" s="23">
        <f>IFERROR(__xludf.DUMMYFUNCTION("""COMPUTED_VALUE"""),0.8888)</f>
        <v>0.8888</v>
      </c>
      <c r="G35" s="23"/>
      <c r="H35" s="24"/>
      <c r="I35" s="19">
        <f>IFERROR(__xludf.DUMMYFUNCTION("""COMPUTED_VALUE"""),0.0)</f>
        <v>0</v>
      </c>
      <c r="J35" s="20">
        <f>IFERROR(__xludf.DUMMYFUNCTION("""COMPUTED_VALUE"""),0.0)</f>
        <v>0</v>
      </c>
      <c r="K35" s="21">
        <f>IFERROR(__xludf.DUMMYFUNCTION("""COMPUTED_VALUE"""),0.0)</f>
        <v>0</v>
      </c>
      <c r="L35" s="22" t="str">
        <f>IFERROR(__xludf.DUMMYFUNCTION("""COMPUTED_VALUE"""),"")</f>
        <v/>
      </c>
      <c r="M35" s="25">
        <f>IFERROR(__xludf.DUMMYFUNCTION("""COMPUTED_VALUE"""),0.1877)</f>
        <v>0.1877</v>
      </c>
      <c r="N35" s="23" t="str">
        <f>IFERROR(__xludf.DUMMYFUNCTION("""COMPUTED_VALUE"""),"")</f>
        <v/>
      </c>
      <c r="O35" s="26">
        <f>IFERROR(__xludf.DUMMYFUNCTION("""COMPUTED_VALUE"""),-18.77)</f>
        <v>-18.77</v>
      </c>
      <c r="P35" s="19">
        <f>IFERROR(__xludf.DUMMYFUNCTION("""COMPUTED_VALUE"""),0.0)</f>
        <v>0</v>
      </c>
      <c r="Q35" s="20">
        <f>IFERROR(__xludf.DUMMYFUNCTION("""COMPUTED_VALUE"""),3.0)</f>
        <v>3</v>
      </c>
      <c r="R35" s="21">
        <f>IFERROR(__xludf.DUMMYFUNCTION("""COMPUTED_VALUE"""),3.0)</f>
        <v>3</v>
      </c>
      <c r="S35" s="27" t="str">
        <f>IFERROR(__xludf.DUMMYFUNCTION("""COMPUTED_VALUE"""),"")</f>
        <v/>
      </c>
      <c r="T35" s="23">
        <f>IFERROR(__xludf.DUMMYFUNCTION("""COMPUTED_VALUE"""),0.0592)</f>
        <v>0.0592</v>
      </c>
      <c r="U35" s="23">
        <f>IFERROR(__xludf.DUMMYFUNCTION("""COMPUTED_VALUE"""),0.0)</f>
        <v>0</v>
      </c>
      <c r="V35" s="24">
        <f>IFERROR(__xludf.DUMMYFUNCTION("""COMPUTED_VALUE"""),-5.92)</f>
        <v>-5.92</v>
      </c>
      <c r="W35" s="19">
        <f>IFERROR(__xludf.DUMMYFUNCTION("""COMPUTED_VALUE"""),0.0)</f>
        <v>0</v>
      </c>
      <c r="X35" s="20">
        <f>IFERROR(__xludf.DUMMYFUNCTION("""COMPUTED_VALUE"""),0.0)</f>
        <v>0</v>
      </c>
      <c r="Y35" s="21">
        <f>IFERROR(__xludf.DUMMYFUNCTION("""COMPUTED_VALUE"""),0.0)</f>
        <v>0</v>
      </c>
      <c r="Z35" s="28" t="str">
        <f>IFERROR(__xludf.DUMMYFUNCTION("""COMPUTED_VALUE"""),"")</f>
        <v/>
      </c>
      <c r="AA35" s="19">
        <f>IFERROR(__xludf.DUMMYFUNCTION("""COMPUTED_VALUE"""),16731.0)</f>
        <v>16731</v>
      </c>
      <c r="AB35" s="20">
        <f>IFERROR(__xludf.DUMMYFUNCTION("""COMPUTED_VALUE"""),0.0)</f>
        <v>0</v>
      </c>
      <c r="AC35" s="21">
        <f>IFERROR(__xludf.DUMMYFUNCTION("""COMPUTED_VALUE"""),-16731.0)</f>
        <v>-16731</v>
      </c>
      <c r="AD35" s="28">
        <f>IFERROR(__xludf.DUMMYFUNCTION("""COMPUTED_VALUE"""),-1.0)</f>
        <v>-1</v>
      </c>
      <c r="AE35" s="19">
        <f>IFERROR(__xludf.DUMMYFUNCTION("""COMPUTED_VALUE"""),0.0)</f>
        <v>0</v>
      </c>
      <c r="AF35" s="20">
        <f>IFERROR(__xludf.DUMMYFUNCTION("""COMPUTED_VALUE"""),0.0)</f>
        <v>0</v>
      </c>
      <c r="AG35" s="21">
        <f>IFERROR(__xludf.DUMMYFUNCTION("""COMPUTED_VALUE"""),0.0)</f>
        <v>0</v>
      </c>
      <c r="AH35" s="29" t="str">
        <f>IFERROR(__xludf.DUMMYFUNCTION("""COMPUTED_VALUE"""),"")</f>
        <v/>
      </c>
      <c r="AI35" s="30">
        <f>IFERROR(__xludf.DUMMYFUNCTION("""COMPUTED_VALUE"""),0.0)</f>
        <v>0</v>
      </c>
      <c r="AJ35" s="30">
        <f>IFERROR(__xludf.DUMMYFUNCTION("""COMPUTED_VALUE"""),0.0)</f>
        <v>0</v>
      </c>
      <c r="AK35" s="4">
        <f>IFERROR(__xludf.DUMMYFUNCTION("""COMPUTED_VALUE"""),0.0)</f>
        <v>0</v>
      </c>
      <c r="AL35" s="4">
        <f>IFERROR(__xludf.DUMMYFUNCTION("""COMPUTED_VALUE"""),0.0)</f>
        <v>0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 t="str">
        <f>IFERROR(__xludf.DUMMYFUNCTION("""COMPUTED_VALUE"""),"Indicação - Outros")</f>
        <v>Indicação - Outros</v>
      </c>
      <c r="B36" s="19">
        <f>IFERROR(__xludf.DUMMYFUNCTION("""COMPUTED_VALUE"""),519.6774193548383)</f>
        <v>519.6774194</v>
      </c>
      <c r="C36" s="20">
        <f>IFERROR(__xludf.DUMMYFUNCTION("""COMPUTED_VALUE"""),2.0)</f>
        <v>2</v>
      </c>
      <c r="D36" s="21"/>
      <c r="E36" s="22"/>
      <c r="F36" s="23">
        <f>IFERROR(__xludf.DUMMYFUNCTION("""COMPUTED_VALUE"""),0.8387834387758116)</f>
        <v>0.8387834388</v>
      </c>
      <c r="G36" s="23"/>
      <c r="H36" s="24"/>
      <c r="I36" s="19">
        <f>IFERROR(__xludf.DUMMYFUNCTION("""COMPUTED_VALUE"""),435.89681286059084)</f>
        <v>435.8968129</v>
      </c>
      <c r="J36" s="20">
        <f>IFERROR(__xludf.DUMMYFUNCTION("""COMPUTED_VALUE"""),2.0)</f>
        <v>2</v>
      </c>
      <c r="K36" s="21">
        <f>IFERROR(__xludf.DUMMYFUNCTION("""COMPUTED_VALUE"""),-433.89681286059084)</f>
        <v>-433.8968129</v>
      </c>
      <c r="L36" s="22">
        <f>IFERROR(__xludf.DUMMYFUNCTION("""COMPUTED_VALUE"""),-0.9954117581478173)</f>
        <v>-0.9954117581</v>
      </c>
      <c r="M36" s="25">
        <f>IFERROR(__xludf.DUMMYFUNCTION("""COMPUTED_VALUE"""),0.0)</f>
        <v>0</v>
      </c>
      <c r="N36" s="23">
        <f>IFERROR(__xludf.DUMMYFUNCTION("""COMPUTED_VALUE"""),0.5)</f>
        <v>0.5</v>
      </c>
      <c r="O36" s="26" t="str">
        <f>IFERROR(__xludf.DUMMYFUNCTION("""COMPUTED_VALUE"""),"")</f>
        <v/>
      </c>
      <c r="P36" s="19">
        <f>IFERROR(__xludf.DUMMYFUNCTION("""COMPUTED_VALUE"""),0.0)</f>
        <v>0</v>
      </c>
      <c r="Q36" s="20">
        <f>IFERROR(__xludf.DUMMYFUNCTION("""COMPUTED_VALUE"""),1.0)</f>
        <v>1</v>
      </c>
      <c r="R36" s="21">
        <f>IFERROR(__xludf.DUMMYFUNCTION("""COMPUTED_VALUE"""),1.0)</f>
        <v>1</v>
      </c>
      <c r="S36" s="27" t="str">
        <f>IFERROR(__xludf.DUMMYFUNCTION("""COMPUTED_VALUE"""),"")</f>
        <v/>
      </c>
      <c r="T36" s="23">
        <f>IFERROR(__xludf.DUMMYFUNCTION("""COMPUTED_VALUE"""),0.08656457065584854)</f>
        <v>0.08656457066</v>
      </c>
      <c r="U36" s="23">
        <f>IFERROR(__xludf.DUMMYFUNCTION("""COMPUTED_VALUE"""),0.0)</f>
        <v>0</v>
      </c>
      <c r="V36" s="24">
        <f>IFERROR(__xludf.DUMMYFUNCTION("""COMPUTED_VALUE"""),-8.656457065584853)</f>
        <v>-8.656457066</v>
      </c>
      <c r="W36" s="19">
        <f>IFERROR(__xludf.DUMMYFUNCTION("""COMPUTED_VALUE"""),0.0)</f>
        <v>0</v>
      </c>
      <c r="X36" s="20">
        <f>IFERROR(__xludf.DUMMYFUNCTION("""COMPUTED_VALUE"""),0.0)</f>
        <v>0</v>
      </c>
      <c r="Y36" s="21">
        <f>IFERROR(__xludf.DUMMYFUNCTION("""COMPUTED_VALUE"""),0.0)</f>
        <v>0</v>
      </c>
      <c r="Z36" s="28" t="str">
        <f>IFERROR(__xludf.DUMMYFUNCTION("""COMPUTED_VALUE"""),"")</f>
        <v/>
      </c>
      <c r="AA36" s="19">
        <f>IFERROR(__xludf.DUMMYFUNCTION("""COMPUTED_VALUE"""),0.0)</f>
        <v>0</v>
      </c>
      <c r="AB36" s="20">
        <f>IFERROR(__xludf.DUMMYFUNCTION("""COMPUTED_VALUE"""),0.0)</f>
        <v>0</v>
      </c>
      <c r="AC36" s="21">
        <f>IFERROR(__xludf.DUMMYFUNCTION("""COMPUTED_VALUE"""),0.0)</f>
        <v>0</v>
      </c>
      <c r="AD36" s="28" t="str">
        <f>IFERROR(__xludf.DUMMYFUNCTION("""COMPUTED_VALUE"""),"")</f>
        <v/>
      </c>
      <c r="AE36" s="19">
        <f>IFERROR(__xludf.DUMMYFUNCTION("""COMPUTED_VALUE"""),0.0)</f>
        <v>0</v>
      </c>
      <c r="AF36" s="20">
        <f>IFERROR(__xludf.DUMMYFUNCTION("""COMPUTED_VALUE"""),0.0)</f>
        <v>0</v>
      </c>
      <c r="AG36" s="21">
        <f>IFERROR(__xludf.DUMMYFUNCTION("""COMPUTED_VALUE"""),0.0)</f>
        <v>0</v>
      </c>
      <c r="AH36" s="29" t="str">
        <f>IFERROR(__xludf.DUMMYFUNCTION("""COMPUTED_VALUE"""),"")</f>
        <v/>
      </c>
      <c r="AI36" s="30">
        <f>IFERROR(__xludf.DUMMYFUNCTION("""COMPUTED_VALUE"""),0.0)</f>
        <v>0</v>
      </c>
      <c r="AJ36" s="30">
        <f>IFERROR(__xludf.DUMMYFUNCTION("""COMPUTED_VALUE"""),0.0)</f>
        <v>0</v>
      </c>
      <c r="AK36" s="4">
        <f>IFERROR(__xludf.DUMMYFUNCTION("""COMPUTED_VALUE"""),0.0)</f>
        <v>0</v>
      </c>
      <c r="AL36" s="4">
        <f>IFERROR(__xludf.DUMMYFUNCTION("""COMPUTED_VALUE"""),0.0)</f>
        <v>0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9"/>
      <c r="C37" s="20"/>
      <c r="D37" s="21"/>
      <c r="E37" s="22"/>
      <c r="F37" s="23"/>
      <c r="G37" s="23"/>
      <c r="H37" s="24"/>
      <c r="I37" s="19"/>
      <c r="J37" s="20"/>
      <c r="K37" s="21"/>
      <c r="L37" s="22"/>
      <c r="M37" s="25"/>
      <c r="N37" s="23"/>
      <c r="O37" s="26"/>
      <c r="P37" s="19"/>
      <c r="Q37" s="20"/>
      <c r="R37" s="21"/>
      <c r="S37" s="27"/>
      <c r="T37" s="23"/>
      <c r="U37" s="23"/>
      <c r="V37" s="24"/>
      <c r="W37" s="19"/>
      <c r="X37" s="20"/>
      <c r="Y37" s="21"/>
      <c r="Z37" s="28"/>
      <c r="AA37" s="19"/>
      <c r="AB37" s="20"/>
      <c r="AC37" s="21"/>
      <c r="AD37" s="28"/>
      <c r="AE37" s="19"/>
      <c r="AF37" s="20"/>
      <c r="AG37" s="21"/>
      <c r="AH37" s="29"/>
      <c r="AI37" s="30"/>
      <c r="AJ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9"/>
      <c r="C38" s="20"/>
      <c r="D38" s="21"/>
      <c r="E38" s="22"/>
      <c r="F38" s="23"/>
      <c r="G38" s="23"/>
      <c r="H38" s="24"/>
      <c r="I38" s="19"/>
      <c r="J38" s="20"/>
      <c r="K38" s="21"/>
      <c r="L38" s="22"/>
      <c r="M38" s="25"/>
      <c r="N38" s="23"/>
      <c r="O38" s="26"/>
      <c r="P38" s="19"/>
      <c r="Q38" s="20"/>
      <c r="R38" s="21"/>
      <c r="S38" s="27"/>
      <c r="T38" s="23"/>
      <c r="U38" s="23"/>
      <c r="V38" s="24"/>
      <c r="W38" s="19"/>
      <c r="X38" s="20"/>
      <c r="Y38" s="21"/>
      <c r="Z38" s="28"/>
      <c r="AA38" s="19"/>
      <c r="AB38" s="20"/>
      <c r="AC38" s="21"/>
      <c r="AD38" s="28"/>
      <c r="AE38" s="19"/>
      <c r="AF38" s="20"/>
      <c r="AG38" s="21"/>
      <c r="AH38" s="29"/>
      <c r="AI38" s="30"/>
      <c r="AJ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9"/>
      <c r="C39" s="20"/>
      <c r="D39" s="21"/>
      <c r="E39" s="22"/>
      <c r="F39" s="23"/>
      <c r="G39" s="23"/>
      <c r="H39" s="24"/>
      <c r="I39" s="19"/>
      <c r="J39" s="20"/>
      <c r="K39" s="21"/>
      <c r="L39" s="22"/>
      <c r="M39" s="25"/>
      <c r="N39" s="23"/>
      <c r="O39" s="26"/>
      <c r="P39" s="19"/>
      <c r="Q39" s="20"/>
      <c r="R39" s="21"/>
      <c r="S39" s="27"/>
      <c r="T39" s="23"/>
      <c r="U39" s="23"/>
      <c r="V39" s="24"/>
      <c r="W39" s="19"/>
      <c r="X39" s="20"/>
      <c r="Y39" s="21"/>
      <c r="Z39" s="28"/>
      <c r="AA39" s="19"/>
      <c r="AB39" s="20"/>
      <c r="AC39" s="21"/>
      <c r="AD39" s="28"/>
      <c r="AE39" s="19"/>
      <c r="AF39" s="20"/>
      <c r="AG39" s="21"/>
      <c r="AH39" s="29"/>
      <c r="AI39" s="30"/>
      <c r="AJ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9"/>
      <c r="C40" s="20"/>
      <c r="D40" s="21"/>
      <c r="E40" s="22"/>
      <c r="F40" s="23"/>
      <c r="G40" s="23"/>
      <c r="H40" s="24"/>
      <c r="I40" s="19"/>
      <c r="J40" s="20"/>
      <c r="K40" s="21"/>
      <c r="L40" s="22"/>
      <c r="M40" s="25"/>
      <c r="N40" s="23"/>
      <c r="O40" s="26"/>
      <c r="P40" s="19"/>
      <c r="Q40" s="20"/>
      <c r="R40" s="21"/>
      <c r="S40" s="27"/>
      <c r="T40" s="23"/>
      <c r="U40" s="23"/>
      <c r="V40" s="24"/>
      <c r="W40" s="19"/>
      <c r="X40" s="20"/>
      <c r="Y40" s="21"/>
      <c r="Z40" s="28"/>
      <c r="AA40" s="19"/>
      <c r="AB40" s="20"/>
      <c r="AC40" s="21"/>
      <c r="AD40" s="28"/>
      <c r="AE40" s="19"/>
      <c r="AF40" s="20"/>
      <c r="AG40" s="21"/>
      <c r="AH40" s="29"/>
      <c r="AI40" s="30"/>
      <c r="AJ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9"/>
      <c r="C41" s="20"/>
      <c r="D41" s="21"/>
      <c r="E41" s="22"/>
      <c r="F41" s="23"/>
      <c r="G41" s="23"/>
      <c r="H41" s="24"/>
      <c r="I41" s="19"/>
      <c r="J41" s="20"/>
      <c r="K41" s="21"/>
      <c r="L41" s="22"/>
      <c r="M41" s="25"/>
      <c r="N41" s="23"/>
      <c r="O41" s="26"/>
      <c r="P41" s="19"/>
      <c r="Q41" s="20"/>
      <c r="R41" s="21"/>
      <c r="S41" s="27"/>
      <c r="T41" s="23"/>
      <c r="U41" s="23"/>
      <c r="V41" s="24"/>
      <c r="W41" s="19"/>
      <c r="X41" s="20"/>
      <c r="Y41" s="21"/>
      <c r="Z41" s="28"/>
      <c r="AA41" s="19"/>
      <c r="AB41" s="20"/>
      <c r="AC41" s="21"/>
      <c r="AD41" s="28"/>
      <c r="AE41" s="19"/>
      <c r="AF41" s="20"/>
      <c r="AG41" s="21"/>
      <c r="AH41" s="29"/>
      <c r="AI41" s="30"/>
      <c r="AJ41" s="30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9"/>
      <c r="C42" s="20"/>
      <c r="D42" s="21"/>
      <c r="E42" s="22"/>
      <c r="F42" s="23"/>
      <c r="G42" s="23"/>
      <c r="H42" s="24"/>
      <c r="I42" s="19"/>
      <c r="J42" s="20"/>
      <c r="K42" s="21"/>
      <c r="L42" s="22"/>
      <c r="M42" s="25"/>
      <c r="N42" s="23"/>
      <c r="O42" s="26"/>
      <c r="P42" s="19"/>
      <c r="Q42" s="20"/>
      <c r="R42" s="21"/>
      <c r="S42" s="27"/>
      <c r="T42" s="23"/>
      <c r="U42" s="23"/>
      <c r="V42" s="24"/>
      <c r="W42" s="19"/>
      <c r="X42" s="20"/>
      <c r="Y42" s="21"/>
      <c r="Z42" s="28"/>
      <c r="AA42" s="19"/>
      <c r="AB42" s="20"/>
      <c r="AC42" s="21"/>
      <c r="AD42" s="28"/>
      <c r="AE42" s="19"/>
      <c r="AF42" s="20"/>
      <c r="AG42" s="21"/>
      <c r="AH42" s="29"/>
      <c r="AI42" s="30"/>
      <c r="AJ42" s="30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9"/>
      <c r="C43" s="20"/>
      <c r="D43" s="21"/>
      <c r="E43" s="22"/>
      <c r="F43" s="23"/>
      <c r="G43" s="23"/>
      <c r="H43" s="24"/>
      <c r="I43" s="19"/>
      <c r="J43" s="20"/>
      <c r="K43" s="21"/>
      <c r="L43" s="22"/>
      <c r="M43" s="25"/>
      <c r="N43" s="23"/>
      <c r="O43" s="26"/>
      <c r="P43" s="19"/>
      <c r="Q43" s="20"/>
      <c r="R43" s="21"/>
      <c r="S43" s="27"/>
      <c r="T43" s="23"/>
      <c r="U43" s="23"/>
      <c r="V43" s="24"/>
      <c r="W43" s="19"/>
      <c r="X43" s="20"/>
      <c r="Y43" s="21"/>
      <c r="Z43" s="28"/>
      <c r="AA43" s="19"/>
      <c r="AB43" s="20"/>
      <c r="AC43" s="21"/>
      <c r="AD43" s="28"/>
      <c r="AE43" s="19"/>
      <c r="AF43" s="20"/>
      <c r="AG43" s="21"/>
      <c r="AH43" s="29"/>
      <c r="AI43" s="30"/>
      <c r="AJ43" s="30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9"/>
      <c r="C44" s="20"/>
      <c r="D44" s="21"/>
      <c r="E44" s="22"/>
      <c r="F44" s="23"/>
      <c r="G44" s="23"/>
      <c r="H44" s="24"/>
      <c r="I44" s="19"/>
      <c r="J44" s="20"/>
      <c r="K44" s="21"/>
      <c r="L44" s="22"/>
      <c r="M44" s="25"/>
      <c r="N44" s="23"/>
      <c r="O44" s="26"/>
      <c r="P44" s="19"/>
      <c r="Q44" s="20"/>
      <c r="R44" s="21"/>
      <c r="S44" s="27"/>
      <c r="T44" s="23"/>
      <c r="U44" s="23"/>
      <c r="V44" s="24"/>
      <c r="W44" s="19"/>
      <c r="X44" s="20"/>
      <c r="Y44" s="21"/>
      <c r="Z44" s="28"/>
      <c r="AA44" s="19"/>
      <c r="AB44" s="20"/>
      <c r="AC44" s="21"/>
      <c r="AD44" s="28"/>
      <c r="AE44" s="19"/>
      <c r="AF44" s="20"/>
      <c r="AG44" s="21"/>
      <c r="AH44" s="29"/>
      <c r="AI44" s="30"/>
      <c r="AJ44" s="30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9"/>
      <c r="C45" s="20"/>
      <c r="D45" s="21"/>
      <c r="E45" s="22"/>
      <c r="F45" s="23"/>
      <c r="G45" s="23"/>
      <c r="H45" s="24"/>
      <c r="I45" s="19"/>
      <c r="J45" s="20"/>
      <c r="K45" s="21"/>
      <c r="L45" s="22"/>
      <c r="M45" s="25"/>
      <c r="N45" s="23"/>
      <c r="O45" s="26"/>
      <c r="P45" s="19"/>
      <c r="Q45" s="20"/>
      <c r="R45" s="21"/>
      <c r="S45" s="27"/>
      <c r="T45" s="23"/>
      <c r="U45" s="23"/>
      <c r="V45" s="24"/>
      <c r="W45" s="19"/>
      <c r="X45" s="20"/>
      <c r="Y45" s="21"/>
      <c r="Z45" s="28"/>
      <c r="AA45" s="19"/>
      <c r="AB45" s="20"/>
      <c r="AC45" s="21"/>
      <c r="AD45" s="28"/>
      <c r="AE45" s="19"/>
      <c r="AF45" s="20"/>
      <c r="AG45" s="21"/>
      <c r="AH45" s="29"/>
      <c r="AI45" s="30"/>
      <c r="AJ45" s="30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9"/>
      <c r="C46" s="20"/>
      <c r="D46" s="21"/>
      <c r="E46" s="22"/>
      <c r="F46" s="23"/>
      <c r="G46" s="23"/>
      <c r="H46" s="24"/>
      <c r="I46" s="19"/>
      <c r="J46" s="20"/>
      <c r="K46" s="21"/>
      <c r="L46" s="22"/>
      <c r="M46" s="25"/>
      <c r="N46" s="23"/>
      <c r="O46" s="26"/>
      <c r="P46" s="19"/>
      <c r="Q46" s="20"/>
      <c r="R46" s="21"/>
      <c r="S46" s="27"/>
      <c r="T46" s="23"/>
      <c r="U46" s="23"/>
      <c r="V46" s="24"/>
      <c r="W46" s="19"/>
      <c r="X46" s="20"/>
      <c r="Y46" s="21"/>
      <c r="Z46" s="28"/>
      <c r="AA46" s="19"/>
      <c r="AB46" s="20"/>
      <c r="AC46" s="21"/>
      <c r="AD46" s="28"/>
      <c r="AE46" s="19"/>
      <c r="AF46" s="20"/>
      <c r="AG46" s="21"/>
      <c r="AH46" s="29"/>
      <c r="AI46" s="30"/>
      <c r="AJ46" s="30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9"/>
      <c r="C47" s="20"/>
      <c r="D47" s="21"/>
      <c r="E47" s="22"/>
      <c r="F47" s="23"/>
      <c r="G47" s="23"/>
      <c r="H47" s="24"/>
      <c r="I47" s="19"/>
      <c r="J47" s="20"/>
      <c r="K47" s="21"/>
      <c r="L47" s="22"/>
      <c r="M47" s="25"/>
      <c r="N47" s="23"/>
      <c r="O47" s="26"/>
      <c r="P47" s="19"/>
      <c r="Q47" s="20"/>
      <c r="R47" s="21"/>
      <c r="S47" s="27"/>
      <c r="T47" s="23"/>
      <c r="U47" s="23"/>
      <c r="V47" s="24"/>
      <c r="W47" s="19"/>
      <c r="X47" s="20"/>
      <c r="Y47" s="21"/>
      <c r="Z47" s="28"/>
      <c r="AA47" s="19"/>
      <c r="AB47" s="20"/>
      <c r="AC47" s="21"/>
      <c r="AD47" s="28"/>
      <c r="AE47" s="19"/>
      <c r="AF47" s="20"/>
      <c r="AG47" s="21"/>
      <c r="AH47" s="29"/>
      <c r="AI47" s="30"/>
      <c r="AJ47" s="30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9"/>
      <c r="C48" s="20"/>
      <c r="D48" s="21"/>
      <c r="E48" s="22"/>
      <c r="F48" s="23"/>
      <c r="G48" s="23"/>
      <c r="H48" s="24"/>
      <c r="I48" s="19"/>
      <c r="J48" s="20"/>
      <c r="K48" s="21"/>
      <c r="L48" s="22"/>
      <c r="M48" s="25"/>
      <c r="N48" s="23"/>
      <c r="O48" s="26"/>
      <c r="P48" s="19"/>
      <c r="Q48" s="20"/>
      <c r="R48" s="21"/>
      <c r="S48" s="27"/>
      <c r="T48" s="23"/>
      <c r="U48" s="23"/>
      <c r="V48" s="24"/>
      <c r="W48" s="19"/>
      <c r="X48" s="20"/>
      <c r="Y48" s="21"/>
      <c r="Z48" s="28"/>
      <c r="AA48" s="19"/>
      <c r="AB48" s="20"/>
      <c r="AC48" s="21"/>
      <c r="AD48" s="28"/>
      <c r="AE48" s="19"/>
      <c r="AF48" s="20"/>
      <c r="AG48" s="21"/>
      <c r="AH48" s="29"/>
      <c r="AI48" s="30"/>
      <c r="AJ48" s="30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9"/>
      <c r="C49" s="20"/>
      <c r="D49" s="21"/>
      <c r="E49" s="22"/>
      <c r="F49" s="23"/>
      <c r="G49" s="23"/>
      <c r="H49" s="24"/>
      <c r="I49" s="19"/>
      <c r="J49" s="20"/>
      <c r="K49" s="21"/>
      <c r="L49" s="22"/>
      <c r="M49" s="25"/>
      <c r="N49" s="23"/>
      <c r="O49" s="26"/>
      <c r="P49" s="19"/>
      <c r="Q49" s="20"/>
      <c r="R49" s="21"/>
      <c r="S49" s="27"/>
      <c r="T49" s="23"/>
      <c r="U49" s="23"/>
      <c r="V49" s="24"/>
      <c r="W49" s="19"/>
      <c r="X49" s="20"/>
      <c r="Y49" s="21"/>
      <c r="Z49" s="28"/>
      <c r="AA49" s="19"/>
      <c r="AB49" s="20"/>
      <c r="AC49" s="21"/>
      <c r="AD49" s="28"/>
      <c r="AE49" s="19"/>
      <c r="AF49" s="20"/>
      <c r="AG49" s="21"/>
      <c r="AH49" s="29"/>
      <c r="AI49" s="30"/>
      <c r="AJ49" s="30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9"/>
      <c r="C50" s="20"/>
      <c r="D50" s="21"/>
      <c r="E50" s="22"/>
      <c r="F50" s="23"/>
      <c r="G50" s="23"/>
      <c r="H50" s="24"/>
      <c r="I50" s="19"/>
      <c r="J50" s="20"/>
      <c r="K50" s="21"/>
      <c r="L50" s="22"/>
      <c r="M50" s="25"/>
      <c r="N50" s="23"/>
      <c r="O50" s="26"/>
      <c r="P50" s="19"/>
      <c r="Q50" s="20"/>
      <c r="R50" s="21"/>
      <c r="S50" s="27"/>
      <c r="T50" s="23"/>
      <c r="U50" s="23"/>
      <c r="V50" s="24"/>
      <c r="W50" s="19"/>
      <c r="X50" s="20"/>
      <c r="Y50" s="21"/>
      <c r="Z50" s="28"/>
      <c r="AA50" s="19"/>
      <c r="AB50" s="20"/>
      <c r="AC50" s="21"/>
      <c r="AD50" s="28"/>
      <c r="AE50" s="19"/>
      <c r="AF50" s="20"/>
      <c r="AG50" s="21"/>
      <c r="AH50" s="29"/>
      <c r="AI50" s="30"/>
      <c r="AJ50" s="30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9"/>
      <c r="C51" s="20"/>
      <c r="D51" s="21"/>
      <c r="E51" s="22"/>
      <c r="F51" s="23"/>
      <c r="G51" s="23"/>
      <c r="H51" s="24"/>
      <c r="I51" s="19"/>
      <c r="J51" s="20"/>
      <c r="K51" s="21"/>
      <c r="L51" s="22"/>
      <c r="M51" s="25"/>
      <c r="N51" s="23"/>
      <c r="O51" s="26"/>
      <c r="P51" s="19"/>
      <c r="Q51" s="20"/>
      <c r="R51" s="21"/>
      <c r="S51" s="27"/>
      <c r="T51" s="23"/>
      <c r="U51" s="23"/>
      <c r="V51" s="24"/>
      <c r="W51" s="19"/>
      <c r="X51" s="20"/>
      <c r="Y51" s="21"/>
      <c r="Z51" s="28"/>
      <c r="AA51" s="19"/>
      <c r="AB51" s="20"/>
      <c r="AC51" s="21"/>
      <c r="AD51" s="28"/>
      <c r="AE51" s="19"/>
      <c r="AF51" s="20"/>
      <c r="AG51" s="21"/>
      <c r="AH51" s="29"/>
      <c r="AI51" s="30"/>
      <c r="AJ51" s="30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9"/>
      <c r="C52" s="20"/>
      <c r="D52" s="21"/>
      <c r="E52" s="22"/>
      <c r="F52" s="23"/>
      <c r="G52" s="23"/>
      <c r="H52" s="24"/>
      <c r="I52" s="19"/>
      <c r="J52" s="20"/>
      <c r="K52" s="21"/>
      <c r="L52" s="22"/>
      <c r="M52" s="25"/>
      <c r="N52" s="23"/>
      <c r="O52" s="26"/>
      <c r="P52" s="19"/>
      <c r="Q52" s="20"/>
      <c r="R52" s="21"/>
      <c r="S52" s="27"/>
      <c r="T52" s="23"/>
      <c r="U52" s="23"/>
      <c r="V52" s="24"/>
      <c r="W52" s="19"/>
      <c r="X52" s="20"/>
      <c r="Y52" s="21"/>
      <c r="Z52" s="28"/>
      <c r="AA52" s="19"/>
      <c r="AB52" s="20"/>
      <c r="AC52" s="21"/>
      <c r="AD52" s="28"/>
      <c r="AE52" s="19"/>
      <c r="AF52" s="20"/>
      <c r="AG52" s="21"/>
      <c r="AH52" s="29"/>
      <c r="AI52" s="30"/>
      <c r="AJ52" s="30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9"/>
      <c r="C53" s="20"/>
      <c r="D53" s="21"/>
      <c r="E53" s="22"/>
      <c r="F53" s="23"/>
      <c r="G53" s="23"/>
      <c r="H53" s="24"/>
      <c r="I53" s="19"/>
      <c r="J53" s="20"/>
      <c r="K53" s="21"/>
      <c r="L53" s="22"/>
      <c r="M53" s="25"/>
      <c r="N53" s="23"/>
      <c r="O53" s="26"/>
      <c r="P53" s="19"/>
      <c r="Q53" s="20"/>
      <c r="R53" s="21"/>
      <c r="S53" s="27"/>
      <c r="T53" s="23"/>
      <c r="U53" s="23"/>
      <c r="V53" s="24"/>
      <c r="W53" s="19"/>
      <c r="X53" s="20"/>
      <c r="Y53" s="21"/>
      <c r="Z53" s="28"/>
      <c r="AA53" s="19"/>
      <c r="AB53" s="20"/>
      <c r="AC53" s="21"/>
      <c r="AD53" s="28"/>
      <c r="AE53" s="19"/>
      <c r="AF53" s="20"/>
      <c r="AG53" s="21"/>
      <c r="AH53" s="29"/>
      <c r="AI53" s="30"/>
      <c r="AJ53" s="30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9"/>
      <c r="C54" s="20"/>
      <c r="D54" s="21"/>
      <c r="E54" s="22"/>
      <c r="F54" s="23"/>
      <c r="G54" s="23"/>
      <c r="H54" s="24"/>
      <c r="I54" s="19"/>
      <c r="J54" s="20"/>
      <c r="K54" s="21"/>
      <c r="L54" s="22"/>
      <c r="M54" s="25"/>
      <c r="N54" s="23"/>
      <c r="O54" s="26"/>
      <c r="P54" s="19"/>
      <c r="Q54" s="20"/>
      <c r="R54" s="21"/>
      <c r="S54" s="27"/>
      <c r="T54" s="23"/>
      <c r="U54" s="23"/>
      <c r="V54" s="24"/>
      <c r="W54" s="19"/>
      <c r="X54" s="20"/>
      <c r="Y54" s="21"/>
      <c r="Z54" s="28"/>
      <c r="AA54" s="19"/>
      <c r="AB54" s="20"/>
      <c r="AC54" s="21"/>
      <c r="AD54" s="28"/>
      <c r="AE54" s="19"/>
      <c r="AF54" s="20"/>
      <c r="AG54" s="21"/>
      <c r="AH54" s="29"/>
      <c r="AI54" s="30"/>
      <c r="AJ54" s="30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9"/>
      <c r="C55" s="20"/>
      <c r="D55" s="21"/>
      <c r="E55" s="22"/>
      <c r="F55" s="23"/>
      <c r="G55" s="23"/>
      <c r="H55" s="24"/>
      <c r="I55" s="19"/>
      <c r="J55" s="20"/>
      <c r="K55" s="21"/>
      <c r="L55" s="22"/>
      <c r="M55" s="25"/>
      <c r="N55" s="23"/>
      <c r="O55" s="26"/>
      <c r="P55" s="19"/>
      <c r="Q55" s="20"/>
      <c r="R55" s="21"/>
      <c r="S55" s="27"/>
      <c r="T55" s="23"/>
      <c r="U55" s="23"/>
      <c r="V55" s="24"/>
      <c r="W55" s="19"/>
      <c r="X55" s="20"/>
      <c r="Y55" s="21"/>
      <c r="Z55" s="28"/>
      <c r="AA55" s="19"/>
      <c r="AB55" s="20"/>
      <c r="AC55" s="21"/>
      <c r="AD55" s="28"/>
      <c r="AE55" s="19"/>
      <c r="AF55" s="20"/>
      <c r="AG55" s="21"/>
      <c r="AH55" s="29"/>
      <c r="AI55" s="30"/>
      <c r="AJ55" s="30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9"/>
      <c r="C56" s="20"/>
      <c r="D56" s="21"/>
      <c r="E56" s="22"/>
      <c r="F56" s="23"/>
      <c r="G56" s="23"/>
      <c r="H56" s="24"/>
      <c r="I56" s="19"/>
      <c r="J56" s="20"/>
      <c r="K56" s="21"/>
      <c r="L56" s="22"/>
      <c r="M56" s="25"/>
      <c r="N56" s="23"/>
      <c r="O56" s="26"/>
      <c r="P56" s="19"/>
      <c r="Q56" s="20"/>
      <c r="R56" s="21"/>
      <c r="S56" s="27"/>
      <c r="T56" s="23"/>
      <c r="U56" s="23"/>
      <c r="V56" s="24"/>
      <c r="W56" s="19"/>
      <c r="X56" s="20"/>
      <c r="Y56" s="21"/>
      <c r="Z56" s="28"/>
      <c r="AA56" s="19"/>
      <c r="AB56" s="20"/>
      <c r="AC56" s="21"/>
      <c r="AD56" s="28"/>
      <c r="AE56" s="19"/>
      <c r="AF56" s="20"/>
      <c r="AG56" s="21"/>
      <c r="AH56" s="29"/>
      <c r="AI56" s="30"/>
      <c r="AJ56" s="30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9"/>
      <c r="C57" s="20"/>
      <c r="D57" s="21"/>
      <c r="E57" s="22"/>
      <c r="F57" s="23"/>
      <c r="G57" s="23"/>
      <c r="H57" s="24"/>
      <c r="I57" s="19"/>
      <c r="J57" s="20"/>
      <c r="K57" s="21"/>
      <c r="L57" s="22"/>
      <c r="M57" s="25"/>
      <c r="N57" s="23"/>
      <c r="O57" s="26"/>
      <c r="P57" s="19"/>
      <c r="Q57" s="20"/>
      <c r="R57" s="21"/>
      <c r="S57" s="27"/>
      <c r="T57" s="23"/>
      <c r="U57" s="23"/>
      <c r="V57" s="24"/>
      <c r="W57" s="19"/>
      <c r="X57" s="20"/>
      <c r="Y57" s="21"/>
      <c r="Z57" s="28"/>
      <c r="AA57" s="19"/>
      <c r="AB57" s="20"/>
      <c r="AC57" s="21"/>
      <c r="AD57" s="28"/>
      <c r="AE57" s="19"/>
      <c r="AF57" s="20"/>
      <c r="AG57" s="21"/>
      <c r="AH57" s="29"/>
      <c r="AI57" s="30"/>
      <c r="AJ57" s="30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9"/>
      <c r="C58" s="20"/>
      <c r="D58" s="21"/>
      <c r="E58" s="22"/>
      <c r="F58" s="23"/>
      <c r="G58" s="23"/>
      <c r="H58" s="24"/>
      <c r="I58" s="19"/>
      <c r="J58" s="20"/>
      <c r="K58" s="21"/>
      <c r="L58" s="22"/>
      <c r="M58" s="25"/>
      <c r="N58" s="23"/>
      <c r="O58" s="26"/>
      <c r="P58" s="19"/>
      <c r="Q58" s="20"/>
      <c r="R58" s="21"/>
      <c r="S58" s="27"/>
      <c r="T58" s="23"/>
      <c r="U58" s="23"/>
      <c r="V58" s="24"/>
      <c r="W58" s="19"/>
      <c r="X58" s="20"/>
      <c r="Y58" s="21"/>
      <c r="Z58" s="28"/>
      <c r="AA58" s="19"/>
      <c r="AB58" s="20"/>
      <c r="AC58" s="21"/>
      <c r="AD58" s="28"/>
      <c r="AE58" s="19"/>
      <c r="AF58" s="20"/>
      <c r="AG58" s="21"/>
      <c r="AH58" s="29"/>
      <c r="AI58" s="30"/>
      <c r="AJ58" s="30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9"/>
      <c r="C59" s="20"/>
      <c r="D59" s="21"/>
      <c r="E59" s="22"/>
      <c r="F59" s="23"/>
      <c r="G59" s="23"/>
      <c r="H59" s="24"/>
      <c r="I59" s="19"/>
      <c r="J59" s="20"/>
      <c r="K59" s="21"/>
      <c r="L59" s="22"/>
      <c r="M59" s="25"/>
      <c r="N59" s="23"/>
      <c r="O59" s="26"/>
      <c r="P59" s="19"/>
      <c r="Q59" s="20"/>
      <c r="R59" s="21"/>
      <c r="S59" s="27"/>
      <c r="T59" s="23"/>
      <c r="U59" s="23"/>
      <c r="V59" s="24"/>
      <c r="W59" s="19"/>
      <c r="X59" s="20"/>
      <c r="Y59" s="21"/>
      <c r="Z59" s="28"/>
      <c r="AA59" s="19"/>
      <c r="AB59" s="20"/>
      <c r="AC59" s="21"/>
      <c r="AD59" s="28"/>
      <c r="AE59" s="19"/>
      <c r="AF59" s="20"/>
      <c r="AG59" s="21"/>
      <c r="AH59" s="29"/>
      <c r="AI59" s="30"/>
      <c r="AJ59" s="30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9"/>
      <c r="C60" s="20"/>
      <c r="D60" s="21"/>
      <c r="E60" s="22"/>
      <c r="F60" s="23"/>
      <c r="G60" s="23"/>
      <c r="H60" s="24"/>
      <c r="I60" s="19"/>
      <c r="J60" s="20"/>
      <c r="K60" s="21"/>
      <c r="L60" s="22"/>
      <c r="M60" s="25"/>
      <c r="N60" s="23"/>
      <c r="O60" s="26"/>
      <c r="P60" s="19"/>
      <c r="Q60" s="20"/>
      <c r="R60" s="21"/>
      <c r="S60" s="27"/>
      <c r="T60" s="23"/>
      <c r="U60" s="23"/>
      <c r="V60" s="24"/>
      <c r="W60" s="19"/>
      <c r="X60" s="20"/>
      <c r="Y60" s="21"/>
      <c r="Z60" s="28"/>
      <c r="AA60" s="19"/>
      <c r="AB60" s="20"/>
      <c r="AC60" s="21"/>
      <c r="AD60" s="28"/>
      <c r="AE60" s="19"/>
      <c r="AF60" s="20"/>
      <c r="AG60" s="21"/>
      <c r="AH60" s="29"/>
      <c r="AI60" s="30"/>
      <c r="AJ60" s="30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9"/>
      <c r="C61" s="20"/>
      <c r="D61" s="21"/>
      <c r="E61" s="22"/>
      <c r="F61" s="23"/>
      <c r="G61" s="23"/>
      <c r="H61" s="24"/>
      <c r="I61" s="19"/>
      <c r="J61" s="20"/>
      <c r="K61" s="21"/>
      <c r="L61" s="22"/>
      <c r="M61" s="25"/>
      <c r="N61" s="23"/>
      <c r="O61" s="26"/>
      <c r="P61" s="19"/>
      <c r="Q61" s="20"/>
      <c r="R61" s="21"/>
      <c r="S61" s="27"/>
      <c r="T61" s="23"/>
      <c r="U61" s="23"/>
      <c r="V61" s="24"/>
      <c r="W61" s="19"/>
      <c r="X61" s="20"/>
      <c r="Y61" s="21"/>
      <c r="Z61" s="28"/>
      <c r="AA61" s="19"/>
      <c r="AB61" s="20"/>
      <c r="AC61" s="21"/>
      <c r="AD61" s="28"/>
      <c r="AE61" s="19"/>
      <c r="AF61" s="20"/>
      <c r="AG61" s="21"/>
      <c r="AH61" s="29"/>
      <c r="AI61" s="30"/>
      <c r="AJ61" s="30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9"/>
      <c r="C62" s="20"/>
      <c r="D62" s="21"/>
      <c r="E62" s="22"/>
      <c r="F62" s="23"/>
      <c r="G62" s="23"/>
      <c r="H62" s="24"/>
      <c r="I62" s="19"/>
      <c r="J62" s="20"/>
      <c r="K62" s="21"/>
      <c r="L62" s="22"/>
      <c r="M62" s="25"/>
      <c r="N62" s="23"/>
      <c r="O62" s="26"/>
      <c r="P62" s="19"/>
      <c r="Q62" s="20"/>
      <c r="R62" s="21"/>
      <c r="S62" s="27"/>
      <c r="T62" s="23"/>
      <c r="U62" s="23"/>
      <c r="V62" s="24"/>
      <c r="W62" s="19"/>
      <c r="X62" s="20"/>
      <c r="Y62" s="21"/>
      <c r="Z62" s="28"/>
      <c r="AA62" s="19"/>
      <c r="AB62" s="20"/>
      <c r="AC62" s="21"/>
      <c r="AD62" s="28"/>
      <c r="AE62" s="19"/>
      <c r="AF62" s="20"/>
      <c r="AG62" s="21"/>
      <c r="AH62" s="29"/>
      <c r="AI62" s="30"/>
      <c r="AJ62" s="30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9"/>
      <c r="C63" s="20"/>
      <c r="D63" s="21"/>
      <c r="E63" s="22"/>
      <c r="F63" s="23"/>
      <c r="G63" s="23"/>
      <c r="H63" s="24"/>
      <c r="I63" s="19"/>
      <c r="J63" s="20"/>
      <c r="K63" s="21"/>
      <c r="L63" s="22"/>
      <c r="M63" s="25"/>
      <c r="N63" s="23"/>
      <c r="O63" s="26"/>
      <c r="P63" s="19"/>
      <c r="Q63" s="20"/>
      <c r="R63" s="21"/>
      <c r="S63" s="27"/>
      <c r="T63" s="23"/>
      <c r="U63" s="23"/>
      <c r="V63" s="24"/>
      <c r="W63" s="19"/>
      <c r="X63" s="20"/>
      <c r="Y63" s="21"/>
      <c r="Z63" s="28"/>
      <c r="AA63" s="19"/>
      <c r="AB63" s="20"/>
      <c r="AC63" s="21"/>
      <c r="AD63" s="28"/>
      <c r="AE63" s="19"/>
      <c r="AF63" s="20"/>
      <c r="AG63" s="21"/>
      <c r="AH63" s="29"/>
      <c r="AI63" s="30"/>
      <c r="AJ63" s="30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9"/>
      <c r="C64" s="20"/>
      <c r="D64" s="21"/>
      <c r="E64" s="22"/>
      <c r="F64" s="23"/>
      <c r="G64" s="23"/>
      <c r="H64" s="24"/>
      <c r="I64" s="19"/>
      <c r="J64" s="20"/>
      <c r="K64" s="21"/>
      <c r="L64" s="22"/>
      <c r="M64" s="25"/>
      <c r="N64" s="23"/>
      <c r="O64" s="26"/>
      <c r="P64" s="19"/>
      <c r="Q64" s="20"/>
      <c r="R64" s="21"/>
      <c r="S64" s="27"/>
      <c r="T64" s="23"/>
      <c r="U64" s="23"/>
      <c r="V64" s="24"/>
      <c r="W64" s="19"/>
      <c r="X64" s="20"/>
      <c r="Y64" s="21"/>
      <c r="Z64" s="28"/>
      <c r="AA64" s="19"/>
      <c r="AB64" s="20"/>
      <c r="AC64" s="21"/>
      <c r="AD64" s="28"/>
      <c r="AE64" s="19"/>
      <c r="AF64" s="20"/>
      <c r="AG64" s="21"/>
      <c r="AH64" s="29"/>
      <c r="AI64" s="30"/>
      <c r="AJ64" s="30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9"/>
      <c r="C65" s="20"/>
      <c r="D65" s="21"/>
      <c r="E65" s="22"/>
      <c r="F65" s="23"/>
      <c r="G65" s="23"/>
      <c r="H65" s="24"/>
      <c r="I65" s="19"/>
      <c r="J65" s="20"/>
      <c r="K65" s="21"/>
      <c r="L65" s="22"/>
      <c r="M65" s="25"/>
      <c r="N65" s="23"/>
      <c r="O65" s="26"/>
      <c r="P65" s="19"/>
      <c r="Q65" s="20"/>
      <c r="R65" s="21"/>
      <c r="S65" s="27"/>
      <c r="T65" s="23"/>
      <c r="U65" s="23"/>
      <c r="V65" s="24"/>
      <c r="W65" s="19"/>
      <c r="X65" s="20"/>
      <c r="Y65" s="21"/>
      <c r="Z65" s="28"/>
      <c r="AA65" s="19"/>
      <c r="AB65" s="20"/>
      <c r="AC65" s="21"/>
      <c r="AD65" s="28"/>
      <c r="AE65" s="19"/>
      <c r="AF65" s="20"/>
      <c r="AG65" s="21"/>
      <c r="AH65" s="29"/>
      <c r="AI65" s="30"/>
      <c r="AJ65" s="30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9"/>
      <c r="C66" s="20"/>
      <c r="D66" s="21"/>
      <c r="E66" s="22"/>
      <c r="F66" s="23"/>
      <c r="G66" s="23"/>
      <c r="H66" s="24"/>
      <c r="I66" s="19"/>
      <c r="J66" s="20"/>
      <c r="K66" s="21"/>
      <c r="L66" s="22"/>
      <c r="M66" s="25"/>
      <c r="N66" s="23"/>
      <c r="O66" s="26"/>
      <c r="P66" s="19"/>
      <c r="Q66" s="20"/>
      <c r="R66" s="21"/>
      <c r="S66" s="27"/>
      <c r="T66" s="23"/>
      <c r="U66" s="23"/>
      <c r="V66" s="24"/>
      <c r="W66" s="19"/>
      <c r="X66" s="20"/>
      <c r="Y66" s="21"/>
      <c r="Z66" s="28"/>
      <c r="AA66" s="19"/>
      <c r="AB66" s="20"/>
      <c r="AC66" s="21"/>
      <c r="AD66" s="28"/>
      <c r="AE66" s="19"/>
      <c r="AF66" s="20"/>
      <c r="AG66" s="21"/>
      <c r="AH66" s="29"/>
      <c r="AI66" s="30"/>
      <c r="AJ66" s="30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9"/>
      <c r="C67" s="20"/>
      <c r="D67" s="21"/>
      <c r="E67" s="22"/>
      <c r="F67" s="23"/>
      <c r="G67" s="23"/>
      <c r="H67" s="24"/>
      <c r="I67" s="19"/>
      <c r="J67" s="20"/>
      <c r="K67" s="21"/>
      <c r="L67" s="22"/>
      <c r="M67" s="25"/>
      <c r="N67" s="23"/>
      <c r="O67" s="26"/>
      <c r="P67" s="19"/>
      <c r="Q67" s="20"/>
      <c r="R67" s="21"/>
      <c r="S67" s="27"/>
      <c r="T67" s="23"/>
      <c r="U67" s="23"/>
      <c r="V67" s="24"/>
      <c r="W67" s="19"/>
      <c r="X67" s="20"/>
      <c r="Y67" s="21"/>
      <c r="Z67" s="28"/>
      <c r="AA67" s="19"/>
      <c r="AB67" s="20"/>
      <c r="AC67" s="21"/>
      <c r="AD67" s="28"/>
      <c r="AE67" s="19"/>
      <c r="AF67" s="20"/>
      <c r="AG67" s="21"/>
      <c r="AH67" s="29"/>
      <c r="AI67" s="30"/>
      <c r="AJ67" s="30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9"/>
      <c r="C68" s="20"/>
      <c r="D68" s="21"/>
      <c r="E68" s="22"/>
      <c r="F68" s="23"/>
      <c r="G68" s="23"/>
      <c r="H68" s="24"/>
      <c r="I68" s="19"/>
      <c r="J68" s="20"/>
      <c r="K68" s="21"/>
      <c r="L68" s="22"/>
      <c r="M68" s="25"/>
      <c r="N68" s="23"/>
      <c r="O68" s="26"/>
      <c r="P68" s="19"/>
      <c r="Q68" s="20"/>
      <c r="R68" s="21"/>
      <c r="S68" s="27"/>
      <c r="T68" s="23"/>
      <c r="U68" s="23"/>
      <c r="V68" s="24"/>
      <c r="W68" s="19"/>
      <c r="X68" s="20"/>
      <c r="Y68" s="21"/>
      <c r="Z68" s="28"/>
      <c r="AA68" s="19"/>
      <c r="AB68" s="20"/>
      <c r="AC68" s="21"/>
      <c r="AD68" s="28"/>
      <c r="AE68" s="19"/>
      <c r="AF68" s="20"/>
      <c r="AG68" s="21"/>
      <c r="AH68" s="29"/>
      <c r="AI68" s="30"/>
      <c r="AJ68" s="30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9"/>
      <c r="C69" s="20"/>
      <c r="D69" s="21"/>
      <c r="E69" s="22"/>
      <c r="F69" s="23"/>
      <c r="G69" s="23"/>
      <c r="H69" s="24"/>
      <c r="I69" s="19"/>
      <c r="J69" s="20"/>
      <c r="K69" s="21"/>
      <c r="L69" s="22"/>
      <c r="M69" s="25"/>
      <c r="N69" s="23"/>
      <c r="O69" s="26"/>
      <c r="P69" s="19"/>
      <c r="Q69" s="20"/>
      <c r="R69" s="21"/>
      <c r="S69" s="27"/>
      <c r="T69" s="23"/>
      <c r="U69" s="23"/>
      <c r="V69" s="24"/>
      <c r="W69" s="19"/>
      <c r="X69" s="20"/>
      <c r="Y69" s="21"/>
      <c r="Z69" s="28"/>
      <c r="AA69" s="19"/>
      <c r="AB69" s="20"/>
      <c r="AC69" s="21"/>
      <c r="AD69" s="28"/>
      <c r="AE69" s="19"/>
      <c r="AF69" s="20"/>
      <c r="AG69" s="21"/>
      <c r="AH69" s="29"/>
      <c r="AI69" s="30"/>
      <c r="AJ69" s="30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9"/>
      <c r="C70" s="20"/>
      <c r="D70" s="21"/>
      <c r="E70" s="22"/>
      <c r="F70" s="23"/>
      <c r="G70" s="23"/>
      <c r="H70" s="24"/>
      <c r="I70" s="19"/>
      <c r="J70" s="20"/>
      <c r="K70" s="21"/>
      <c r="L70" s="22"/>
      <c r="M70" s="25"/>
      <c r="N70" s="23"/>
      <c r="O70" s="26"/>
      <c r="P70" s="19"/>
      <c r="Q70" s="20"/>
      <c r="R70" s="21"/>
      <c r="S70" s="27"/>
      <c r="T70" s="23"/>
      <c r="U70" s="23"/>
      <c r="V70" s="24"/>
      <c r="W70" s="19"/>
      <c r="X70" s="20"/>
      <c r="Y70" s="21"/>
      <c r="Z70" s="28"/>
      <c r="AA70" s="19"/>
      <c r="AB70" s="20"/>
      <c r="AC70" s="21"/>
      <c r="AD70" s="28"/>
      <c r="AE70" s="19"/>
      <c r="AF70" s="20"/>
      <c r="AG70" s="21"/>
      <c r="AH70" s="29"/>
      <c r="AI70" s="30"/>
      <c r="AJ70" s="30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9"/>
      <c r="C71" s="20"/>
      <c r="D71" s="21"/>
      <c r="E71" s="22"/>
      <c r="F71" s="23"/>
      <c r="G71" s="23"/>
      <c r="H71" s="24"/>
      <c r="I71" s="19"/>
      <c r="J71" s="20"/>
      <c r="K71" s="21"/>
      <c r="L71" s="22"/>
      <c r="M71" s="25"/>
      <c r="N71" s="23"/>
      <c r="O71" s="26"/>
      <c r="P71" s="19"/>
      <c r="Q71" s="20"/>
      <c r="R71" s="21"/>
      <c r="S71" s="27"/>
      <c r="T71" s="23"/>
      <c r="U71" s="23"/>
      <c r="V71" s="24"/>
      <c r="W71" s="19"/>
      <c r="X71" s="20"/>
      <c r="Y71" s="21"/>
      <c r="Z71" s="28"/>
      <c r="AA71" s="19"/>
      <c r="AB71" s="20"/>
      <c r="AC71" s="21"/>
      <c r="AD71" s="28"/>
      <c r="AE71" s="19"/>
      <c r="AF71" s="20"/>
      <c r="AG71" s="21"/>
      <c r="AH71" s="29"/>
      <c r="AI71" s="30"/>
      <c r="AJ71" s="30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9"/>
      <c r="C72" s="20"/>
      <c r="D72" s="21"/>
      <c r="E72" s="22"/>
      <c r="F72" s="23"/>
      <c r="G72" s="23"/>
      <c r="H72" s="24"/>
      <c r="I72" s="19"/>
      <c r="J72" s="20"/>
      <c r="K72" s="21"/>
      <c r="L72" s="22"/>
      <c r="M72" s="25"/>
      <c r="N72" s="23"/>
      <c r="O72" s="26"/>
      <c r="P72" s="19"/>
      <c r="Q72" s="20"/>
      <c r="R72" s="21"/>
      <c r="S72" s="27"/>
      <c r="T72" s="23"/>
      <c r="U72" s="23"/>
      <c r="V72" s="24"/>
      <c r="W72" s="19"/>
      <c r="X72" s="20"/>
      <c r="Y72" s="21"/>
      <c r="Z72" s="28"/>
      <c r="AA72" s="19"/>
      <c r="AB72" s="20"/>
      <c r="AC72" s="21"/>
      <c r="AD72" s="28"/>
      <c r="AE72" s="19"/>
      <c r="AF72" s="20"/>
      <c r="AG72" s="21"/>
      <c r="AH72" s="29"/>
      <c r="AI72" s="30"/>
      <c r="AJ72" s="30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9"/>
      <c r="C73" s="20"/>
      <c r="D73" s="21"/>
      <c r="E73" s="22"/>
      <c r="F73" s="23"/>
      <c r="G73" s="23"/>
      <c r="H73" s="24"/>
      <c r="I73" s="19"/>
      <c r="J73" s="20"/>
      <c r="K73" s="21"/>
      <c r="L73" s="22"/>
      <c r="M73" s="25"/>
      <c r="N73" s="23"/>
      <c r="O73" s="26"/>
      <c r="P73" s="19"/>
      <c r="Q73" s="20"/>
      <c r="R73" s="21"/>
      <c r="S73" s="27"/>
      <c r="T73" s="23"/>
      <c r="U73" s="23"/>
      <c r="V73" s="24"/>
      <c r="W73" s="19"/>
      <c r="X73" s="20"/>
      <c r="Y73" s="21"/>
      <c r="Z73" s="28"/>
      <c r="AA73" s="19"/>
      <c r="AB73" s="20"/>
      <c r="AC73" s="21"/>
      <c r="AD73" s="28"/>
      <c r="AE73" s="19"/>
      <c r="AF73" s="20"/>
      <c r="AG73" s="21"/>
      <c r="AH73" s="29"/>
      <c r="AI73" s="30"/>
      <c r="AJ73" s="30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9"/>
      <c r="C74" s="20"/>
      <c r="D74" s="21"/>
      <c r="E74" s="22"/>
      <c r="F74" s="23"/>
      <c r="G74" s="23"/>
      <c r="H74" s="24"/>
      <c r="I74" s="19"/>
      <c r="J74" s="20"/>
      <c r="K74" s="21"/>
      <c r="L74" s="22"/>
      <c r="M74" s="25"/>
      <c r="N74" s="23"/>
      <c r="O74" s="26"/>
      <c r="P74" s="19"/>
      <c r="Q74" s="20"/>
      <c r="R74" s="21"/>
      <c r="S74" s="27"/>
      <c r="T74" s="23"/>
      <c r="U74" s="23"/>
      <c r="V74" s="24"/>
      <c r="W74" s="19"/>
      <c r="X74" s="20"/>
      <c r="Y74" s="21"/>
      <c r="Z74" s="28"/>
      <c r="AA74" s="19"/>
      <c r="AB74" s="20"/>
      <c r="AC74" s="21"/>
      <c r="AD74" s="28"/>
      <c r="AE74" s="19"/>
      <c r="AF74" s="20"/>
      <c r="AG74" s="21"/>
      <c r="AH74" s="29"/>
      <c r="AI74" s="30"/>
      <c r="AJ74" s="30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9"/>
      <c r="C75" s="20"/>
      <c r="D75" s="21"/>
      <c r="E75" s="22"/>
      <c r="F75" s="23"/>
      <c r="G75" s="23"/>
      <c r="H75" s="24"/>
      <c r="I75" s="19"/>
      <c r="J75" s="20"/>
      <c r="K75" s="21"/>
      <c r="L75" s="22"/>
      <c r="M75" s="25"/>
      <c r="N75" s="23"/>
      <c r="O75" s="26"/>
      <c r="P75" s="19"/>
      <c r="Q75" s="20"/>
      <c r="R75" s="21"/>
      <c r="S75" s="27"/>
      <c r="T75" s="23"/>
      <c r="U75" s="23"/>
      <c r="V75" s="24"/>
      <c r="W75" s="19"/>
      <c r="X75" s="20"/>
      <c r="Y75" s="21"/>
      <c r="Z75" s="28"/>
      <c r="AA75" s="19"/>
      <c r="AB75" s="20"/>
      <c r="AC75" s="21"/>
      <c r="AD75" s="28"/>
      <c r="AE75" s="19"/>
      <c r="AF75" s="20"/>
      <c r="AG75" s="21"/>
      <c r="AH75" s="29"/>
      <c r="AI75" s="30"/>
      <c r="AJ75" s="30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9"/>
      <c r="C76" s="20"/>
      <c r="D76" s="21"/>
      <c r="E76" s="22"/>
      <c r="F76" s="23"/>
      <c r="G76" s="23"/>
      <c r="H76" s="24"/>
      <c r="I76" s="19"/>
      <c r="J76" s="20"/>
      <c r="K76" s="21"/>
      <c r="L76" s="22"/>
      <c r="M76" s="25"/>
      <c r="N76" s="23"/>
      <c r="O76" s="26"/>
      <c r="P76" s="19"/>
      <c r="Q76" s="20"/>
      <c r="R76" s="21"/>
      <c r="S76" s="27"/>
      <c r="T76" s="23"/>
      <c r="U76" s="23"/>
      <c r="V76" s="24"/>
      <c r="W76" s="19"/>
      <c r="X76" s="20"/>
      <c r="Y76" s="21"/>
      <c r="Z76" s="28"/>
      <c r="AA76" s="19"/>
      <c r="AB76" s="20"/>
      <c r="AC76" s="21"/>
      <c r="AD76" s="28"/>
      <c r="AE76" s="19"/>
      <c r="AF76" s="20"/>
      <c r="AG76" s="21"/>
      <c r="AH76" s="29"/>
      <c r="AI76" s="30"/>
      <c r="AJ76" s="30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9"/>
      <c r="C77" s="20"/>
      <c r="D77" s="21"/>
      <c r="E77" s="22"/>
      <c r="F77" s="23"/>
      <c r="G77" s="23"/>
      <c r="H77" s="24"/>
      <c r="I77" s="19"/>
      <c r="J77" s="20"/>
      <c r="K77" s="21"/>
      <c r="L77" s="22"/>
      <c r="M77" s="25"/>
      <c r="N77" s="23"/>
      <c r="O77" s="26"/>
      <c r="P77" s="19"/>
      <c r="Q77" s="20"/>
      <c r="R77" s="21"/>
      <c r="S77" s="27"/>
      <c r="T77" s="23"/>
      <c r="U77" s="23"/>
      <c r="V77" s="24"/>
      <c r="W77" s="19"/>
      <c r="X77" s="20"/>
      <c r="Y77" s="21"/>
      <c r="Z77" s="28"/>
      <c r="AA77" s="19"/>
      <c r="AB77" s="20"/>
      <c r="AC77" s="21"/>
      <c r="AD77" s="28"/>
      <c r="AE77" s="19"/>
      <c r="AF77" s="20"/>
      <c r="AG77" s="21"/>
      <c r="AH77" s="29"/>
      <c r="AI77" s="30"/>
      <c r="AJ77" s="30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9"/>
      <c r="C78" s="20"/>
      <c r="D78" s="21"/>
      <c r="E78" s="22"/>
      <c r="F78" s="23"/>
      <c r="G78" s="23"/>
      <c r="H78" s="24"/>
      <c r="I78" s="19"/>
      <c r="J78" s="20"/>
      <c r="K78" s="21"/>
      <c r="L78" s="22"/>
      <c r="M78" s="25"/>
      <c r="N78" s="23"/>
      <c r="O78" s="26"/>
      <c r="P78" s="19"/>
      <c r="Q78" s="20"/>
      <c r="R78" s="21"/>
      <c r="S78" s="27"/>
      <c r="T78" s="23"/>
      <c r="U78" s="23"/>
      <c r="V78" s="24"/>
      <c r="W78" s="19"/>
      <c r="X78" s="20"/>
      <c r="Y78" s="21"/>
      <c r="Z78" s="28"/>
      <c r="AA78" s="19"/>
      <c r="AB78" s="20"/>
      <c r="AC78" s="21"/>
      <c r="AD78" s="28"/>
      <c r="AE78" s="19"/>
      <c r="AF78" s="20"/>
      <c r="AG78" s="21"/>
      <c r="AH78" s="29"/>
      <c r="AI78" s="30"/>
      <c r="AJ78" s="30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9"/>
      <c r="C79" s="20"/>
      <c r="D79" s="21"/>
      <c r="E79" s="22"/>
      <c r="F79" s="23"/>
      <c r="G79" s="23"/>
      <c r="H79" s="24"/>
      <c r="I79" s="19"/>
      <c r="J79" s="20"/>
      <c r="K79" s="21"/>
      <c r="L79" s="22"/>
      <c r="M79" s="25"/>
      <c r="N79" s="23"/>
      <c r="O79" s="26"/>
      <c r="P79" s="19"/>
      <c r="Q79" s="20"/>
      <c r="R79" s="21"/>
      <c r="S79" s="27"/>
      <c r="T79" s="23"/>
      <c r="U79" s="23"/>
      <c r="V79" s="24"/>
      <c r="W79" s="19"/>
      <c r="X79" s="20"/>
      <c r="Y79" s="21"/>
      <c r="Z79" s="28"/>
      <c r="AA79" s="19"/>
      <c r="AB79" s="20"/>
      <c r="AC79" s="21"/>
      <c r="AD79" s="28"/>
      <c r="AE79" s="19"/>
      <c r="AF79" s="20"/>
      <c r="AG79" s="21"/>
      <c r="AH79" s="29"/>
      <c r="AI79" s="30"/>
      <c r="AJ79" s="30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9"/>
      <c r="C80" s="20"/>
      <c r="D80" s="21"/>
      <c r="E80" s="22"/>
      <c r="F80" s="23"/>
      <c r="G80" s="23"/>
      <c r="H80" s="24"/>
      <c r="I80" s="19"/>
      <c r="J80" s="20"/>
      <c r="K80" s="21"/>
      <c r="L80" s="22"/>
      <c r="M80" s="25"/>
      <c r="N80" s="23"/>
      <c r="O80" s="26"/>
      <c r="P80" s="19"/>
      <c r="Q80" s="20"/>
      <c r="R80" s="21"/>
      <c r="S80" s="27"/>
      <c r="T80" s="23"/>
      <c r="U80" s="23"/>
      <c r="V80" s="24"/>
      <c r="W80" s="19"/>
      <c r="X80" s="20"/>
      <c r="Y80" s="21"/>
      <c r="Z80" s="28"/>
      <c r="AA80" s="19"/>
      <c r="AB80" s="20"/>
      <c r="AC80" s="21"/>
      <c r="AD80" s="28"/>
      <c r="AE80" s="19"/>
      <c r="AF80" s="20"/>
      <c r="AG80" s="21"/>
      <c r="AH80" s="29"/>
      <c r="AI80" s="30"/>
      <c r="AJ80" s="30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9"/>
      <c r="C81" s="20"/>
      <c r="D81" s="21"/>
      <c r="E81" s="22"/>
      <c r="F81" s="23"/>
      <c r="G81" s="23"/>
      <c r="H81" s="24"/>
      <c r="I81" s="19"/>
      <c r="J81" s="20"/>
      <c r="K81" s="21"/>
      <c r="L81" s="22"/>
      <c r="M81" s="25"/>
      <c r="N81" s="23"/>
      <c r="O81" s="26"/>
      <c r="P81" s="19"/>
      <c r="Q81" s="20"/>
      <c r="R81" s="21"/>
      <c r="S81" s="27"/>
      <c r="T81" s="23"/>
      <c r="U81" s="23"/>
      <c r="V81" s="24"/>
      <c r="W81" s="19"/>
      <c r="X81" s="20"/>
      <c r="Y81" s="21"/>
      <c r="Z81" s="28"/>
      <c r="AA81" s="19"/>
      <c r="AB81" s="20"/>
      <c r="AC81" s="21"/>
      <c r="AD81" s="28"/>
      <c r="AE81" s="19"/>
      <c r="AF81" s="20"/>
      <c r="AG81" s="21"/>
      <c r="AH81" s="29"/>
      <c r="AI81" s="30"/>
      <c r="AJ81" s="30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9"/>
      <c r="C82" s="20"/>
      <c r="D82" s="21"/>
      <c r="E82" s="22"/>
      <c r="F82" s="23"/>
      <c r="G82" s="23"/>
      <c r="H82" s="24"/>
      <c r="I82" s="19"/>
      <c r="J82" s="20"/>
      <c r="K82" s="21"/>
      <c r="L82" s="22"/>
      <c r="M82" s="25"/>
      <c r="N82" s="23"/>
      <c r="O82" s="26"/>
      <c r="P82" s="19"/>
      <c r="Q82" s="20"/>
      <c r="R82" s="21"/>
      <c r="S82" s="27"/>
      <c r="T82" s="23"/>
      <c r="U82" s="23"/>
      <c r="V82" s="24"/>
      <c r="W82" s="19"/>
      <c r="X82" s="20"/>
      <c r="Y82" s="21"/>
      <c r="Z82" s="28"/>
      <c r="AA82" s="19"/>
      <c r="AB82" s="20"/>
      <c r="AC82" s="21"/>
      <c r="AD82" s="28"/>
      <c r="AE82" s="19"/>
      <c r="AF82" s="20"/>
      <c r="AG82" s="21"/>
      <c r="AH82" s="29"/>
      <c r="AI82" s="30"/>
      <c r="AJ82" s="30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9"/>
      <c r="C83" s="20"/>
      <c r="D83" s="21"/>
      <c r="E83" s="22"/>
      <c r="F83" s="23"/>
      <c r="G83" s="23"/>
      <c r="H83" s="24"/>
      <c r="I83" s="19"/>
      <c r="J83" s="20"/>
      <c r="K83" s="21"/>
      <c r="L83" s="22"/>
      <c r="M83" s="25"/>
      <c r="N83" s="23"/>
      <c r="O83" s="26"/>
      <c r="P83" s="19"/>
      <c r="Q83" s="20"/>
      <c r="R83" s="21"/>
      <c r="S83" s="27"/>
      <c r="T83" s="23"/>
      <c r="U83" s="23"/>
      <c r="V83" s="24"/>
      <c r="W83" s="19"/>
      <c r="X83" s="20"/>
      <c r="Y83" s="21"/>
      <c r="Z83" s="28"/>
      <c r="AA83" s="19"/>
      <c r="AB83" s="20"/>
      <c r="AC83" s="21"/>
      <c r="AD83" s="28"/>
      <c r="AE83" s="19"/>
      <c r="AF83" s="20"/>
      <c r="AG83" s="21"/>
      <c r="AH83" s="29"/>
      <c r="AI83" s="30"/>
      <c r="AJ83" s="30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9"/>
      <c r="C84" s="20"/>
      <c r="D84" s="21"/>
      <c r="E84" s="22"/>
      <c r="F84" s="23"/>
      <c r="G84" s="23"/>
      <c r="H84" s="24"/>
      <c r="I84" s="19"/>
      <c r="J84" s="20"/>
      <c r="K84" s="21"/>
      <c r="L84" s="22"/>
      <c r="M84" s="25"/>
      <c r="N84" s="23"/>
      <c r="O84" s="26"/>
      <c r="P84" s="19"/>
      <c r="Q84" s="20"/>
      <c r="R84" s="21"/>
      <c r="S84" s="27"/>
      <c r="T84" s="23"/>
      <c r="U84" s="23"/>
      <c r="V84" s="24"/>
      <c r="W84" s="19"/>
      <c r="X84" s="20"/>
      <c r="Y84" s="21"/>
      <c r="Z84" s="28"/>
      <c r="AA84" s="19"/>
      <c r="AB84" s="20"/>
      <c r="AC84" s="21"/>
      <c r="AD84" s="28"/>
      <c r="AE84" s="19"/>
      <c r="AF84" s="20"/>
      <c r="AG84" s="21"/>
      <c r="AH84" s="29"/>
      <c r="AI84" s="30"/>
      <c r="AJ84" s="30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9"/>
      <c r="C85" s="20"/>
      <c r="D85" s="21"/>
      <c r="E85" s="22"/>
      <c r="F85" s="23"/>
      <c r="G85" s="23"/>
      <c r="H85" s="24"/>
      <c r="I85" s="19"/>
      <c r="J85" s="20"/>
      <c r="K85" s="21"/>
      <c r="L85" s="22"/>
      <c r="M85" s="25"/>
      <c r="N85" s="23"/>
      <c r="O85" s="26"/>
      <c r="P85" s="19"/>
      <c r="Q85" s="20"/>
      <c r="R85" s="21"/>
      <c r="S85" s="27"/>
      <c r="T85" s="23"/>
      <c r="U85" s="23"/>
      <c r="V85" s="24"/>
      <c r="W85" s="19"/>
      <c r="X85" s="20"/>
      <c r="Y85" s="21"/>
      <c r="Z85" s="28"/>
      <c r="AA85" s="19"/>
      <c r="AB85" s="20"/>
      <c r="AC85" s="21"/>
      <c r="AD85" s="28"/>
      <c r="AE85" s="19"/>
      <c r="AF85" s="20"/>
      <c r="AG85" s="21"/>
      <c r="AH85" s="29"/>
      <c r="AI85" s="30"/>
      <c r="AJ85" s="30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9"/>
      <c r="C86" s="20"/>
      <c r="D86" s="21"/>
      <c r="E86" s="22"/>
      <c r="F86" s="23"/>
      <c r="G86" s="23"/>
      <c r="H86" s="24"/>
      <c r="I86" s="19"/>
      <c r="J86" s="20"/>
      <c r="K86" s="21"/>
      <c r="L86" s="22"/>
      <c r="M86" s="25"/>
      <c r="N86" s="23"/>
      <c r="O86" s="26"/>
      <c r="P86" s="19"/>
      <c r="Q86" s="20"/>
      <c r="R86" s="21"/>
      <c r="S86" s="27"/>
      <c r="T86" s="23"/>
      <c r="U86" s="23"/>
      <c r="V86" s="24"/>
      <c r="W86" s="19"/>
      <c r="X86" s="20"/>
      <c r="Y86" s="21"/>
      <c r="Z86" s="28"/>
      <c r="AA86" s="19"/>
      <c r="AB86" s="20"/>
      <c r="AC86" s="21"/>
      <c r="AD86" s="28"/>
      <c r="AE86" s="19"/>
      <c r="AF86" s="20"/>
      <c r="AG86" s="21"/>
      <c r="AH86" s="29"/>
      <c r="AI86" s="30"/>
      <c r="AJ86" s="30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3"/>
      <c r="C87" s="33"/>
      <c r="D87" s="33"/>
      <c r="E87" s="5"/>
      <c r="F87" s="33"/>
      <c r="G87" s="33"/>
      <c r="H87" s="34"/>
      <c r="I87" s="33"/>
      <c r="J87" s="33"/>
      <c r="K87" s="33"/>
      <c r="L87" s="33"/>
      <c r="M87" s="5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0"/>
      <c r="AJ87" s="30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3"/>
      <c r="C88" s="33"/>
      <c r="D88" s="33"/>
      <c r="E88" s="5"/>
      <c r="F88" s="33"/>
      <c r="G88" s="33"/>
      <c r="H88" s="34"/>
      <c r="I88" s="33"/>
      <c r="J88" s="33"/>
      <c r="K88" s="33"/>
      <c r="L88" s="33"/>
      <c r="M88" s="5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0"/>
      <c r="AJ88" s="30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3"/>
      <c r="C89" s="33"/>
      <c r="D89" s="33"/>
      <c r="E89" s="5"/>
      <c r="F89" s="33"/>
      <c r="G89" s="33"/>
      <c r="H89" s="34"/>
      <c r="I89" s="33"/>
      <c r="J89" s="33"/>
      <c r="K89" s="33"/>
      <c r="L89" s="33"/>
      <c r="M89" s="5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0"/>
      <c r="AJ89" s="30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3"/>
      <c r="C90" s="33"/>
      <c r="D90" s="33"/>
      <c r="E90" s="5"/>
      <c r="F90" s="33"/>
      <c r="G90" s="33"/>
      <c r="H90" s="34"/>
      <c r="I90" s="33"/>
      <c r="J90" s="33"/>
      <c r="K90" s="33"/>
      <c r="L90" s="33"/>
      <c r="M90" s="5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0"/>
      <c r="AJ90" s="30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3"/>
      <c r="C91" s="33"/>
      <c r="D91" s="33"/>
      <c r="E91" s="5"/>
      <c r="F91" s="33"/>
      <c r="G91" s="33"/>
      <c r="H91" s="34"/>
      <c r="I91" s="33"/>
      <c r="J91" s="33"/>
      <c r="K91" s="33"/>
      <c r="L91" s="33"/>
      <c r="M91" s="5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0"/>
      <c r="AJ91" s="30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3"/>
      <c r="C92" s="33"/>
      <c r="D92" s="33"/>
      <c r="E92" s="5"/>
      <c r="F92" s="33"/>
      <c r="G92" s="33"/>
      <c r="H92" s="34"/>
      <c r="I92" s="33"/>
      <c r="J92" s="33"/>
      <c r="K92" s="33"/>
      <c r="L92" s="33"/>
      <c r="M92" s="5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0"/>
      <c r="AJ92" s="30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3"/>
      <c r="C93" s="33"/>
      <c r="D93" s="33"/>
      <c r="E93" s="5"/>
      <c r="F93" s="33"/>
      <c r="G93" s="33"/>
      <c r="H93" s="34"/>
      <c r="I93" s="33"/>
      <c r="J93" s="33"/>
      <c r="K93" s="33"/>
      <c r="L93" s="33"/>
      <c r="M93" s="5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0"/>
      <c r="AJ93" s="30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3"/>
      <c r="C94" s="33"/>
      <c r="D94" s="33"/>
      <c r="E94" s="5"/>
      <c r="F94" s="33"/>
      <c r="G94" s="33"/>
      <c r="H94" s="34"/>
      <c r="I94" s="33"/>
      <c r="J94" s="33"/>
      <c r="K94" s="33"/>
      <c r="L94" s="33"/>
      <c r="M94" s="5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0"/>
      <c r="AJ94" s="30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3"/>
      <c r="C95" s="33"/>
      <c r="D95" s="33"/>
      <c r="E95" s="5"/>
      <c r="F95" s="33"/>
      <c r="G95" s="33"/>
      <c r="H95" s="34"/>
      <c r="I95" s="33"/>
      <c r="J95" s="33"/>
      <c r="K95" s="33"/>
      <c r="L95" s="33"/>
      <c r="M95" s="5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0"/>
      <c r="AJ95" s="30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0"/>
      <c r="AJ96" s="30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0"/>
      <c r="AJ97" s="30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0"/>
      <c r="AJ98" s="30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0"/>
      <c r="AJ99" s="30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0"/>
      <c r="AJ100" s="30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0"/>
      <c r="AJ101" s="30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0"/>
      <c r="AJ102" s="30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0"/>
      <c r="AJ103" s="30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0"/>
      <c r="AJ104" s="30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0"/>
      <c r="AJ105" s="30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0"/>
      <c r="AJ106" s="30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0"/>
      <c r="AJ107" s="30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0"/>
      <c r="AJ108" s="30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0"/>
      <c r="AJ109" s="30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0"/>
      <c r="AJ110" s="30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0"/>
      <c r="AJ111" s="30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0"/>
      <c r="AJ112" s="30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0"/>
      <c r="AJ113" s="30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0"/>
      <c r="AJ114" s="30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0"/>
      <c r="AJ115" s="30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0"/>
      <c r="AJ116" s="30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0"/>
      <c r="AJ117" s="30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0"/>
      <c r="AJ118" s="30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0"/>
      <c r="AJ119" s="30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0"/>
      <c r="AJ120" s="30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0"/>
      <c r="AJ121" s="30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0"/>
      <c r="AJ122" s="30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0"/>
      <c r="AJ123" s="30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0"/>
      <c r="AJ124" s="30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0"/>
      <c r="AJ125" s="30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0"/>
      <c r="AJ126" s="30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0"/>
      <c r="AJ127" s="30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0"/>
      <c r="AJ128" s="30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0"/>
      <c r="AJ129" s="30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0"/>
      <c r="AJ130" s="30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0"/>
      <c r="AJ131" s="30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0"/>
      <c r="AJ132" s="30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0"/>
      <c r="AJ133" s="30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0"/>
      <c r="AJ134" s="30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0"/>
      <c r="AJ135" s="30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0"/>
      <c r="AJ136" s="30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0"/>
      <c r="AJ137" s="30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0"/>
      <c r="AJ138" s="30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0"/>
      <c r="AJ139" s="30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0"/>
      <c r="AJ140" s="30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0"/>
      <c r="AJ141" s="30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0"/>
      <c r="AJ142" s="30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0"/>
      <c r="AJ143" s="30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0"/>
      <c r="AJ144" s="30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0"/>
      <c r="AJ145" s="30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0"/>
      <c r="AJ146" s="30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0"/>
      <c r="AJ147" s="30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0"/>
      <c r="AJ148" s="30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0"/>
      <c r="AJ149" s="30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0"/>
      <c r="AJ150" s="30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0"/>
      <c r="AJ151" s="30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0"/>
      <c r="AJ152" s="30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0"/>
      <c r="AJ153" s="30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0"/>
      <c r="AJ154" s="30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0"/>
      <c r="AJ155" s="30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0"/>
      <c r="AJ156" s="30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0"/>
      <c r="AJ157" s="30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0"/>
      <c r="AJ158" s="30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0"/>
      <c r="AJ159" s="30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0"/>
      <c r="AJ160" s="30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0"/>
      <c r="AJ161" s="30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0"/>
      <c r="AJ162" s="30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0"/>
      <c r="AJ163" s="30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0"/>
      <c r="AJ164" s="30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0"/>
      <c r="AJ165" s="30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0"/>
      <c r="AJ166" s="30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0"/>
      <c r="AJ167" s="30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0"/>
      <c r="AJ168" s="30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0"/>
      <c r="AJ169" s="30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0"/>
      <c r="AJ170" s="30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0"/>
      <c r="AJ171" s="30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0"/>
      <c r="AJ172" s="30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0"/>
      <c r="AJ173" s="30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0"/>
      <c r="AJ174" s="30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0"/>
      <c r="AJ175" s="30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0"/>
      <c r="AJ176" s="30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0"/>
      <c r="AJ177" s="30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0"/>
      <c r="AJ178" s="30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0"/>
      <c r="AJ179" s="30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0"/>
      <c r="AJ180" s="30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0"/>
      <c r="AJ181" s="30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0"/>
      <c r="AJ182" s="30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0"/>
      <c r="AJ183" s="30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0"/>
      <c r="AJ184" s="30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0"/>
      <c r="AJ185" s="30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0"/>
      <c r="AJ186" s="30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0"/>
      <c r="AJ187" s="30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0"/>
      <c r="AJ188" s="30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0"/>
      <c r="AJ189" s="30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0"/>
      <c r="AJ190" s="30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0"/>
      <c r="AJ191" s="30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0"/>
      <c r="AJ192" s="30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0"/>
      <c r="AJ193" s="30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0"/>
      <c r="AJ194" s="30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0"/>
      <c r="AJ195" s="30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0"/>
      <c r="AJ196" s="30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0"/>
      <c r="AJ197" s="30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0"/>
      <c r="AJ198" s="30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0"/>
      <c r="AJ199" s="30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0"/>
      <c r="AJ200" s="30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0"/>
      <c r="AJ201" s="30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0"/>
      <c r="AJ202" s="30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0"/>
      <c r="AJ203" s="30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0"/>
      <c r="AJ204" s="30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0"/>
      <c r="AJ205" s="30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0"/>
      <c r="AJ206" s="30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0"/>
      <c r="AJ207" s="30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0"/>
      <c r="AJ208" s="30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0"/>
      <c r="AJ209" s="30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0"/>
      <c r="AJ210" s="30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0"/>
      <c r="AJ211" s="30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0"/>
      <c r="AJ212" s="30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0"/>
      <c r="AJ213" s="30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0"/>
      <c r="AJ214" s="30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0"/>
      <c r="AJ215" s="30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0"/>
      <c r="AJ216" s="30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0"/>
      <c r="AJ217" s="30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0"/>
      <c r="AJ218" s="30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0"/>
      <c r="AJ219" s="30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0"/>
      <c r="AJ220" s="30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0"/>
      <c r="AJ221" s="30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0"/>
      <c r="AJ222" s="30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0"/>
      <c r="AJ223" s="30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0"/>
      <c r="AJ224" s="30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0"/>
      <c r="AJ225" s="30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0"/>
      <c r="AJ226" s="30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0"/>
      <c r="AJ227" s="30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0"/>
      <c r="AJ228" s="30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0"/>
      <c r="AJ229" s="30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0"/>
      <c r="AJ230" s="30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0"/>
      <c r="AJ231" s="30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0"/>
      <c r="AJ232" s="30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0"/>
      <c r="AJ233" s="30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0"/>
      <c r="AJ234" s="30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0"/>
      <c r="AJ235" s="30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0"/>
      <c r="AJ236" s="30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0"/>
      <c r="AJ237" s="30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0"/>
      <c r="AJ238" s="30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0"/>
      <c r="AJ239" s="30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0"/>
      <c r="AJ240" s="30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0"/>
      <c r="AJ241" s="30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0"/>
      <c r="AJ242" s="30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0"/>
      <c r="AJ243" s="30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0"/>
      <c r="AJ244" s="30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0"/>
      <c r="AJ245" s="30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0"/>
      <c r="AJ246" s="30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0"/>
      <c r="AJ247" s="30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0"/>
      <c r="AJ248" s="30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0"/>
      <c r="AJ249" s="30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0"/>
      <c r="AJ250" s="30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0"/>
      <c r="AJ251" s="30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0"/>
      <c r="AJ252" s="30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0"/>
      <c r="AJ253" s="30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0"/>
      <c r="AJ254" s="30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0"/>
      <c r="AJ255" s="30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0"/>
      <c r="AJ256" s="30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0"/>
      <c r="AJ257" s="30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0"/>
      <c r="AJ258" s="30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0"/>
      <c r="AJ259" s="30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0"/>
      <c r="AJ260" s="30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0"/>
      <c r="AJ261" s="30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0"/>
      <c r="AJ262" s="30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0"/>
      <c r="AJ263" s="30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0"/>
      <c r="AJ264" s="30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0"/>
      <c r="AJ265" s="30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0"/>
      <c r="AJ266" s="30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0"/>
      <c r="AJ267" s="30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0"/>
      <c r="AJ268" s="30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0"/>
      <c r="AJ269" s="30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0"/>
      <c r="AJ270" s="30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0"/>
      <c r="AJ271" s="30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0"/>
      <c r="AJ272" s="30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0"/>
      <c r="AJ273" s="30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0"/>
      <c r="AJ274" s="30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0"/>
      <c r="AJ275" s="30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0"/>
      <c r="AJ276" s="30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0"/>
      <c r="AJ277" s="30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0"/>
      <c r="AJ278" s="30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0"/>
      <c r="AJ279" s="30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0"/>
      <c r="AJ280" s="30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0"/>
      <c r="AJ281" s="30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0"/>
      <c r="AJ282" s="30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0"/>
      <c r="AJ283" s="30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0"/>
      <c r="AJ284" s="30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0"/>
      <c r="AJ285" s="30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0"/>
      <c r="AJ286" s="30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0"/>
      <c r="AJ287" s="30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0"/>
      <c r="AJ288" s="30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0"/>
      <c r="AJ289" s="30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0"/>
      <c r="AJ290" s="30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0"/>
      <c r="AJ291" s="30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0"/>
      <c r="AJ292" s="30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0"/>
      <c r="AJ293" s="30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0"/>
      <c r="AJ294" s="30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0"/>
      <c r="AJ295" s="30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0"/>
      <c r="AJ296" s="30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0"/>
      <c r="AJ297" s="30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0"/>
      <c r="AJ298" s="30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0"/>
      <c r="AJ299" s="30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0"/>
      <c r="AJ300" s="30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0"/>
      <c r="AJ301" s="30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0"/>
      <c r="AJ302" s="30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0"/>
      <c r="AJ303" s="30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0"/>
      <c r="AJ304" s="30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0"/>
      <c r="AJ305" s="30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0"/>
      <c r="AJ306" s="30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0"/>
      <c r="AJ307" s="30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0"/>
      <c r="AJ308" s="30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0"/>
      <c r="AJ309" s="30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0"/>
      <c r="AJ310" s="30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0"/>
      <c r="AJ311" s="30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0"/>
      <c r="AJ312" s="30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0"/>
      <c r="AJ313" s="30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0"/>
      <c r="AJ314" s="30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0"/>
      <c r="AJ315" s="30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0"/>
      <c r="AJ316" s="30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0"/>
      <c r="AJ317" s="30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0"/>
      <c r="AJ318" s="30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0"/>
      <c r="AJ319" s="30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0"/>
      <c r="AJ320" s="30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0"/>
      <c r="AJ321" s="30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0"/>
      <c r="AJ322" s="30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0"/>
      <c r="AJ323" s="30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0"/>
      <c r="AJ324" s="30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0"/>
      <c r="AJ325" s="30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0"/>
      <c r="AJ326" s="30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0"/>
      <c r="AJ327" s="30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0"/>
      <c r="AJ328" s="30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0"/>
      <c r="AJ329" s="30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0"/>
      <c r="AJ330" s="30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0"/>
      <c r="AJ331" s="30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0"/>
      <c r="AJ332" s="30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0"/>
      <c r="AJ333" s="30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0"/>
      <c r="AJ334" s="30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0"/>
      <c r="AJ335" s="30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0"/>
      <c r="AJ336" s="30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0"/>
      <c r="AJ337" s="30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0"/>
      <c r="AJ338" s="30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0"/>
      <c r="AJ339" s="30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0"/>
      <c r="AJ340" s="30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0"/>
      <c r="AJ341" s="30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0"/>
      <c r="AJ342" s="30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0"/>
      <c r="AJ343" s="30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0"/>
      <c r="AJ344" s="30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0"/>
      <c r="AJ345" s="30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0"/>
      <c r="AJ346" s="30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0"/>
      <c r="AJ347" s="30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0"/>
      <c r="AJ348" s="30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0"/>
      <c r="AJ349" s="30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0"/>
      <c r="AJ350" s="30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0"/>
      <c r="AJ351" s="30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0"/>
      <c r="AJ352" s="30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0"/>
      <c r="AJ353" s="30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0"/>
      <c r="AJ354" s="30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0"/>
      <c r="AJ355" s="30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0"/>
      <c r="AJ356" s="30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0"/>
      <c r="AJ357" s="30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0"/>
      <c r="AJ358" s="30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0"/>
      <c r="AJ359" s="30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0"/>
      <c r="AJ360" s="30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0"/>
      <c r="AJ361" s="30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0"/>
      <c r="AJ362" s="30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0"/>
      <c r="AJ363" s="30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0"/>
      <c r="AJ364" s="30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0"/>
      <c r="AJ365" s="30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0"/>
      <c r="AJ366" s="30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0"/>
      <c r="AJ367" s="30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0"/>
      <c r="AJ368" s="30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0"/>
      <c r="AJ369" s="30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0"/>
      <c r="AJ370" s="30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0"/>
      <c r="AJ371" s="30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0"/>
      <c r="AJ372" s="30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0"/>
      <c r="AJ373" s="30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0"/>
      <c r="AJ374" s="30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0"/>
      <c r="AJ375" s="30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0"/>
      <c r="AJ376" s="30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0"/>
      <c r="AJ377" s="30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0"/>
      <c r="AJ378" s="30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0"/>
      <c r="AJ379" s="30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0"/>
      <c r="AJ380" s="30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0"/>
      <c r="AJ381" s="30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0"/>
      <c r="AJ382" s="30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0"/>
      <c r="AJ383" s="30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0"/>
      <c r="AJ384" s="30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0"/>
      <c r="AJ385" s="30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0"/>
      <c r="AJ386" s="30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0"/>
      <c r="AJ387" s="30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0"/>
      <c r="AJ388" s="30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0"/>
      <c r="AJ389" s="30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0"/>
      <c r="AJ390" s="30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0"/>
      <c r="AJ391" s="30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0"/>
      <c r="AJ392" s="30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0"/>
      <c r="AJ393" s="30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0"/>
      <c r="AJ394" s="30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0"/>
      <c r="AJ395" s="30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0"/>
      <c r="AJ396" s="30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0"/>
      <c r="AJ397" s="30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0"/>
      <c r="AJ398" s="30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0"/>
      <c r="AJ399" s="30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0"/>
      <c r="AJ400" s="30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0"/>
      <c r="AJ401" s="30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0"/>
      <c r="AJ402" s="30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0"/>
      <c r="AJ403" s="30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0"/>
      <c r="AJ404" s="30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0"/>
      <c r="AJ405" s="30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0"/>
      <c r="AJ406" s="30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0"/>
      <c r="AJ407" s="30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0"/>
      <c r="AJ408" s="30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0"/>
      <c r="AJ409" s="30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0"/>
      <c r="AJ410" s="30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0"/>
      <c r="AJ411" s="30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0"/>
      <c r="AJ412" s="30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0"/>
      <c r="AJ413" s="30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0"/>
      <c r="AJ414" s="30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0"/>
      <c r="AJ415" s="30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0"/>
      <c r="AJ416" s="30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0"/>
      <c r="AJ417" s="30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0"/>
      <c r="AJ418" s="30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0"/>
      <c r="AJ419" s="30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0"/>
      <c r="AJ420" s="30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0"/>
      <c r="AJ421" s="30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0"/>
      <c r="AJ422" s="30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0"/>
      <c r="AJ423" s="30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0"/>
      <c r="AJ424" s="30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0"/>
      <c r="AJ425" s="30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0"/>
      <c r="AJ426" s="30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0"/>
      <c r="AJ427" s="30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0"/>
      <c r="AJ428" s="30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0"/>
      <c r="AJ429" s="30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0"/>
      <c r="AJ430" s="30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0"/>
      <c r="AJ431" s="30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0"/>
      <c r="AJ432" s="30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0"/>
      <c r="AJ433" s="30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0"/>
      <c r="AJ434" s="30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0"/>
      <c r="AJ435" s="30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0"/>
      <c r="AJ436" s="30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0"/>
      <c r="AJ437" s="30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0"/>
      <c r="AJ438" s="30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0"/>
      <c r="AJ439" s="30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0"/>
      <c r="AJ440" s="30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0"/>
      <c r="AJ441" s="30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0"/>
      <c r="AJ442" s="30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0"/>
      <c r="AJ443" s="30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0"/>
      <c r="AJ444" s="30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0"/>
      <c r="AJ445" s="30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0"/>
      <c r="AJ446" s="30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0"/>
      <c r="AJ447" s="30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0"/>
      <c r="AJ448" s="30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0"/>
      <c r="AJ449" s="30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0"/>
      <c r="AJ450" s="30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0"/>
      <c r="AJ451" s="30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0"/>
      <c r="AJ452" s="30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0"/>
      <c r="AJ453" s="30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0"/>
      <c r="AJ454" s="30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0"/>
      <c r="AJ455" s="30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0"/>
      <c r="AJ456" s="30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0"/>
      <c r="AJ457" s="30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0"/>
      <c r="AJ458" s="30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0"/>
      <c r="AJ459" s="30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0"/>
      <c r="AJ460" s="30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0"/>
      <c r="AJ461" s="30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0"/>
      <c r="AJ462" s="30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0"/>
      <c r="AJ463" s="30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0"/>
      <c r="AJ464" s="30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0"/>
      <c r="AJ465" s="30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0"/>
      <c r="AJ466" s="30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0"/>
      <c r="AJ467" s="30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0"/>
      <c r="AJ468" s="30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0"/>
      <c r="AJ469" s="30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0"/>
      <c r="AJ470" s="30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0"/>
      <c r="AJ471" s="30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0"/>
      <c r="AJ472" s="30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0"/>
      <c r="AJ473" s="30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0"/>
      <c r="AJ474" s="30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0"/>
      <c r="AJ475" s="30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0"/>
      <c r="AJ476" s="30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0"/>
      <c r="AJ477" s="30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0"/>
      <c r="AJ478" s="30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0"/>
      <c r="AJ479" s="30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0"/>
      <c r="AJ480" s="30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0"/>
      <c r="AJ481" s="30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0"/>
      <c r="AJ482" s="30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0"/>
      <c r="AJ483" s="30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0"/>
      <c r="AJ484" s="30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0"/>
      <c r="AJ485" s="30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0"/>
      <c r="AJ486" s="30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0"/>
      <c r="AJ487" s="30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0"/>
      <c r="AJ488" s="30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0"/>
      <c r="AJ489" s="30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0"/>
      <c r="AJ490" s="30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0"/>
      <c r="AJ491" s="30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0"/>
      <c r="AJ492" s="30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0"/>
      <c r="AJ493" s="30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0"/>
      <c r="AJ494" s="30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0"/>
      <c r="AJ495" s="30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0"/>
      <c r="AJ496" s="30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0"/>
      <c r="AJ497" s="30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0"/>
      <c r="AJ498" s="30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0"/>
      <c r="AJ499" s="30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0"/>
      <c r="AJ500" s="30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0"/>
      <c r="AJ501" s="30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0"/>
      <c r="AJ502" s="30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0"/>
      <c r="AJ503" s="30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0"/>
      <c r="AJ504" s="30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0"/>
      <c r="AJ505" s="30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0"/>
      <c r="AJ506" s="30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0"/>
      <c r="AJ507" s="30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0"/>
      <c r="AJ508" s="30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0"/>
      <c r="AJ509" s="30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0"/>
      <c r="AJ510" s="30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0"/>
      <c r="AJ511" s="30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0"/>
      <c r="AJ512" s="30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0"/>
      <c r="AJ513" s="30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0"/>
      <c r="AJ514" s="30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0"/>
      <c r="AJ515" s="30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0"/>
      <c r="AJ516" s="30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0"/>
      <c r="AJ517" s="30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0"/>
      <c r="AJ518" s="30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0"/>
      <c r="AJ519" s="30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0"/>
      <c r="AJ520" s="30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0"/>
      <c r="AJ521" s="30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0"/>
      <c r="AJ522" s="30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0"/>
      <c r="AJ523" s="30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0"/>
      <c r="AJ524" s="30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0"/>
      <c r="AJ525" s="30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0"/>
      <c r="AJ526" s="30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0"/>
      <c r="AJ527" s="30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0"/>
      <c r="AJ528" s="30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0"/>
      <c r="AJ529" s="30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0"/>
      <c r="AJ530" s="30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0"/>
      <c r="AJ531" s="30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0"/>
      <c r="AJ532" s="30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0"/>
      <c r="AJ533" s="30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0"/>
      <c r="AJ534" s="30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0"/>
      <c r="AJ535" s="30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0"/>
      <c r="AJ536" s="30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0"/>
      <c r="AJ537" s="30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0"/>
      <c r="AJ538" s="30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0"/>
      <c r="AJ539" s="30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0"/>
      <c r="AJ540" s="30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0"/>
      <c r="AJ541" s="30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0"/>
      <c r="AJ542" s="30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0"/>
      <c r="AJ543" s="30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0"/>
      <c r="AJ544" s="30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0"/>
      <c r="AJ545" s="30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0"/>
      <c r="AJ546" s="30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0"/>
      <c r="AJ547" s="30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0"/>
      <c r="AJ548" s="30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0"/>
      <c r="AJ549" s="30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0"/>
      <c r="AJ550" s="30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0"/>
      <c r="AJ551" s="30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0"/>
      <c r="AJ552" s="30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0"/>
      <c r="AJ553" s="30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0"/>
      <c r="AJ554" s="30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0"/>
      <c r="AJ555" s="30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0"/>
      <c r="AJ556" s="30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0"/>
      <c r="AJ557" s="30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0"/>
      <c r="AJ558" s="30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0"/>
      <c r="AJ559" s="30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0"/>
      <c r="AJ560" s="30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0"/>
      <c r="AJ561" s="30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0"/>
      <c r="AJ562" s="30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0"/>
      <c r="AJ563" s="30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0"/>
      <c r="AJ564" s="30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0"/>
      <c r="AJ565" s="30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0"/>
      <c r="AJ566" s="30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0"/>
      <c r="AJ567" s="30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0"/>
      <c r="AJ568" s="30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0"/>
      <c r="AJ569" s="30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0"/>
      <c r="AJ570" s="30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0"/>
      <c r="AJ571" s="30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0"/>
      <c r="AJ572" s="30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0"/>
      <c r="AJ573" s="30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0"/>
      <c r="AJ574" s="30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0"/>
      <c r="AJ575" s="30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0"/>
      <c r="AJ576" s="30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0"/>
      <c r="AJ577" s="30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0"/>
      <c r="AJ578" s="30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0"/>
      <c r="AJ579" s="30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0"/>
      <c r="AJ580" s="30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0"/>
      <c r="AJ581" s="30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0"/>
      <c r="AJ582" s="30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0"/>
      <c r="AJ583" s="30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0"/>
      <c r="AJ584" s="30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0"/>
      <c r="AJ585" s="30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0"/>
      <c r="AJ586" s="30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0"/>
      <c r="AJ587" s="30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0"/>
      <c r="AJ588" s="30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0"/>
      <c r="AJ589" s="30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0"/>
      <c r="AJ590" s="30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0"/>
      <c r="AJ591" s="30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0"/>
      <c r="AJ592" s="30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0"/>
      <c r="AJ593" s="30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0"/>
      <c r="AJ594" s="30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0"/>
      <c r="AJ595" s="30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0"/>
      <c r="AJ596" s="30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0"/>
      <c r="AJ597" s="30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0"/>
      <c r="AJ598" s="30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0"/>
      <c r="AJ599" s="30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0"/>
      <c r="AJ600" s="30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0"/>
      <c r="AJ601" s="30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0"/>
      <c r="AJ602" s="30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0"/>
      <c r="AJ603" s="30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0"/>
      <c r="AJ604" s="30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0"/>
      <c r="AJ605" s="30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0"/>
      <c r="AJ606" s="30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0"/>
      <c r="AJ607" s="30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0"/>
      <c r="AJ608" s="30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0"/>
      <c r="AJ609" s="30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0"/>
      <c r="AJ610" s="30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0"/>
      <c r="AJ611" s="30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0"/>
      <c r="AJ612" s="30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0"/>
      <c r="AJ613" s="30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0"/>
      <c r="AJ614" s="30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0"/>
      <c r="AJ615" s="30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0"/>
      <c r="AJ616" s="30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0"/>
      <c r="AJ617" s="30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0"/>
      <c r="AJ618" s="30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0"/>
      <c r="AJ619" s="30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0"/>
      <c r="AJ620" s="30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0"/>
      <c r="AJ621" s="30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0"/>
      <c r="AJ622" s="30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0"/>
      <c r="AJ623" s="30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0"/>
      <c r="AJ624" s="30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0"/>
      <c r="AJ625" s="30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0"/>
      <c r="AJ626" s="30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0"/>
      <c r="AJ627" s="30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0"/>
      <c r="AJ628" s="30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0"/>
      <c r="AJ629" s="30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0"/>
      <c r="AJ630" s="30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0"/>
      <c r="AJ631" s="30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0"/>
      <c r="AJ632" s="30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0"/>
      <c r="AJ633" s="30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0"/>
      <c r="AJ634" s="30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0"/>
      <c r="AJ635" s="30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0"/>
      <c r="AJ636" s="30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0"/>
      <c r="AJ637" s="30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0"/>
      <c r="AJ638" s="30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0"/>
      <c r="AJ639" s="30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0"/>
      <c r="AJ640" s="30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0"/>
      <c r="AJ641" s="30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0"/>
      <c r="AJ642" s="30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0"/>
      <c r="AJ643" s="30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0"/>
      <c r="AJ644" s="30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0"/>
      <c r="AJ645" s="30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0"/>
      <c r="AJ646" s="30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0"/>
      <c r="AJ647" s="30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0"/>
      <c r="AJ648" s="30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0"/>
      <c r="AJ649" s="30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0"/>
      <c r="AJ650" s="30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0"/>
      <c r="AJ651" s="30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0"/>
      <c r="AJ652" s="30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0"/>
      <c r="AJ653" s="30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0"/>
      <c r="AJ654" s="30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0"/>
      <c r="AJ655" s="30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0"/>
      <c r="AJ656" s="30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0"/>
      <c r="AJ657" s="30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0"/>
      <c r="AJ658" s="30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0"/>
      <c r="AJ659" s="30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0"/>
      <c r="AJ660" s="30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0"/>
      <c r="AJ661" s="30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0"/>
      <c r="AJ662" s="30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0"/>
      <c r="AJ663" s="30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0"/>
      <c r="AJ664" s="30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0"/>
      <c r="AJ665" s="30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0"/>
      <c r="AJ666" s="30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0"/>
      <c r="AJ667" s="30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0"/>
      <c r="AJ668" s="30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0"/>
      <c r="AJ669" s="30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0"/>
      <c r="AJ670" s="30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0"/>
      <c r="AJ671" s="30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0"/>
      <c r="AJ672" s="30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0"/>
      <c r="AJ673" s="30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0"/>
      <c r="AJ674" s="30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0"/>
      <c r="AJ675" s="30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0"/>
      <c r="AJ676" s="30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0"/>
      <c r="AJ677" s="30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0"/>
      <c r="AJ678" s="30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0"/>
      <c r="AJ679" s="30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0"/>
      <c r="AJ680" s="30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0"/>
      <c r="AJ681" s="30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0"/>
      <c r="AJ682" s="30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0"/>
      <c r="AJ683" s="30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0"/>
      <c r="AJ684" s="30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0"/>
      <c r="AJ685" s="30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0"/>
      <c r="AJ686" s="30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0"/>
      <c r="AJ687" s="30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0"/>
      <c r="AJ688" s="30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0"/>
      <c r="AJ689" s="30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0"/>
      <c r="AJ690" s="30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0"/>
      <c r="AJ691" s="30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0"/>
      <c r="AJ692" s="30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0"/>
      <c r="AJ693" s="30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0"/>
      <c r="AJ694" s="30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0"/>
      <c r="AJ695" s="30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0"/>
      <c r="AJ696" s="30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0"/>
      <c r="AJ697" s="30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0"/>
      <c r="AJ698" s="30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0"/>
      <c r="AJ699" s="30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0"/>
      <c r="AJ700" s="30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0"/>
      <c r="AJ701" s="30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0"/>
      <c r="AJ702" s="30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0"/>
      <c r="AJ703" s="30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0"/>
      <c r="AJ704" s="30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0"/>
      <c r="AJ705" s="30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0"/>
      <c r="AJ706" s="30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0"/>
      <c r="AJ707" s="30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0"/>
      <c r="AJ708" s="30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0"/>
      <c r="AJ709" s="30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0"/>
      <c r="AJ710" s="30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0"/>
      <c r="AJ711" s="30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0"/>
      <c r="AJ712" s="30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0"/>
      <c r="AJ713" s="30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0"/>
      <c r="AJ714" s="30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0"/>
      <c r="AJ715" s="30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0"/>
      <c r="AJ716" s="30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0"/>
      <c r="AJ717" s="30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0"/>
      <c r="AJ718" s="30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0"/>
      <c r="AJ719" s="30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0"/>
      <c r="AJ720" s="30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0"/>
      <c r="AJ721" s="30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0"/>
      <c r="AJ722" s="30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0"/>
      <c r="AJ723" s="30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0"/>
      <c r="AJ724" s="30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0"/>
      <c r="AJ725" s="30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0"/>
      <c r="AJ726" s="30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0"/>
      <c r="AJ727" s="30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0"/>
      <c r="AJ728" s="30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0"/>
      <c r="AJ729" s="30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0"/>
      <c r="AJ730" s="30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0"/>
      <c r="AJ731" s="30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0"/>
      <c r="AJ732" s="30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0"/>
      <c r="AJ733" s="30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0"/>
      <c r="AJ734" s="30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0"/>
      <c r="AJ735" s="30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0"/>
      <c r="AJ736" s="30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0"/>
      <c r="AJ737" s="30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0"/>
      <c r="AJ738" s="30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0"/>
      <c r="AJ739" s="30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0"/>
      <c r="AJ740" s="30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0"/>
      <c r="AJ741" s="30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0"/>
      <c r="AJ742" s="30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0"/>
      <c r="AJ743" s="30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0"/>
      <c r="AJ744" s="30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0"/>
      <c r="AJ745" s="30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0"/>
      <c r="AJ746" s="30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0"/>
      <c r="AJ747" s="30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0"/>
      <c r="AJ748" s="30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0"/>
      <c r="AJ749" s="30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0"/>
      <c r="AJ750" s="30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0"/>
      <c r="AJ751" s="30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0"/>
      <c r="AJ752" s="30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0"/>
      <c r="AJ753" s="30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0"/>
      <c r="AJ754" s="30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0"/>
      <c r="AJ755" s="30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0"/>
      <c r="AJ756" s="30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0"/>
      <c r="AJ757" s="30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0"/>
      <c r="AJ758" s="30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0"/>
      <c r="AJ759" s="30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0"/>
      <c r="AJ760" s="30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0"/>
      <c r="AJ761" s="30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0"/>
      <c r="AJ762" s="30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0"/>
      <c r="AJ763" s="30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0"/>
      <c r="AJ764" s="30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0"/>
      <c r="AJ765" s="30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0"/>
      <c r="AJ766" s="30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0"/>
      <c r="AJ767" s="30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0"/>
      <c r="AJ768" s="30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0"/>
      <c r="AJ769" s="30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0"/>
      <c r="AJ770" s="30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0"/>
      <c r="AJ771" s="30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0"/>
      <c r="AJ772" s="30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0"/>
      <c r="AJ773" s="30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0"/>
      <c r="AJ774" s="30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0"/>
      <c r="AJ775" s="30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0"/>
      <c r="AJ776" s="30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0"/>
      <c r="AJ777" s="30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0"/>
      <c r="AJ778" s="30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0"/>
      <c r="AJ779" s="30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0"/>
      <c r="AJ780" s="30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0"/>
      <c r="AJ781" s="30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0"/>
      <c r="AJ782" s="30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0"/>
      <c r="AJ783" s="30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0"/>
      <c r="AJ784" s="30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0"/>
      <c r="AJ785" s="30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0"/>
      <c r="AJ786" s="30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0"/>
      <c r="AJ787" s="30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0"/>
      <c r="AJ788" s="30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0"/>
      <c r="AJ789" s="30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0"/>
      <c r="AJ790" s="30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0"/>
      <c r="AJ791" s="30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0"/>
      <c r="AJ792" s="30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0"/>
      <c r="AJ793" s="30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0"/>
      <c r="AJ794" s="30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0"/>
      <c r="AJ795" s="30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0"/>
      <c r="AJ796" s="30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0"/>
      <c r="AJ797" s="30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0"/>
      <c r="AJ798" s="30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0"/>
      <c r="AJ799" s="30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0"/>
      <c r="AJ800" s="30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0"/>
      <c r="AJ801" s="30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0"/>
      <c r="AJ802" s="30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0"/>
      <c r="AJ803" s="30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0"/>
      <c r="AJ804" s="30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0"/>
      <c r="AJ805" s="30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0"/>
      <c r="AJ806" s="30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0"/>
      <c r="AJ807" s="30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0"/>
      <c r="AJ808" s="30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0"/>
      <c r="AJ809" s="30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0"/>
      <c r="AJ810" s="30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0"/>
      <c r="AJ811" s="30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0"/>
      <c r="AJ812" s="30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0"/>
      <c r="AJ813" s="30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0"/>
      <c r="AJ814" s="30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0"/>
      <c r="AJ815" s="30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0"/>
      <c r="AJ816" s="30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0"/>
      <c r="AJ817" s="30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0"/>
      <c r="AJ818" s="30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0"/>
      <c r="AJ819" s="30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0"/>
      <c r="AJ820" s="30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0"/>
      <c r="AJ821" s="30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0"/>
      <c r="AJ822" s="30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0"/>
      <c r="AJ823" s="30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0"/>
      <c r="AJ824" s="30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0"/>
      <c r="AJ825" s="30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0"/>
      <c r="AJ826" s="30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0"/>
      <c r="AJ827" s="30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0"/>
      <c r="AJ828" s="30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0"/>
      <c r="AJ829" s="30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0"/>
      <c r="AJ830" s="30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0"/>
      <c r="AJ831" s="30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0"/>
      <c r="AJ832" s="30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0"/>
      <c r="AJ833" s="30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0"/>
      <c r="AJ834" s="30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0"/>
      <c r="AJ835" s="30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0"/>
      <c r="AJ836" s="30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0"/>
      <c r="AJ837" s="30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0"/>
      <c r="AJ838" s="30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0"/>
      <c r="AJ839" s="30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0"/>
      <c r="AJ840" s="30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0"/>
      <c r="AJ841" s="30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0"/>
      <c r="AJ842" s="30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0"/>
      <c r="AJ843" s="30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0"/>
      <c r="AJ844" s="30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0"/>
      <c r="AJ845" s="30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0"/>
      <c r="AJ846" s="30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0"/>
      <c r="AJ847" s="30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0"/>
      <c r="AJ848" s="30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0"/>
      <c r="AJ849" s="30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0"/>
      <c r="AJ850" s="30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0"/>
      <c r="AJ851" s="30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0"/>
      <c r="AJ852" s="30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0"/>
      <c r="AJ853" s="30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0"/>
      <c r="AJ854" s="30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0"/>
      <c r="AJ855" s="30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0"/>
      <c r="AJ856" s="30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0"/>
      <c r="AJ857" s="30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0"/>
      <c r="AJ858" s="30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0"/>
      <c r="AJ859" s="30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0"/>
      <c r="AJ860" s="30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0"/>
      <c r="AJ861" s="30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0"/>
      <c r="AJ862" s="30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0"/>
      <c r="AJ863" s="30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0"/>
      <c r="AJ864" s="30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0"/>
      <c r="AJ865" s="30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0"/>
      <c r="AJ866" s="30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0"/>
      <c r="AJ867" s="30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0"/>
      <c r="AJ868" s="30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0"/>
      <c r="AJ869" s="30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0"/>
      <c r="AJ870" s="30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0"/>
      <c r="AJ871" s="30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0"/>
      <c r="AJ872" s="30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0"/>
      <c r="AJ873" s="30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0"/>
      <c r="AJ874" s="30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0"/>
      <c r="AJ875" s="30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0"/>
      <c r="AJ876" s="30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0"/>
      <c r="AJ877" s="30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0"/>
      <c r="AJ878" s="30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0"/>
      <c r="AJ879" s="30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0"/>
      <c r="AJ880" s="30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0"/>
      <c r="AJ881" s="30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0"/>
      <c r="AJ882" s="30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0"/>
      <c r="AJ883" s="30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0"/>
      <c r="AJ884" s="30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0"/>
      <c r="AJ885" s="30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0"/>
      <c r="AJ886" s="30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0"/>
      <c r="AJ887" s="30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0"/>
      <c r="AJ888" s="30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0"/>
      <c r="AJ889" s="30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0"/>
      <c r="AJ890" s="30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0"/>
      <c r="AJ891" s="30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0"/>
      <c r="AJ892" s="30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0"/>
      <c r="AJ893" s="30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0"/>
      <c r="AJ894" s="30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0"/>
      <c r="AJ895" s="30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0"/>
      <c r="AJ896" s="30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0"/>
      <c r="AJ897" s="30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0"/>
      <c r="AJ898" s="30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0"/>
      <c r="AJ899" s="30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0"/>
      <c r="AJ900" s="30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0"/>
      <c r="AJ901" s="30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0"/>
      <c r="AJ902" s="30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0"/>
      <c r="AJ903" s="30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0"/>
      <c r="AJ904" s="30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0"/>
      <c r="AJ905" s="30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0"/>
      <c r="AJ906" s="30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0"/>
      <c r="AJ907" s="30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0"/>
      <c r="AJ908" s="30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0"/>
      <c r="AJ909" s="30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0"/>
      <c r="AJ910" s="30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0"/>
      <c r="AJ911" s="30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0"/>
      <c r="AJ912" s="30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0"/>
      <c r="AJ913" s="30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0"/>
      <c r="AJ914" s="30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0"/>
      <c r="AJ915" s="30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0"/>
      <c r="AJ916" s="30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0"/>
      <c r="AJ917" s="30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0"/>
      <c r="AJ918" s="30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0"/>
      <c r="AJ919" s="30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0"/>
      <c r="AJ920" s="30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0"/>
      <c r="AJ921" s="30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0"/>
      <c r="AJ922" s="30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0"/>
      <c r="AJ923" s="30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0"/>
      <c r="AJ924" s="30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0"/>
      <c r="AJ925" s="30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0"/>
      <c r="AJ926" s="30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0"/>
      <c r="AJ927" s="30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0"/>
      <c r="AJ928" s="30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0"/>
      <c r="AJ929" s="30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0"/>
      <c r="AJ930" s="30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0"/>
      <c r="AJ931" s="30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0"/>
      <c r="AJ932" s="30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0"/>
      <c r="AJ933" s="30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0"/>
      <c r="AJ934" s="30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0"/>
      <c r="AJ935" s="30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0"/>
      <c r="AJ936" s="30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0"/>
      <c r="AJ937" s="30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0"/>
      <c r="AJ938" s="30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0"/>
      <c r="AJ939" s="30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0"/>
      <c r="AJ940" s="30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0"/>
      <c r="AJ941" s="30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0"/>
      <c r="AJ942" s="30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0"/>
      <c r="AJ943" s="30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0"/>
      <c r="AJ944" s="30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0"/>
      <c r="AJ945" s="30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0"/>
      <c r="AJ946" s="30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0"/>
      <c r="AJ947" s="30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0"/>
      <c r="AJ948" s="30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0"/>
      <c r="AJ949" s="30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0"/>
      <c r="AJ950" s="30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0"/>
      <c r="AJ951" s="30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0"/>
      <c r="AJ952" s="30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0"/>
      <c r="AJ953" s="30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0"/>
      <c r="AJ954" s="30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0"/>
      <c r="AJ955" s="30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0"/>
      <c r="AJ956" s="30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0"/>
      <c r="AJ957" s="30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0"/>
      <c r="AJ958" s="30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0"/>
      <c r="AJ959" s="30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0"/>
      <c r="AJ960" s="30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0"/>
      <c r="AJ961" s="30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0"/>
      <c r="AJ962" s="30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0"/>
      <c r="AJ963" s="30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0"/>
      <c r="AJ964" s="30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0"/>
      <c r="AJ965" s="30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0"/>
      <c r="AJ966" s="30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0"/>
      <c r="AJ967" s="30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0"/>
      <c r="AJ968" s="30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0"/>
      <c r="AJ969" s="30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0"/>
      <c r="AJ970" s="30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0"/>
      <c r="AJ971" s="30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0"/>
      <c r="AJ972" s="30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0"/>
      <c r="AJ973" s="30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0"/>
      <c r="AJ974" s="30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0"/>
      <c r="AJ975" s="30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0"/>
      <c r="AJ976" s="30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0"/>
      <c r="AJ977" s="30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0"/>
      <c r="AJ978" s="30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0"/>
      <c r="AJ979" s="30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0"/>
      <c r="AJ980" s="30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0"/>
      <c r="AJ981" s="30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0"/>
      <c r="AJ982" s="30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0"/>
      <c r="AJ983" s="30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0"/>
      <c r="AJ984" s="30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0"/>
      <c r="AJ985" s="30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0"/>
      <c r="AJ986" s="30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0"/>
      <c r="AJ987" s="30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0"/>
      <c r="AJ988" s="30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0"/>
      <c r="AJ989" s="30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0"/>
      <c r="AJ990" s="30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0"/>
      <c r="AJ991" s="30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0"/>
      <c r="AJ992" s="30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0"/>
      <c r="AJ993" s="30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0"/>
      <c r="AJ994" s="30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0"/>
      <c r="AJ995" s="30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0"/>
      <c r="AJ996" s="30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0"/>
      <c r="AJ997" s="30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0"/>
      <c r="AJ998" s="30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0"/>
      <c r="AJ999" s="30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0"/>
      <c r="AJ1000" s="30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4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0"/>
      <c r="AJ1001" s="30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4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0"/>
      <c r="AJ1002" s="30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4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0"/>
      <c r="AJ1003" s="30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4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0"/>
      <c r="AJ1004" s="30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4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0"/>
      <c r="AJ1005" s="30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4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0"/>
      <c r="AJ1006" s="30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4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0"/>
      <c r="AJ1007" s="30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4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0"/>
      <c r="AJ1008" s="30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4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0"/>
      <c r="AJ1009" s="30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4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0"/>
      <c r="AJ1010" s="30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4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0"/>
      <c r="AJ1011" s="30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4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0"/>
      <c r="AJ1012" s="30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4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0"/>
      <c r="AJ1013" s="30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4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0"/>
      <c r="AJ1014" s="30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4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0"/>
      <c r="AJ1015" s="30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4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0"/>
      <c r="AJ1016" s="30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4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0"/>
      <c r="AJ1017" s="30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4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0"/>
      <c r="AJ1018" s="30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4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0"/>
      <c r="AJ1019" s="30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4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0"/>
      <c r="AJ1020" s="30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4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0"/>
      <c r="AJ1021" s="30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4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0"/>
      <c r="AJ1022" s="30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4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0"/>
      <c r="AJ1023" s="30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4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0"/>
      <c r="AJ1024" s="30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4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0"/>
      <c r="AJ1025" s="30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4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0"/>
      <c r="AJ1026" s="30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4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0"/>
      <c r="AJ1027" s="30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4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0"/>
      <c r="AJ1028" s="30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4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0"/>
      <c r="AJ1029" s="30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4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0"/>
      <c r="AJ1030" s="30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4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0"/>
      <c r="AJ1031" s="30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4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0"/>
      <c r="AJ1032" s="30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4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0"/>
      <c r="AJ1033" s="30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4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0"/>
      <c r="AJ1034" s="30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4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0"/>
      <c r="AJ1035" s="30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4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0"/>
      <c r="AJ1036" s="30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4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0"/>
      <c r="AJ1037" s="30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4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0"/>
      <c r="AJ1038" s="30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4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0"/>
      <c r="AJ1039" s="30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4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0"/>
      <c r="AJ1040" s="30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4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0"/>
      <c r="AJ1041" s="30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4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0"/>
      <c r="AJ1042" s="30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4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0"/>
      <c r="AJ1043" s="30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4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0"/>
      <c r="AJ1044" s="30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4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0"/>
      <c r="AJ1045" s="30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4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0"/>
      <c r="AJ1046" s="30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4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0"/>
      <c r="AJ1047" s="30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4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0"/>
      <c r="AJ1048" s="30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4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0"/>
      <c r="AJ1049" s="30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4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0"/>
      <c r="AJ1050" s="3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4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0"/>
      <c r="AJ1051" s="30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4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0"/>
      <c r="AJ1052" s="30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4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0"/>
      <c r="AJ1053" s="30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4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0"/>
      <c r="AJ1054" s="30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4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0"/>
      <c r="AJ1055" s="30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4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0"/>
      <c r="AJ1056" s="30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4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0"/>
      <c r="AJ1057" s="30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4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0"/>
      <c r="AJ1058" s="30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4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0"/>
      <c r="AJ1059" s="30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4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0"/>
      <c r="AJ1060" s="3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4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0"/>
      <c r="AJ1061" s="30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4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0"/>
      <c r="AJ1062" s="30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4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0"/>
      <c r="AJ1063" s="30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4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0"/>
      <c r="AJ1064" s="30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4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0"/>
      <c r="AJ1065" s="30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4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0"/>
      <c r="AJ1066" s="30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4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0"/>
      <c r="AJ1067" s="30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4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0"/>
      <c r="AJ1068" s="30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4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0"/>
      <c r="AJ1069" s="30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4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0"/>
      <c r="AJ1070" s="3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4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0"/>
      <c r="AJ1071" s="30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4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0"/>
      <c r="AJ1072" s="30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4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0"/>
      <c r="AJ1073" s="30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4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0"/>
      <c r="AJ1074" s="30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4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0"/>
      <c r="AJ1075" s="30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4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0"/>
      <c r="AJ1076" s="30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4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0"/>
      <c r="AJ1077" s="30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4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0"/>
      <c r="AJ1078" s="30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4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0"/>
      <c r="AJ1079" s="30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4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0"/>
      <c r="AJ1080" s="30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4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0"/>
      <c r="AJ1081" s="30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4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0"/>
      <c r="AJ1082" s="30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4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0"/>
      <c r="AJ1083" s="30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4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0"/>
      <c r="AJ1084" s="30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4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0"/>
      <c r="AJ1085" s="30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4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0"/>
      <c r="AJ1086" s="30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4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0"/>
      <c r="AJ1087" s="30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4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0"/>
      <c r="AJ1088" s="30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4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0"/>
      <c r="AJ1089" s="30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4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0"/>
      <c r="AJ1090" s="30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4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0"/>
      <c r="AJ1091" s="30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4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0"/>
      <c r="AJ1092" s="30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4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0"/>
      <c r="AJ1093" s="30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4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0"/>
      <c r="AJ1094" s="30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4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0"/>
      <c r="AJ1095" s="30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4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0"/>
      <c r="AJ1096" s="30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4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0"/>
      <c r="AJ1097" s="30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4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0"/>
      <c r="AJ1098" s="30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4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0"/>
      <c r="AJ1099" s="30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4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0"/>
      <c r="AJ1100" s="30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4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0"/>
      <c r="AJ1101" s="30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4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0"/>
      <c r="AJ1102" s="30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4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0"/>
      <c r="AJ1103" s="30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4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0"/>
      <c r="AJ1104" s="30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4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0"/>
      <c r="AJ1105" s="30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4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0"/>
      <c r="AJ1106" s="30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4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0"/>
      <c r="AJ1107" s="30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4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0"/>
      <c r="AJ1108" s="30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4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0"/>
      <c r="AJ1109" s="30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4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0"/>
      <c r="AJ1110" s="30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4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0"/>
      <c r="AJ1111" s="30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4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0"/>
      <c r="AJ1112" s="30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4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0"/>
      <c r="AJ1113" s="30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4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0"/>
      <c r="AJ1114" s="30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4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0"/>
      <c r="AJ1115" s="30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4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0"/>
      <c r="AJ1116" s="30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4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0"/>
      <c r="AJ1117" s="30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4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0"/>
      <c r="AJ1118" s="30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4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0"/>
      <c r="AJ1119" s="30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4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0"/>
      <c r="AJ1120" s="30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4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0"/>
      <c r="AJ1121" s="30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4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0"/>
      <c r="AJ1122" s="30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4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0"/>
      <c r="AJ1123" s="30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4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0"/>
      <c r="AJ1124" s="30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4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0"/>
      <c r="AJ1125" s="30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4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0"/>
      <c r="AJ1126" s="30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4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0"/>
      <c r="AJ1127" s="30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4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0"/>
      <c r="AJ1128" s="30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4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0"/>
      <c r="AJ1129" s="30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4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0"/>
      <c r="AJ1130" s="30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4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0"/>
      <c r="AJ1131" s="30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4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0"/>
      <c r="AJ1132" s="30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4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0"/>
      <c r="AJ1133" s="30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4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0"/>
      <c r="AJ1134" s="30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4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0"/>
      <c r="AJ1135" s="30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4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0"/>
      <c r="AJ1136" s="30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4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0"/>
      <c r="AJ1137" s="30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4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0"/>
      <c r="AJ1138" s="30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4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0"/>
      <c r="AJ1139" s="30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4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0"/>
      <c r="AJ1140" s="30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4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0"/>
      <c r="AJ1141" s="30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4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0"/>
      <c r="AJ1142" s="30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4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0"/>
      <c r="AJ1143" s="30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4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0"/>
      <c r="AJ1144" s="30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4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0"/>
      <c r="AJ1145" s="30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4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0"/>
      <c r="AJ1146" s="30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4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0"/>
      <c r="AJ1147" s="30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4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0"/>
      <c r="AJ1148" s="30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4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0"/>
      <c r="AJ1149" s="30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4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0"/>
      <c r="AJ1150" s="30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4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0"/>
      <c r="AJ1151" s="30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4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0"/>
      <c r="AJ1152" s="30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4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0"/>
      <c r="AJ1153" s="30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4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0"/>
      <c r="AJ1154" s="30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4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0"/>
      <c r="AJ1155" s="30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4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0"/>
      <c r="AJ1156" s="30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4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0"/>
      <c r="AJ1157" s="30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4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0"/>
      <c r="AJ1158" s="30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4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0"/>
      <c r="AJ1159" s="30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4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0"/>
      <c r="AJ1160" s="30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4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0"/>
      <c r="AJ1161" s="30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4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0"/>
      <c r="AJ1162" s="30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4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0"/>
      <c r="AJ1163" s="30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4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0"/>
      <c r="AJ1164" s="30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4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0"/>
      <c r="AJ1165" s="30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4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0"/>
      <c r="AJ1166" s="30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4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0"/>
      <c r="AJ1167" s="30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4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0"/>
      <c r="AJ1168" s="30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4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0"/>
      <c r="AJ1169" s="30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4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0"/>
      <c r="AJ1170" s="30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4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0"/>
      <c r="AJ1171" s="30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4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0"/>
      <c r="AJ1172" s="30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4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0"/>
      <c r="AJ1173" s="30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4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0"/>
      <c r="AJ1174" s="30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4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0"/>
      <c r="AJ1175" s="30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4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0"/>
      <c r="AJ1176" s="30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4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0"/>
      <c r="AJ1177" s="30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4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0"/>
      <c r="AJ1178" s="30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4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0"/>
      <c r="AJ1179" s="30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4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0"/>
      <c r="AJ1180" s="30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4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0"/>
      <c r="AJ1181" s="30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4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0"/>
      <c r="AJ1182" s="30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4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0"/>
      <c r="AJ1183" s="30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4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0"/>
      <c r="AJ1184" s="30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4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0"/>
      <c r="AJ1185" s="30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4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0"/>
      <c r="AJ1186" s="30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4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0"/>
      <c r="AJ1187" s="30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4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0"/>
      <c r="AJ1188" s="30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4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0"/>
      <c r="AJ1189" s="30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4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0"/>
      <c r="AJ1190" s="30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4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0"/>
      <c r="AJ1191" s="30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4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0"/>
      <c r="AJ1192" s="30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4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0"/>
      <c r="AJ1193" s="30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4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0"/>
      <c r="AJ1194" s="30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4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0"/>
      <c r="AJ1195" s="30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4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0"/>
      <c r="AJ1196" s="30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4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0"/>
      <c r="AJ1197" s="30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4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0"/>
      <c r="AJ1198" s="30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4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0"/>
      <c r="AJ1199" s="30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4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0"/>
      <c r="AJ1200" s="30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4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0"/>
      <c r="AJ1201" s="30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4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0"/>
      <c r="AJ1202" s="30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4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0"/>
      <c r="AJ1203" s="30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4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0"/>
      <c r="AJ1204" s="30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4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0"/>
      <c r="AJ1205" s="30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4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0"/>
      <c r="AJ1206" s="30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4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0"/>
      <c r="AJ1207" s="30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4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0"/>
      <c r="AJ1208" s="30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4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0"/>
      <c r="AJ1209" s="30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4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0"/>
      <c r="AJ1210" s="30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4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0"/>
      <c r="AJ1211" s="30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4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0"/>
      <c r="AJ1212" s="30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4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0"/>
      <c r="AJ1213" s="30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4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0"/>
      <c r="AJ1214" s="30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4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0"/>
      <c r="AJ1215" s="30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4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0"/>
      <c r="AJ1216" s="30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4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0"/>
      <c r="AJ1217" s="30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4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0"/>
      <c r="AJ1218" s="30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4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0"/>
      <c r="AJ1219" s="30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4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0"/>
      <c r="AJ1220" s="30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4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0"/>
      <c r="AJ1221" s="30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4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0"/>
      <c r="AJ1222" s="30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4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0"/>
      <c r="AJ1223" s="30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4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0"/>
      <c r="AJ1224" s="30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4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0"/>
      <c r="AJ1225" s="30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4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0"/>
      <c r="AJ1226" s="30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4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0"/>
      <c r="AJ1227" s="30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4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0"/>
      <c r="AJ1228" s="30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4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0"/>
      <c r="AJ1229" s="30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4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0"/>
      <c r="AJ1230" s="30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4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0"/>
      <c r="AJ1231" s="30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4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0"/>
      <c r="AJ1232" s="30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4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0"/>
      <c r="AJ1233" s="30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4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0"/>
      <c r="AJ1234" s="30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4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0"/>
      <c r="AJ1235" s="30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4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0"/>
      <c r="AJ1236" s="30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4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0"/>
      <c r="AJ1237" s="30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4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0"/>
      <c r="AJ1238" s="30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4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0"/>
      <c r="AJ1239" s="30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4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0"/>
      <c r="AJ1240" s="30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4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0"/>
      <c r="AJ1241" s="30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4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0"/>
      <c r="AJ1242" s="30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4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0"/>
      <c r="AJ1243" s="30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4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0"/>
      <c r="AJ1244" s="30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4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0"/>
      <c r="AJ1245" s="30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4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0"/>
      <c r="AJ1246" s="30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4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0"/>
      <c r="AJ1247" s="30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4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0"/>
      <c r="AJ1248" s="30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4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0"/>
      <c r="AJ1249" s="30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4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0"/>
      <c r="AJ1250" s="30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4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0"/>
      <c r="AJ1251" s="30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4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0"/>
      <c r="AJ1252" s="30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4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0"/>
      <c r="AJ1253" s="30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4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0"/>
      <c r="AJ1254" s="30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4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0"/>
      <c r="AJ1255" s="30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4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0"/>
      <c r="AJ1256" s="30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4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0"/>
      <c r="AJ1257" s="30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4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0"/>
      <c r="AJ1258" s="30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4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0"/>
      <c r="AJ1259" s="30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4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0"/>
      <c r="AJ1260" s="30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4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0"/>
      <c r="AJ1261" s="30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4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0"/>
      <c r="AJ1262" s="30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4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0"/>
      <c r="AJ1263" s="30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4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0"/>
      <c r="AJ1264" s="30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4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0"/>
      <c r="AJ1265" s="30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4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0"/>
      <c r="AJ1266" s="30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4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0"/>
      <c r="AJ1267" s="30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4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0"/>
      <c r="AJ1268" s="30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4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0"/>
      <c r="AJ1269" s="30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4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0"/>
      <c r="AJ1270" s="30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4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0"/>
      <c r="AJ1271" s="30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4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0"/>
      <c r="AJ1272" s="30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4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0"/>
      <c r="AJ1273" s="30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4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0"/>
      <c r="AJ1274" s="30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4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0"/>
      <c r="AJ1275" s="30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4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0"/>
      <c r="AJ1276" s="30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4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0"/>
      <c r="AJ1277" s="30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4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0"/>
      <c r="AJ1278" s="30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4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0"/>
      <c r="AJ1279" s="30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4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0"/>
      <c r="AJ1280" s="30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4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0"/>
      <c r="AJ1281" s="30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4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0"/>
      <c r="AJ1282" s="30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4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0"/>
      <c r="AJ1283" s="30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4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0"/>
      <c r="AJ1284" s="30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4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0"/>
      <c r="AJ1285" s="30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4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0"/>
      <c r="AJ1286" s="30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4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0"/>
      <c r="AJ1287" s="30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4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0"/>
      <c r="AJ1288" s="30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4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0"/>
      <c r="AJ1289" s="30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4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0"/>
      <c r="AJ1290" s="30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4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0"/>
      <c r="AJ1291" s="30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4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0"/>
      <c r="AJ1292" s="30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4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0"/>
      <c r="AJ1293" s="30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4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0"/>
      <c r="AJ1294" s="30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4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0"/>
      <c r="AJ1295" s="30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4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0"/>
      <c r="AJ1296" s="30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4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0"/>
      <c r="AJ1297" s="30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4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0"/>
      <c r="AJ1298" s="30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4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0"/>
      <c r="AJ1299" s="30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4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0"/>
      <c r="AJ1300" s="30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4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0"/>
      <c r="AJ1301" s="30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4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0"/>
      <c r="AJ1302" s="30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4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0"/>
      <c r="AJ1303" s="30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4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0"/>
      <c r="AJ1304" s="30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4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0"/>
      <c r="AJ1305" s="30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4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0"/>
      <c r="AJ1306" s="30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4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0"/>
      <c r="AJ1307" s="30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4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0"/>
      <c r="AJ1308" s="30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4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0"/>
      <c r="AJ1309" s="30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4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0"/>
      <c r="AJ1310" s="30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4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0"/>
      <c r="AJ1311" s="30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4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0"/>
      <c r="AJ1312" s="30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4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0"/>
      <c r="AJ1313" s="30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4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0"/>
      <c r="AJ1314" s="30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4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0"/>
      <c r="AJ1315" s="30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4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0"/>
      <c r="AJ1316" s="30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4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0"/>
      <c r="AJ1317" s="30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4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0"/>
      <c r="AJ1318" s="30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4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0"/>
      <c r="AJ1319" s="30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4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0"/>
      <c r="AJ1320" s="30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4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0"/>
      <c r="AJ1321" s="30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4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0"/>
      <c r="AJ1322" s="30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4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0"/>
      <c r="AJ1323" s="30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4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0"/>
      <c r="AJ1324" s="30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4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0"/>
      <c r="AJ1325" s="30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4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0"/>
      <c r="AJ1326" s="30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4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0"/>
      <c r="AJ1327" s="30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4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0"/>
      <c r="AJ1328" s="30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4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0"/>
      <c r="AJ1329" s="30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4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0"/>
      <c r="AJ1330" s="30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4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0"/>
      <c r="AJ1331" s="30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4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0"/>
      <c r="AJ1332" s="30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4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0"/>
      <c r="AJ1333" s="30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4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0"/>
      <c r="AJ1334" s="30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4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0"/>
      <c r="AJ1335" s="30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4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0"/>
      <c r="AJ1336" s="30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4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0"/>
      <c r="AJ1337" s="30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4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0"/>
      <c r="AJ1338" s="30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4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0"/>
      <c r="AJ1339" s="30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4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0"/>
      <c r="AJ1340" s="30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4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0"/>
      <c r="AJ1341" s="30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4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0"/>
      <c r="AJ1342" s="30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4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0"/>
      <c r="AJ1343" s="30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4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0"/>
      <c r="AJ1344" s="30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4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0"/>
      <c r="AJ1345" s="30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4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0"/>
      <c r="AJ1346" s="30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4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0"/>
      <c r="AJ1347" s="30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4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0"/>
      <c r="AJ1348" s="30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4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0"/>
      <c r="AJ1349" s="30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4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0"/>
      <c r="AJ1350" s="30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4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0"/>
      <c r="AJ1351" s="30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4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0"/>
      <c r="AJ1352" s="30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4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0"/>
      <c r="AJ1353" s="30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4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0"/>
      <c r="AJ1354" s="30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4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0"/>
      <c r="AJ1355" s="30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4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0"/>
      <c r="AJ1356" s="30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4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0"/>
      <c r="AJ1357" s="30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4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0"/>
      <c r="AJ1358" s="30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4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0"/>
      <c r="AJ1359" s="30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4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0"/>
      <c r="AJ1360" s="30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4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0"/>
      <c r="AJ1361" s="30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4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0"/>
      <c r="AJ1362" s="30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4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0"/>
      <c r="AJ1363" s="30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4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0"/>
      <c r="AJ1364" s="30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4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0"/>
      <c r="AJ1365" s="30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4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0"/>
      <c r="AJ1366" s="30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4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0"/>
      <c r="AJ1367" s="30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4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0"/>
      <c r="AJ1368" s="30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4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0"/>
      <c r="AJ1369" s="30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4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0"/>
      <c r="AJ1370" s="30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4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0"/>
      <c r="AJ1371" s="30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4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0"/>
      <c r="AJ1372" s="30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4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0"/>
      <c r="AJ1373" s="30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4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0"/>
      <c r="AJ1374" s="30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4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0"/>
      <c r="AJ1375" s="30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4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0"/>
      <c r="AJ1376" s="30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4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0"/>
      <c r="AJ1377" s="30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4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0"/>
      <c r="AJ1378" s="30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4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0"/>
      <c r="AJ1379" s="30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4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0"/>
      <c r="AJ1380" s="30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4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0"/>
      <c r="AJ1381" s="30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4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0"/>
      <c r="AJ1382" s="30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4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0"/>
      <c r="AJ1383" s="30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4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0"/>
      <c r="AJ1384" s="30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4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0"/>
      <c r="AJ1385" s="30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4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0"/>
      <c r="AJ1386" s="30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4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0"/>
      <c r="AJ1387" s="30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4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0"/>
      <c r="AJ1388" s="30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4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0"/>
      <c r="AJ1389" s="30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4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0"/>
      <c r="AJ1390" s="30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4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0"/>
      <c r="AJ1391" s="30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4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0"/>
      <c r="AJ1392" s="30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4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0"/>
      <c r="AJ1393" s="30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4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0"/>
      <c r="AJ1394" s="30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4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0"/>
      <c r="AJ1395" s="30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4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0"/>
      <c r="AJ1396" s="30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4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0"/>
      <c r="AJ1397" s="30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4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0"/>
      <c r="AJ1398" s="30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4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0"/>
      <c r="AJ1399" s="30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4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0"/>
      <c r="AJ1400" s="30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4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0"/>
      <c r="AJ1401" s="30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4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0"/>
      <c r="AJ1402" s="30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4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0"/>
      <c r="AJ1403" s="30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4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0"/>
      <c r="AJ1404" s="30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4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0"/>
      <c r="AJ1405" s="30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4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0"/>
      <c r="AJ1406" s="30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4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0"/>
      <c r="AJ1407" s="30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4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0"/>
      <c r="AJ1408" s="30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4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0"/>
      <c r="AJ1409" s="30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4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0"/>
      <c r="AJ1410" s="30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4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0"/>
      <c r="AJ1411" s="30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4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0"/>
      <c r="AJ1412" s="30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4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0"/>
      <c r="AJ1413" s="30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4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0"/>
      <c r="AJ1414" s="30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4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0"/>
      <c r="AJ1415" s="30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4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0"/>
      <c r="AJ1416" s="30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4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0"/>
      <c r="AJ1417" s="30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4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0"/>
      <c r="AJ1418" s="30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4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0"/>
      <c r="AJ1419" s="30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4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0"/>
      <c r="AJ1420" s="30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4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0"/>
      <c r="AJ1421" s="30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4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0"/>
      <c r="AJ1422" s="30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4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0"/>
      <c r="AJ1423" s="30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4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0"/>
      <c r="AJ1424" s="30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4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0"/>
      <c r="AJ1425" s="30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4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0"/>
      <c r="AJ1426" s="30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4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0"/>
      <c r="AJ1427" s="30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4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0"/>
      <c r="AJ1428" s="30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4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0"/>
      <c r="AJ1429" s="30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4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0"/>
      <c r="AJ1430" s="30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4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0"/>
      <c r="AJ1431" s="30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4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0"/>
      <c r="AJ1432" s="30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4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0"/>
      <c r="AJ1433" s="30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4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0"/>
      <c r="AJ1434" s="30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4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0"/>
      <c r="AJ1435" s="30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4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0"/>
      <c r="AJ1436" s="30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4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0"/>
      <c r="AJ1437" s="30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4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0"/>
      <c r="AJ1438" s="30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4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0"/>
      <c r="AJ1439" s="30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4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0"/>
      <c r="AJ1440" s="30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4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0"/>
      <c r="AJ1441" s="30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4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0"/>
      <c r="AJ1442" s="30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4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0"/>
      <c r="AJ1443" s="30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4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0"/>
      <c r="AJ1444" s="30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4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0"/>
      <c r="AJ1445" s="30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4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0"/>
      <c r="AJ1446" s="30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4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0"/>
      <c r="AJ1447" s="30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4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0"/>
      <c r="AJ1448" s="30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4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0"/>
      <c r="AJ1449" s="30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4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0"/>
      <c r="AJ1450" s="30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4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0"/>
      <c r="AJ1451" s="30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4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0"/>
      <c r="AJ1452" s="30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4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0"/>
      <c r="AJ1453" s="30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4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0"/>
      <c r="AJ1454" s="30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4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0"/>
      <c r="AJ1455" s="30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4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0"/>
      <c r="AJ1456" s="30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4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0"/>
      <c r="AJ1457" s="30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4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0"/>
      <c r="AJ1458" s="30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4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0"/>
      <c r="AJ1459" s="30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4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0"/>
      <c r="AJ1460" s="30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4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0"/>
      <c r="AJ1461" s="30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4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0"/>
      <c r="AJ1462" s="30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4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0"/>
      <c r="AJ1463" s="30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4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0"/>
      <c r="AJ1464" s="30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4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0"/>
      <c r="AJ1465" s="30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4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0"/>
      <c r="AJ1466" s="30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4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0"/>
      <c r="AJ1467" s="30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4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0"/>
      <c r="AJ1468" s="30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4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0"/>
      <c r="AJ1469" s="30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4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0"/>
      <c r="AJ1470" s="30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4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0"/>
      <c r="AJ1471" s="30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4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0"/>
      <c r="AJ1472" s="30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4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0"/>
      <c r="AJ1473" s="30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4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0"/>
      <c r="AJ1474" s="30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4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0"/>
      <c r="AJ1475" s="30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4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0"/>
      <c r="AJ1476" s="30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4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0"/>
      <c r="AJ1477" s="30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4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0"/>
      <c r="AJ1478" s="30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4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0"/>
      <c r="AJ1479" s="30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4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0"/>
      <c r="AJ1480" s="30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4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0"/>
      <c r="AJ1481" s="30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4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0"/>
      <c r="AJ1482" s="30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4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0"/>
      <c r="AJ1483" s="30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4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0"/>
      <c r="AJ1484" s="30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4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0"/>
      <c r="AJ1485" s="30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4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0"/>
      <c r="AJ1486" s="30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4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0"/>
      <c r="AJ1487" s="30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4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0"/>
      <c r="AJ1488" s="30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4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0"/>
      <c r="AJ1489" s="30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4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0"/>
      <c r="AJ1490" s="30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4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0"/>
      <c r="AJ1491" s="30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4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0"/>
      <c r="AJ1492" s="30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4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0"/>
      <c r="AJ1493" s="30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4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0"/>
      <c r="AJ1494" s="30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4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0"/>
      <c r="AJ1495" s="30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4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0"/>
      <c r="AJ1496" s="30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4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0"/>
      <c r="AJ1497" s="30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4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0"/>
      <c r="AJ1498" s="30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4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0"/>
      <c r="AJ1499" s="30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4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0"/>
      <c r="AJ1500" s="30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4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0"/>
      <c r="AJ1501" s="30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4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0"/>
      <c r="AJ1502" s="30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4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0"/>
      <c r="AJ1503" s="30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4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0"/>
      <c r="AJ1504" s="30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4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0"/>
      <c r="AJ1505" s="30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4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0"/>
      <c r="AJ1506" s="30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4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0"/>
      <c r="AJ1507" s="30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4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0"/>
      <c r="AJ1508" s="30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4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0"/>
      <c r="AJ1509" s="30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4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0"/>
      <c r="AJ1510" s="30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4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0"/>
      <c r="AJ1511" s="30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4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0"/>
      <c r="AJ1512" s="30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4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0"/>
      <c r="AJ1513" s="30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4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0"/>
      <c r="AJ1514" s="30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4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0"/>
      <c r="AJ1515" s="30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4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0"/>
      <c r="AJ1516" s="30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4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0"/>
      <c r="AJ1517" s="30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4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0"/>
      <c r="AJ1518" s="30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4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0"/>
      <c r="AJ1519" s="30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4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0"/>
      <c r="AJ1520" s="30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4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0"/>
      <c r="AJ1521" s="30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4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0"/>
      <c r="AJ1522" s="30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4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0"/>
      <c r="AJ1523" s="30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4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0"/>
      <c r="AJ1524" s="30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4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0"/>
      <c r="AJ1525" s="30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4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0"/>
      <c r="AJ1526" s="30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4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0"/>
      <c r="AJ1527" s="30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4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0"/>
      <c r="AJ1528" s="30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4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0"/>
      <c r="AJ1529" s="30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4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0"/>
      <c r="AJ1530" s="30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4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0"/>
      <c r="AJ1531" s="30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4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0"/>
      <c r="AJ1532" s="30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4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0"/>
      <c r="AJ1533" s="30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4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0"/>
      <c r="AJ1534" s="30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4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0"/>
      <c r="AJ1535" s="30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4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0"/>
      <c r="AJ1536" s="30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4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0"/>
      <c r="AJ1537" s="30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4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0"/>
      <c r="AJ1538" s="30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4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0"/>
      <c r="AJ1539" s="30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4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0"/>
      <c r="AJ1540" s="30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4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0"/>
      <c r="AJ1541" s="30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4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0"/>
      <c r="AJ1542" s="30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4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0"/>
      <c r="AJ1543" s="30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4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0"/>
      <c r="AJ1544" s="30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4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0"/>
      <c r="AJ1545" s="30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4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0"/>
      <c r="AJ1546" s="30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4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0"/>
      <c r="AJ1547" s="30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4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0"/>
      <c r="AJ1548" s="30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4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0"/>
      <c r="AJ1549" s="30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4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0"/>
      <c r="AJ1550" s="30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4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0"/>
      <c r="AJ1551" s="30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4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0"/>
      <c r="AJ1552" s="30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4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0"/>
      <c r="AJ1553" s="30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4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0"/>
      <c r="AJ1554" s="30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4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0"/>
      <c r="AJ1555" s="30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4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0"/>
      <c r="AJ1556" s="30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4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0"/>
      <c r="AJ1557" s="30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4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0"/>
      <c r="AJ1558" s="30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4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0"/>
      <c r="AJ1559" s="30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4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0"/>
      <c r="AJ1560" s="30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4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0"/>
      <c r="AJ1561" s="30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4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0"/>
      <c r="AJ1562" s="30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4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0"/>
      <c r="AJ1563" s="30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4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0"/>
      <c r="AJ1564" s="30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4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0"/>
      <c r="AJ1565" s="30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4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0"/>
      <c r="AJ1566" s="30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4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0"/>
      <c r="AJ1567" s="30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4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0"/>
      <c r="AJ1568" s="30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4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0"/>
      <c r="AJ1569" s="30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4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0"/>
      <c r="AJ1570" s="30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4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0"/>
      <c r="AJ1571" s="30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4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0"/>
      <c r="AJ1572" s="30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4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0"/>
      <c r="AJ1573" s="30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4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0"/>
      <c r="AJ1574" s="30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4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0"/>
      <c r="AJ1575" s="30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4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0"/>
      <c r="AJ1576" s="30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4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0"/>
      <c r="AJ1577" s="30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4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0"/>
      <c r="AJ1578" s="30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4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0"/>
      <c r="AJ1579" s="30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4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0"/>
      <c r="AJ1580" s="30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4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0"/>
      <c r="AJ1581" s="30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4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0"/>
      <c r="AJ1582" s="30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4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0"/>
      <c r="AJ1583" s="30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4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0"/>
      <c r="AJ1584" s="30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4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0"/>
      <c r="AJ1585" s="30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4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0"/>
      <c r="AJ1586" s="30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4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0"/>
      <c r="AJ1587" s="30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4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0"/>
      <c r="AJ1588" s="30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4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0"/>
      <c r="AJ1589" s="30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4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0"/>
      <c r="AJ1590" s="30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4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0"/>
      <c r="AJ1591" s="30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4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0"/>
      <c r="AJ1592" s="30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4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0"/>
      <c r="AJ1593" s="30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4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0"/>
      <c r="AJ1594" s="30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4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0"/>
      <c r="AJ1595" s="30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4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0"/>
      <c r="AJ1596" s="30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4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0"/>
      <c r="AJ1597" s="30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4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0"/>
      <c r="AJ1598" s="30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4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0"/>
      <c r="AJ1599" s="30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4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0"/>
      <c r="AJ1600" s="30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4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0"/>
      <c r="AJ1601" s="30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4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0"/>
      <c r="AJ1602" s="30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4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0"/>
      <c r="AJ1603" s="30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4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0"/>
      <c r="AJ1604" s="30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4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0"/>
      <c r="AJ1605" s="30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4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0"/>
      <c r="AJ1606" s="30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4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0"/>
      <c r="AJ1607" s="30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4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0"/>
      <c r="AJ1608" s="30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4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0"/>
      <c r="AJ1609" s="30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4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0"/>
      <c r="AJ1610" s="30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4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0"/>
      <c r="AJ1611" s="30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4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0"/>
      <c r="AJ1612" s="30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4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0"/>
      <c r="AJ1613" s="30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4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0"/>
      <c r="AJ1614" s="30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4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0"/>
      <c r="AJ1615" s="30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4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0"/>
      <c r="AJ1616" s="30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4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0"/>
      <c r="AJ1617" s="30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4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0"/>
      <c r="AJ1618" s="30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4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0"/>
      <c r="AJ1619" s="30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4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0"/>
      <c r="AJ1620" s="30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4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0"/>
      <c r="AJ1621" s="30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4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0"/>
      <c r="AJ1622" s="30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4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0"/>
      <c r="AJ1623" s="30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4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0"/>
      <c r="AJ1624" s="30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4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0"/>
      <c r="AJ1625" s="30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4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0"/>
      <c r="AJ1626" s="30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4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0"/>
      <c r="AJ1627" s="30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4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0"/>
      <c r="AJ1628" s="30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4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0"/>
      <c r="AJ1629" s="30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4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0"/>
      <c r="AJ1630" s="30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4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0"/>
      <c r="AJ1631" s="30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4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0"/>
      <c r="AJ1632" s="30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4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0"/>
      <c r="AJ1633" s="30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4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0"/>
      <c r="AJ1634" s="30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4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0"/>
      <c r="AJ1635" s="30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4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0"/>
      <c r="AJ1636" s="30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4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0"/>
      <c r="AJ1637" s="30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4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0"/>
      <c r="AJ1638" s="30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4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0"/>
      <c r="AJ1639" s="30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4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0"/>
      <c r="AJ1640" s="30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4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0"/>
      <c r="AJ1641" s="30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4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0"/>
      <c r="AJ1642" s="30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4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0"/>
      <c r="AJ1643" s="30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4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0"/>
      <c r="AJ1644" s="30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4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0"/>
      <c r="AJ1645" s="30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4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0"/>
      <c r="AJ1646" s="30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4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0"/>
      <c r="AJ1647" s="30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4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0"/>
      <c r="AJ1648" s="30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4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0"/>
      <c r="AJ1649" s="30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4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0"/>
      <c r="AJ1650" s="30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4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0"/>
      <c r="AJ1651" s="30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4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0"/>
      <c r="AJ1652" s="30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4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0"/>
      <c r="AJ1653" s="30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3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5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2">
        <f>IFERROR(__xludf.DUMMYFUNCTION("""COMPUTED_VALUE"""),754.8387096774188)</f>
        <v>754.8387097</v>
      </c>
      <c r="C2" s="12">
        <f>IFERROR(__xludf.DUMMYFUNCTION("""COMPUTED_VALUE"""),822.0)</f>
        <v>822</v>
      </c>
      <c r="D2" s="12">
        <f>IFERROR(__xludf.DUMMYFUNCTION("""COMPUTED_VALUE"""),67.16129032258118)</f>
        <v>67.16129032</v>
      </c>
      <c r="E2" s="13">
        <f>IFERROR(__xludf.DUMMYFUNCTION("""COMPUTED_VALUE"""),0.08897435897435975)</f>
        <v>0.08897435897</v>
      </c>
      <c r="F2" s="13">
        <f>IFERROR(__xludf.DUMMYFUNCTION("""COMPUTED_VALUE"""),0.8603277999463558)</f>
        <v>0.8603277999</v>
      </c>
      <c r="G2" s="13">
        <f>IFERROR(__xludf.DUMMYFUNCTION("""COMPUTED_VALUE"""),0.7846715328467153)</f>
        <v>0.7846715328</v>
      </c>
      <c r="H2" s="36">
        <f>IFERROR(__xludf.DUMMYFUNCTION("""COMPUTED_VALUE"""),-7.565626709964047)</f>
        <v>-7.56562671</v>
      </c>
      <c r="I2" s="12">
        <f>IFERROR(__xludf.DUMMYFUNCTION("""COMPUTED_VALUE"""),649.4087264111197)</f>
        <v>649.4087264</v>
      </c>
      <c r="J2" s="12">
        <f>IFERROR(__xludf.DUMMYFUNCTION("""COMPUTED_VALUE"""),645.0)</f>
        <v>645</v>
      </c>
      <c r="K2" s="12">
        <f>IFERROR(__xludf.DUMMYFUNCTION("""COMPUTED_VALUE"""),-4.408726411119687)</f>
        <v>-4.408726411</v>
      </c>
      <c r="L2" s="13">
        <f>IFERROR(__xludf.DUMMYFUNCTION("""COMPUTED_VALUE"""),-0.0067888314890438735)</f>
        <v>-0.006788831489</v>
      </c>
      <c r="M2" s="13">
        <f>IFERROR(__xludf.DUMMYFUNCTION("""COMPUTED_VALUE"""),0.274866666666667)</f>
        <v>0.2748666667</v>
      </c>
      <c r="N2" s="13">
        <f>IFERROR(__xludf.DUMMYFUNCTION("""COMPUTED_VALUE"""),0.3054263565891473)</f>
        <v>0.3054263566</v>
      </c>
      <c r="O2" s="36">
        <f>IFERROR(__xludf.DUMMYFUNCTION("""COMPUTED_VALUE"""),3.0559689922480313)</f>
        <v>3.055968992</v>
      </c>
      <c r="P2" s="12">
        <f>IFERROR(__xludf.DUMMYFUNCTION("""COMPUTED_VALUE"""),178.50081193286996)</f>
        <v>178.5008119</v>
      </c>
      <c r="Q2" s="12">
        <f>IFERROR(__xludf.DUMMYFUNCTION("""COMPUTED_VALUE"""),197.0)</f>
        <v>197</v>
      </c>
      <c r="R2" s="12">
        <f>IFERROR(__xludf.DUMMYFUNCTION("""COMPUTED_VALUE"""),18.499188067130035)</f>
        <v>18.49918807</v>
      </c>
      <c r="S2" s="13">
        <f>IFERROR(__xludf.DUMMYFUNCTION("""COMPUTED_VALUE"""),0.10363643653389741)</f>
        <v>0.1036364365</v>
      </c>
      <c r="T2" s="12">
        <f>IFERROR(__xludf.DUMMYFUNCTION("""COMPUTED_VALUE"""),869263.2539506899)</f>
        <v>869263.254</v>
      </c>
      <c r="U2" s="15">
        <f>IFERROR(__xludf.DUMMYFUNCTION("""COMPUTED_VALUE"""),4940.0)</f>
        <v>4940</v>
      </c>
      <c r="V2" s="15">
        <f>IFERROR(__xludf.DUMMYFUNCTION("""COMPUTED_VALUE"""),-21779.108470931256)</f>
        <v>-21779.10847</v>
      </c>
      <c r="W2" s="13">
        <f>IFERROR(__xludf.DUMMYFUNCTION("""COMPUTED_VALUE"""),-0.025054675176878816)</f>
        <v>-0.02505467518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2">
        <f>IFERROR(__xludf.DUMMYFUNCTION("""COMPUTED_VALUE"""),109.35483870967735)</f>
        <v>109.3548387</v>
      </c>
      <c r="C3" s="12">
        <f>IFERROR(__xludf.DUMMYFUNCTION("""COMPUTED_VALUE"""),113.0)</f>
        <v>113</v>
      </c>
      <c r="D3" s="12">
        <f>IFERROR(__xludf.DUMMYFUNCTION("""COMPUTED_VALUE"""),3.6451612903226476)</f>
        <v>3.64516129</v>
      </c>
      <c r="E3" s="13">
        <f>IFERROR(__xludf.DUMMYFUNCTION("""COMPUTED_VALUE"""),0.033333333333333964)</f>
        <v>0.03333333333</v>
      </c>
      <c r="F3" s="13">
        <f>IFERROR(__xludf.DUMMYFUNCTION("""COMPUTED_VALUE"""),0.7720883770996892)</f>
        <v>0.7720883771</v>
      </c>
      <c r="G3" s="13">
        <f>IFERROR(__xludf.DUMMYFUNCTION("""COMPUTED_VALUE"""),0.8761061946902655)</f>
        <v>0.8761061947</v>
      </c>
      <c r="H3" s="36">
        <f>IFERROR(__xludf.DUMMYFUNCTION("""COMPUTED_VALUE"""),10.401781759057627)</f>
        <v>10.40178176</v>
      </c>
      <c r="I3" s="12">
        <f>IFERROR(__xludf.DUMMYFUNCTION("""COMPUTED_VALUE"""),84.43159994735306)</f>
        <v>84.43159995</v>
      </c>
      <c r="J3" s="12">
        <f>IFERROR(__xludf.DUMMYFUNCTION("""COMPUTED_VALUE"""),99.0)</f>
        <v>99</v>
      </c>
      <c r="K3" s="12">
        <f>IFERROR(__xludf.DUMMYFUNCTION("""COMPUTED_VALUE"""),14.568400052646936)</f>
        <v>14.56840005</v>
      </c>
      <c r="L3" s="13">
        <f>IFERROR(__xludf.DUMMYFUNCTION("""COMPUTED_VALUE"""),0.17254677231902504)</f>
        <v>0.1725467723</v>
      </c>
      <c r="M3" s="13">
        <f>IFERROR(__xludf.DUMMYFUNCTION("""COMPUTED_VALUE"""),0.2797750000000002)</f>
        <v>0.279775</v>
      </c>
      <c r="N3" s="13">
        <f>IFERROR(__xludf.DUMMYFUNCTION("""COMPUTED_VALUE"""),0.1919191919191919)</f>
        <v>0.1919191919</v>
      </c>
      <c r="O3" s="36">
        <f>IFERROR(__xludf.DUMMYFUNCTION("""COMPUTED_VALUE"""),-8.785580808080832)</f>
        <v>-8.785580808</v>
      </c>
      <c r="P3" s="12">
        <f>IFERROR(__xludf.DUMMYFUNCTION("""COMPUTED_VALUE"""),23.621850875270724)</f>
        <v>23.62185088</v>
      </c>
      <c r="Q3" s="12">
        <f>IFERROR(__xludf.DUMMYFUNCTION("""COMPUTED_VALUE"""),19.0)</f>
        <v>19</v>
      </c>
      <c r="R3" s="12">
        <f>IFERROR(__xludf.DUMMYFUNCTION("""COMPUTED_VALUE"""),-4.621850875270724)</f>
        <v>-4.621850875</v>
      </c>
      <c r="S3" s="13">
        <f>IFERROR(__xludf.DUMMYFUNCTION("""COMPUTED_VALUE"""),-0.19565998023081474)</f>
        <v>-0.1956599802</v>
      </c>
      <c r="T3" s="12">
        <f>IFERROR(__xludf.DUMMYFUNCTION("""COMPUTED_VALUE"""),128539.66911862578)</f>
        <v>128539.6691</v>
      </c>
      <c r="U3" s="15">
        <f>IFERROR(__xludf.DUMMYFUNCTION("""COMPUTED_VALUE"""),5520.000000000001)</f>
        <v>5520</v>
      </c>
      <c r="V3" s="15">
        <f>IFERROR(__xludf.DUMMYFUNCTION("""COMPUTED_VALUE"""),80417.5682906111)</f>
        <v>80417.56829</v>
      </c>
      <c r="W3" s="13">
        <f>IFERROR(__xludf.DUMMYFUNCTION("""COMPUTED_VALUE"""),0.6256245160892386)</f>
        <v>0.6256245161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2">
        <f>IFERROR(__xludf.DUMMYFUNCTION("""COMPUTED_VALUE"""),2130.7741935483855)</f>
        <v>2130.774194</v>
      </c>
      <c r="C4" s="12">
        <f>IFERROR(__xludf.DUMMYFUNCTION("""COMPUTED_VALUE"""),2308.0)</f>
        <v>2308</v>
      </c>
      <c r="D4" s="12">
        <f>IFERROR(__xludf.DUMMYFUNCTION("""COMPUTED_VALUE"""),177.22580645161452)</f>
        <v>177.2258065</v>
      </c>
      <c r="E4" s="13">
        <f>IFERROR(__xludf.DUMMYFUNCTION("""COMPUTED_VALUE"""),0.08317437248312069)</f>
        <v>0.08317437248</v>
      </c>
      <c r="F4" s="13">
        <f>IFERROR(__xludf.DUMMYFUNCTION("""COMPUTED_VALUE"""),0.8334080360633019)</f>
        <v>0.8334080361</v>
      </c>
      <c r="G4" s="13" t="str">
        <f>IFERROR(__xludf.DUMMYFUNCTION("""COMPUTED_VALUE"""),"#REF!")</f>
        <v>#REF!</v>
      </c>
      <c r="H4" s="36" t="str">
        <f>IFERROR(__xludf.DUMMYFUNCTION("""COMPUTED_VALUE"""),"#REF!")</f>
        <v>#REF!</v>
      </c>
      <c r="I4" s="12">
        <f>IFERROR(__xludf.DUMMYFUNCTION("""COMPUTED_VALUE"""),1775.804335939526)</f>
        <v>1775.804336</v>
      </c>
      <c r="J4" s="12" t="str">
        <f>IFERROR(__xludf.DUMMYFUNCTION("""COMPUTED_VALUE"""),"#REF!")</f>
        <v>#REF!</v>
      </c>
      <c r="K4" s="9" t="str">
        <f>IFERROR(__xludf.DUMMYFUNCTION("""COMPUTED_VALUE"""),"#REF!")</f>
        <v>#REF!</v>
      </c>
      <c r="L4" s="13" t="str">
        <f>IFERROR(__xludf.DUMMYFUNCTION("""COMPUTED_VALUE"""),"#REF!")</f>
        <v>#REF!</v>
      </c>
      <c r="M4" s="13">
        <f>IFERROR(__xludf.DUMMYFUNCTION("""COMPUTED_VALUE"""),0.3267050855435845)</f>
        <v>0.3267050855</v>
      </c>
      <c r="N4" s="13" t="str">
        <f>IFERROR(__xludf.DUMMYFUNCTION("""COMPUTED_VALUE"""),"#REF!")</f>
        <v>#REF!</v>
      </c>
      <c r="O4" s="36" t="str">
        <f>IFERROR(__xludf.DUMMYFUNCTION("""COMPUTED_VALUE"""),"#REF!")</f>
        <v>#REF!</v>
      </c>
      <c r="P4" s="12">
        <f>IFERROR(__xludf.DUMMYFUNCTION("""COMPUTED_VALUE"""),580.1643074817912)</f>
        <v>580.1643075</v>
      </c>
      <c r="Q4" s="12" t="str">
        <f>IFERROR(__xludf.DUMMYFUNCTION("""COMPUTED_VALUE"""),"#REF!")</f>
        <v>#REF!</v>
      </c>
      <c r="R4" s="9" t="str">
        <f>IFERROR(__xludf.DUMMYFUNCTION("""COMPUTED_VALUE"""),"#REF!")</f>
        <v>#REF!</v>
      </c>
      <c r="S4" s="13" t="str">
        <f>IFERROR(__xludf.DUMMYFUNCTION("""COMPUTED_VALUE"""),"#REF!")</f>
        <v>#REF!</v>
      </c>
      <c r="T4" s="12">
        <f>IFERROR(__xludf.DUMMYFUNCTION("""COMPUTED_VALUE"""),3342395.3842941625)</f>
        <v>3342395.384</v>
      </c>
      <c r="U4" s="15">
        <f>IFERROR(__xludf.DUMMYFUNCTION("""COMPUTED_VALUE"""),5844.167295568762)</f>
        <v>5844.167296</v>
      </c>
      <c r="V4" s="15">
        <f>IFERROR(__xludf.DUMMYFUNCTION("""COMPUTED_VALUE"""),781708.6125985245)</f>
        <v>781708.6126</v>
      </c>
      <c r="W4" s="13">
        <f>IFERROR(__xludf.DUMMYFUNCTION("""COMPUTED_VALUE"""),0.2338767628365438)</f>
        <v>0.2338767628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2">
        <f>IFERROR(__xludf.DUMMYFUNCTION("""COMPUTED_VALUE"""),1327.74193548387)</f>
        <v>1327.741935</v>
      </c>
      <c r="C5" s="12">
        <f>IFERROR(__xludf.DUMMYFUNCTION("""COMPUTED_VALUE"""),1389.0)</f>
        <v>1389</v>
      </c>
      <c r="D5" s="12">
        <f>IFERROR(__xludf.DUMMYFUNCTION("""COMPUTED_VALUE"""),61.258064516129934)</f>
        <v>61.25806452</v>
      </c>
      <c r="E5" s="13">
        <f>IFERROR(__xludf.DUMMYFUNCTION("""COMPUTED_VALUE"""),0.04613702623906776)</f>
        <v>0.04613702624</v>
      </c>
      <c r="F5" s="13">
        <f>IFERROR(__xludf.DUMMYFUNCTION("""COMPUTED_VALUE"""),0.8426624896062618)</f>
        <v>0.8426624896</v>
      </c>
      <c r="G5" s="13">
        <f>IFERROR(__xludf.DUMMYFUNCTION("""COMPUTED_VALUE"""),0.8293736501079914)</f>
        <v>0.8293736501</v>
      </c>
      <c r="H5" s="36">
        <f>IFERROR(__xludf.DUMMYFUNCTION("""COMPUTED_VALUE"""),-1.3288839498270422)</f>
        <v>-1.32888395</v>
      </c>
      <c r="I5" s="12">
        <f>IFERROR(__xludf.DUMMYFUNCTION("""COMPUTED_VALUE"""),1118.8383249094745)</f>
        <v>1118.838325</v>
      </c>
      <c r="J5" s="12">
        <f>IFERROR(__xludf.DUMMYFUNCTION("""COMPUTED_VALUE"""),1152.0)</f>
        <v>1152</v>
      </c>
      <c r="K5" s="12">
        <f>IFERROR(__xludf.DUMMYFUNCTION("""COMPUTED_VALUE"""),33.16167509052548)</f>
        <v>33.16167509</v>
      </c>
      <c r="L5" s="13">
        <f>IFERROR(__xludf.DUMMYFUNCTION("""COMPUTED_VALUE"""),0.029639380732876305)</f>
        <v>0.02963938073</v>
      </c>
      <c r="M5" s="13">
        <f>IFERROR(__xludf.DUMMYFUNCTION("""COMPUTED_VALUE"""),0.333766666666667)</f>
        <v>0.3337666667</v>
      </c>
      <c r="N5" s="13">
        <f>IFERROR(__xludf.DUMMYFUNCTION("""COMPUTED_VALUE"""),0.3402777777777778)</f>
        <v>0.3402777778</v>
      </c>
      <c r="O5" s="36">
        <f>IFERROR(__xludf.DUMMYFUNCTION("""COMPUTED_VALUE"""),0.6511111111110801)</f>
        <v>0.6511111111</v>
      </c>
      <c r="P5" s="12">
        <f>IFERROR(__xludf.DUMMYFUNCTION("""COMPUTED_VALUE"""),373.43093824395265)</f>
        <v>373.4309382</v>
      </c>
      <c r="Q5" s="12">
        <f>IFERROR(__xludf.DUMMYFUNCTION("""COMPUTED_VALUE"""),392.0)</f>
        <v>392</v>
      </c>
      <c r="R5" s="12">
        <f>IFERROR(__xludf.DUMMYFUNCTION("""COMPUTED_VALUE"""),18.569061756047347)</f>
        <v>18.56906176</v>
      </c>
      <c r="S5" s="13">
        <f>IFERROR(__xludf.DUMMYFUNCTION("""COMPUTED_VALUE"""),0.049725557939488844)</f>
        <v>0.04972555794</v>
      </c>
      <c r="T5" s="12">
        <f>IFERROR(__xludf.DUMMYFUNCTION("""COMPUTED_VALUE"""),2238195.671458954)</f>
        <v>2238195.671</v>
      </c>
      <c r="U5" s="15">
        <f>IFERROR(__xludf.DUMMYFUNCTION("""COMPUTED_VALUE"""),6080.000000000001)</f>
        <v>6080</v>
      </c>
      <c r="V5" s="15">
        <f>IFERROR(__xludf.DUMMYFUNCTION("""COMPUTED_VALUE"""),201622.98455039493)</f>
        <v>201622.9846</v>
      </c>
      <c r="W5" s="13">
        <f>IFERROR(__xludf.DUMMYFUNCTION("""COMPUTED_VALUE"""),0.0900828230174211)</f>
        <v>0.09008282302</v>
      </c>
      <c r="X5" s="9"/>
      <c r="Y5" s="9"/>
      <c r="Z5" s="9"/>
    </row>
    <row r="6">
      <c r="A6" s="9" t="str">
        <f>IFERROR(__xludf.DUMMYFUNCTION("""COMPUTED_VALUE"""),"#REF!")</f>
        <v>#REF!</v>
      </c>
      <c r="B6" s="9"/>
      <c r="C6" s="12" t="str">
        <f>IFERROR(__xludf.DUMMYFUNCTION("""COMPUTED_VALUE"""),"#REF!")</f>
        <v>#REF!</v>
      </c>
      <c r="D6" s="9"/>
      <c r="E6" s="9"/>
      <c r="F6" s="9"/>
      <c r="G6" s="13" t="str">
        <f>IFERROR(__xludf.DUMMYFUNCTION("""COMPUTED_VALUE"""),"#REF!")</f>
        <v>#REF!</v>
      </c>
      <c r="H6" s="9"/>
      <c r="I6" s="9"/>
      <c r="J6" s="12" t="str">
        <f>IFERROR(__xludf.DUMMYFUNCTION("""COMPUTED_VALUE"""),"#REF!")</f>
        <v>#REF!</v>
      </c>
      <c r="K6" s="9"/>
      <c r="L6" s="9"/>
      <c r="M6" s="13">
        <f>IFERROR(__xludf.DUMMYFUNCTION("""COMPUTED_VALUE"""),0.333766666666667)</f>
        <v>0.3337666667</v>
      </c>
      <c r="N6" s="13" t="str">
        <f>IFERROR(__xludf.DUMMYFUNCTION("""COMPUTED_VALUE"""),"#REF!")</f>
        <v>#REF!</v>
      </c>
      <c r="O6" s="36" t="str">
        <f>IFERROR(__xludf.DUMMYFUNCTION("""COMPUTED_VALUE"""),"#REF!")</f>
        <v>#REF!</v>
      </c>
      <c r="P6" s="9"/>
      <c r="Q6" s="12" t="str">
        <f>IFERROR(__xludf.DUMMYFUNCTION("""COMPUTED_VALUE"""),"#REF!")</f>
        <v>#REF!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3">
        <f>IFERROR(__xludf.DUMMYFUNCTION("""COMPUTED_VALUE"""),0.333766666666667)</f>
        <v>0.3337666667</v>
      </c>
      <c r="N7" s="9"/>
      <c r="O7" s="36">
        <f>IFERROR(__xludf.DUMMYFUNCTION("""COMPUTED_VALUE"""),-33.3766666666667)</f>
        <v>-33.37666667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3">
        <f>IFERROR(__xludf.DUMMYFUNCTION("""COMPUTED_VALUE"""),0.333766666666667)</f>
        <v>0.3337666667</v>
      </c>
      <c r="N8" s="9"/>
      <c r="O8" s="36">
        <f>IFERROR(__xludf.DUMMYFUNCTION("""COMPUTED_VALUE"""),-33.3766666666667)</f>
        <v>-33.37666667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3">
        <f>IFERROR(__xludf.DUMMYFUNCTION("""COMPUTED_VALUE"""),0.333766666666667)</f>
        <v>0.3337666667</v>
      </c>
      <c r="N9" s="9"/>
      <c r="O9" s="36">
        <f>IFERROR(__xludf.DUMMYFUNCTION("""COMPUTED_VALUE"""),-33.3766666666667)</f>
        <v>-33.37666667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3">
        <f>IFERROR(__xludf.DUMMYFUNCTION("""COMPUTED_VALUE"""),0.333766666666667)</f>
        <v>0.3337666667</v>
      </c>
      <c r="N10" s="9"/>
      <c r="O10" s="36">
        <f>IFERROR(__xludf.DUMMYFUNCTION("""COMPUTED_VALUE"""),-33.3766666666667)</f>
        <v>-33.37666667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3">
        <f>IFERROR(__xludf.DUMMYFUNCTION("""COMPUTED_VALUE"""),0.333766666666667)</f>
        <v>0.3337666667</v>
      </c>
      <c r="N11" s="9"/>
      <c r="O11" s="36">
        <f>IFERROR(__xludf.DUMMYFUNCTION("""COMPUTED_VALUE"""),-33.3766666666667)</f>
        <v>-33.37666667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3">
        <f>IFERROR(__xludf.DUMMYFUNCTION("""COMPUTED_VALUE"""),0.333766666666667)</f>
        <v>0.3337666667</v>
      </c>
      <c r="N12" s="9"/>
      <c r="O12" s="36">
        <f>IFERROR(__xludf.DUMMYFUNCTION("""COMPUTED_VALUE"""),-33.3766666666667)</f>
        <v>-33.37666667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3">
        <f>IFERROR(__xludf.DUMMYFUNCTION("""COMPUTED_VALUE"""),0.333766666666667)</f>
        <v>0.3337666667</v>
      </c>
      <c r="N13" s="9"/>
      <c r="O13" s="36">
        <f>IFERROR(__xludf.DUMMYFUNCTION("""COMPUTED_VALUE"""),-33.3766666666667)</f>
        <v>-33.37666667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3">
        <f>IFERROR(__xludf.DUMMYFUNCTION("""COMPUTED_VALUE"""),0.333766666666667)</f>
        <v>0.3337666667</v>
      </c>
      <c r="N14" s="9"/>
      <c r="O14" s="36">
        <f>IFERROR(__xludf.DUMMYFUNCTION("""COMPUTED_VALUE"""),-33.3766666666667)</f>
        <v>-33.37666667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3">
        <f>IFERROR(__xludf.DUMMYFUNCTION("""COMPUTED_VALUE"""),0.333766666666667)</f>
        <v>0.3337666667</v>
      </c>
      <c r="N15" s="9"/>
      <c r="O15" s="36">
        <f>IFERROR(__xludf.DUMMYFUNCTION("""COMPUTED_VALUE"""),-33.3766666666667)</f>
        <v>-33.37666667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3">
        <f>IFERROR(__xludf.DUMMYFUNCTION("""COMPUTED_VALUE"""),0.333766666666667)</f>
        <v>0.3337666667</v>
      </c>
      <c r="N16" s="9"/>
      <c r="O16" s="36">
        <f>IFERROR(__xludf.DUMMYFUNCTION("""COMPUTED_VALUE"""),-33.3766666666667)</f>
        <v>-33.37666667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3">
        <f>IFERROR(__xludf.DUMMYFUNCTION("""COMPUTED_VALUE"""),0.333766666666667)</f>
        <v>0.3337666667</v>
      </c>
      <c r="N17" s="9"/>
      <c r="O17" s="36">
        <f>IFERROR(__xludf.DUMMYFUNCTION("""COMPUTED_VALUE"""),-33.3766666666667)</f>
        <v>-33.37666667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3">
        <f>IFERROR(__xludf.DUMMYFUNCTION("""COMPUTED_VALUE"""),0.333766666666667)</f>
        <v>0.3337666667</v>
      </c>
      <c r="N18" s="9"/>
      <c r="O18" s="36">
        <f>IFERROR(__xludf.DUMMYFUNCTION("""COMPUTED_VALUE"""),-33.3766666666667)</f>
        <v>-33.37666667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3">
        <f>IFERROR(__xludf.DUMMYFUNCTION("""COMPUTED_VALUE"""),0.333766666666667)</f>
        <v>0.3337666667</v>
      </c>
      <c r="N19" s="9"/>
      <c r="O19" s="36">
        <f>IFERROR(__xludf.DUMMYFUNCTION("""COMPUTED_VALUE"""),-33.3766666666667)</f>
        <v>-33.37666667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3">
        <f>IFERROR(__xludf.DUMMYFUNCTION("""COMPUTED_VALUE"""),0.333766666666667)</f>
        <v>0.3337666667</v>
      </c>
      <c r="N20" s="9"/>
      <c r="O20" s="36">
        <f>IFERROR(__xludf.DUMMYFUNCTION("""COMPUTED_VALUE"""),-33.3766666666667)</f>
        <v>-33.37666667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3">
        <f>IFERROR(__xludf.DUMMYFUNCTION("""COMPUTED_VALUE"""),0.333766666666667)</f>
        <v>0.3337666667</v>
      </c>
      <c r="N21" s="9"/>
      <c r="O21" s="36">
        <f>IFERROR(__xludf.DUMMYFUNCTION("""COMPUTED_VALUE"""),-33.3766666666667)</f>
        <v>-33.37666667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3">
        <f>IFERROR(__xludf.DUMMYFUNCTION("""COMPUTED_VALUE"""),0.333766666666667)</f>
        <v>0.3337666667</v>
      </c>
      <c r="N22" s="9"/>
      <c r="O22" s="36">
        <f>IFERROR(__xludf.DUMMYFUNCTION("""COMPUTED_VALUE"""),-33.3766666666667)</f>
        <v>-33.37666667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3">
        <f>IFERROR(__xludf.DUMMYFUNCTION("""COMPUTED_VALUE"""),0.333766666666667)</f>
        <v>0.3337666667</v>
      </c>
      <c r="N23" s="9"/>
      <c r="O23" s="36">
        <f>IFERROR(__xludf.DUMMYFUNCTION("""COMPUTED_VALUE"""),-33.3766666666667)</f>
        <v>-33.37666667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2">
        <f>IFERROR(__xludf.DUMMYFUNCTION("""COMPUTED_VALUE"""),387.09677419354813)</f>
        <v>387.0967742</v>
      </c>
      <c r="C24" s="12">
        <f>IFERROR(__xludf.DUMMYFUNCTION("""COMPUTED_VALUE"""),415.0)</f>
        <v>415</v>
      </c>
      <c r="D24" s="12">
        <f>IFERROR(__xludf.DUMMYFUNCTION("""COMPUTED_VALUE"""),27.90322580645187)</f>
        <v>27.90322581</v>
      </c>
      <c r="E24" s="13">
        <f>IFERROR(__xludf.DUMMYFUNCTION("""COMPUTED_VALUE"""),0.07208333333333405)</f>
        <v>0.07208333333</v>
      </c>
      <c r="F24" s="13">
        <f>IFERROR(__xludf.DUMMYFUNCTION("""COMPUTED_VALUE"""),0.8206988049963662)</f>
        <v>0.820698805</v>
      </c>
      <c r="G24" s="13">
        <f>IFERROR(__xludf.DUMMYFUNCTION("""COMPUTED_VALUE"""),0.8578313253012049)</f>
        <v>0.8578313253</v>
      </c>
      <c r="H24" s="36">
        <f>IFERROR(__xludf.DUMMYFUNCTION("""COMPUTED_VALUE"""),3.713252030483871)</f>
        <v>3.71325203</v>
      </c>
      <c r="I24" s="12">
        <f>IFERROR(__xludf.DUMMYFUNCTION("""COMPUTED_VALUE"""),317.68985999859314)</f>
        <v>317.68986</v>
      </c>
      <c r="J24" s="12">
        <f>IFERROR(__xludf.DUMMYFUNCTION("""COMPUTED_VALUE"""),356.0)</f>
        <v>356</v>
      </c>
      <c r="K24" s="12">
        <f>IFERROR(__xludf.DUMMYFUNCTION("""COMPUTED_VALUE"""),38.310140001406864)</f>
        <v>38.31014</v>
      </c>
      <c r="L24" s="13">
        <f>IFERROR(__xludf.DUMMYFUNCTION("""COMPUTED_VALUE"""),0.12058974750272645)</f>
        <v>0.1205897475</v>
      </c>
      <c r="M24" s="13">
        <f>IFERROR(__xludf.DUMMYFUNCTION("""COMPUTED_VALUE"""),0.3043166666666669)</f>
        <v>0.3043166667</v>
      </c>
      <c r="N24" s="13">
        <f>IFERROR(__xludf.DUMMYFUNCTION("""COMPUTED_VALUE"""),0.32865168539325845)</f>
        <v>0.3286516854</v>
      </c>
      <c r="O24" s="36">
        <f>IFERROR(__xludf.DUMMYFUNCTION("""COMPUTED_VALUE"""),2.4335018726591553)</f>
        <v>2.433501873</v>
      </c>
      <c r="P24" s="12">
        <f>IFERROR(__xludf.DUMMYFUNCTION("""COMPUTED_VALUE"""),96.67831922857195)</f>
        <v>96.67831923</v>
      </c>
      <c r="Q24" s="12">
        <f>IFERROR(__xludf.DUMMYFUNCTION("""COMPUTED_VALUE"""),117.0)</f>
        <v>117</v>
      </c>
      <c r="R24" s="12">
        <f>IFERROR(__xludf.DUMMYFUNCTION("""COMPUTED_VALUE"""),20.32168077142805)</f>
        <v>20.32168077</v>
      </c>
      <c r="S24" s="13">
        <f>IFERROR(__xludf.DUMMYFUNCTION("""COMPUTED_VALUE"""),0.21019894567449468)</f>
        <v>0.2101989457</v>
      </c>
      <c r="T24" s="12">
        <f>IFERROR(__xludf.DUMMYFUNCTION("""COMPUTED_VALUE"""),583263.3529055291)</f>
        <v>583263.3529</v>
      </c>
      <c r="U24" s="15">
        <f>IFERROR(__xludf.DUMMYFUNCTION("""COMPUTED_VALUE"""),6120.000000000001)</f>
        <v>6120</v>
      </c>
      <c r="V24" s="15">
        <f>IFERROR(__xludf.DUMMYFUNCTION("""COMPUTED_VALUE"""),234458.05680861004)</f>
        <v>234458.0568</v>
      </c>
      <c r="W24" s="13">
        <f>IFERROR(__xludf.DUMMYFUNCTION("""COMPUTED_VALUE"""),0.4019763210574711)</f>
        <v>0.4019763211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2">
        <f>IFERROR(__xludf.DUMMYFUNCTION("""COMPUTED_VALUE"""),51.0)</f>
        <v>51</v>
      </c>
      <c r="D25" s="9"/>
      <c r="E25" s="9"/>
      <c r="F25" s="9"/>
      <c r="G25" s="13">
        <f>IFERROR(__xludf.DUMMYFUNCTION("""COMPUTED_VALUE"""),0.7647058823529411)</f>
        <v>0.7647058824</v>
      </c>
      <c r="H25" s="9"/>
      <c r="I25" s="9"/>
      <c r="J25" s="12">
        <f>IFERROR(__xludf.DUMMYFUNCTION("""COMPUTED_VALUE"""),39.0)</f>
        <v>39</v>
      </c>
      <c r="K25" s="9"/>
      <c r="L25" s="9"/>
      <c r="M25" s="9"/>
      <c r="N25" s="13">
        <f>IFERROR(__xludf.DUMMYFUNCTION("""COMPUTED_VALUE"""),0.4358974358974359)</f>
        <v>0.4358974359</v>
      </c>
      <c r="O25" s="9"/>
      <c r="P25" s="9"/>
      <c r="Q25" s="12">
        <f>IFERROR(__xludf.DUMMYFUNCTION("""COMPUTED_VALUE"""),17.0)</f>
        <v>17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2">
        <f>IFERROR(__xludf.DUMMYFUNCTION("""COMPUTED_VALUE"""),51.0)</f>
        <v>51</v>
      </c>
      <c r="D26" s="9"/>
      <c r="E26" s="9"/>
      <c r="F26" s="9"/>
      <c r="G26" s="13">
        <f>IFERROR(__xludf.DUMMYFUNCTION("""COMPUTED_VALUE"""),0.803921568627451)</f>
        <v>0.8039215686</v>
      </c>
      <c r="H26" s="9"/>
      <c r="I26" s="9"/>
      <c r="J26" s="12">
        <f>IFERROR(__xludf.DUMMYFUNCTION("""COMPUTED_VALUE"""),41.0)</f>
        <v>41</v>
      </c>
      <c r="K26" s="9"/>
      <c r="L26" s="9"/>
      <c r="M26" s="9"/>
      <c r="N26" s="13">
        <f>IFERROR(__xludf.DUMMYFUNCTION("""COMPUTED_VALUE"""),0.36585365853658536)</f>
        <v>0.3658536585</v>
      </c>
      <c r="O26" s="9"/>
      <c r="P26" s="9"/>
      <c r="Q26" s="12">
        <f>IFERROR(__xludf.DUMMYFUNCTION("""COMPUTED_VALUE"""),15.0)</f>
        <v>15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IFERROR(__xludf.DUMMYFUNCTION("""COMPUTED_VALUE"""),"Lucca Giovanni")</f>
        <v>Lucca Giovanni</v>
      </c>
      <c r="B27" s="9"/>
      <c r="C27" s="12">
        <f>IFERROR(__xludf.DUMMYFUNCTION("""COMPUTED_VALUE"""),34.0)</f>
        <v>34</v>
      </c>
      <c r="D27" s="9"/>
      <c r="E27" s="9"/>
      <c r="F27" s="9"/>
      <c r="G27" s="13">
        <f>IFERROR(__xludf.DUMMYFUNCTION("""COMPUTED_VALUE"""),0.9411764705882353)</f>
        <v>0.9411764706</v>
      </c>
      <c r="H27" s="9"/>
      <c r="I27" s="9"/>
      <c r="J27" s="12">
        <f>IFERROR(__xludf.DUMMYFUNCTION("""COMPUTED_VALUE"""),32.0)</f>
        <v>32</v>
      </c>
      <c r="K27" s="9"/>
      <c r="L27" s="9"/>
      <c r="M27" s="9"/>
      <c r="N27" s="13">
        <f>IFERROR(__xludf.DUMMYFUNCTION("""COMPUTED_VALUE"""),0.4375)</f>
        <v>0.4375</v>
      </c>
      <c r="O27" s="9"/>
      <c r="P27" s="9"/>
      <c r="Q27" s="12">
        <f>IFERROR(__xludf.DUMMYFUNCTION("""COMPUTED_VALUE"""),14.0)</f>
        <v>14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IFERROR(__xludf.DUMMYFUNCTION("""COMPUTED_VALUE"""),"Christian Lopes")</f>
        <v>Christian Lopes</v>
      </c>
      <c r="B28" s="9"/>
      <c r="C28" s="12">
        <f>IFERROR(__xludf.DUMMYFUNCTION("""COMPUTED_VALUE"""),49.0)</f>
        <v>49</v>
      </c>
      <c r="D28" s="9"/>
      <c r="E28" s="9"/>
      <c r="F28" s="9"/>
      <c r="G28" s="13">
        <f>IFERROR(__xludf.DUMMYFUNCTION("""COMPUTED_VALUE"""),0.8163265306122449)</f>
        <v>0.8163265306</v>
      </c>
      <c r="H28" s="9"/>
      <c r="I28" s="9"/>
      <c r="J28" s="12">
        <f>IFERROR(__xludf.DUMMYFUNCTION("""COMPUTED_VALUE"""),40.0)</f>
        <v>40</v>
      </c>
      <c r="K28" s="9"/>
      <c r="L28" s="9"/>
      <c r="M28" s="9"/>
      <c r="N28" s="13">
        <f>IFERROR(__xludf.DUMMYFUNCTION("""COMPUTED_VALUE"""),0.325)</f>
        <v>0.325</v>
      </c>
      <c r="O28" s="9"/>
      <c r="P28" s="9"/>
      <c r="Q28" s="12">
        <f>IFERROR(__xludf.DUMMYFUNCTION("""COMPUTED_VALUE"""),13.0)</f>
        <v>13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2">
        <f>IFERROR(__xludf.DUMMYFUNCTION("""COMPUTED_VALUE"""),37.0)</f>
        <v>37</v>
      </c>
      <c r="D29" s="9"/>
      <c r="E29" s="9"/>
      <c r="F29" s="9"/>
      <c r="G29" s="13">
        <f>IFERROR(__xludf.DUMMYFUNCTION("""COMPUTED_VALUE"""),0.8378378378378378)</f>
        <v>0.8378378378</v>
      </c>
      <c r="H29" s="9"/>
      <c r="I29" s="9"/>
      <c r="J29" s="12">
        <f>IFERROR(__xludf.DUMMYFUNCTION("""COMPUTED_VALUE"""),31.0)</f>
        <v>31</v>
      </c>
      <c r="K29" s="9"/>
      <c r="L29" s="9"/>
      <c r="M29" s="9"/>
      <c r="N29" s="13">
        <f>IFERROR(__xludf.DUMMYFUNCTION("""COMPUTED_VALUE"""),0.3870967741935484)</f>
        <v>0.3870967742</v>
      </c>
      <c r="O29" s="9"/>
      <c r="P29" s="9"/>
      <c r="Q29" s="12">
        <f>IFERROR(__xludf.DUMMYFUNCTION("""COMPUTED_VALUE"""),12.0)</f>
        <v>12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2">
        <f>IFERROR(__xludf.DUMMYFUNCTION("""COMPUTED_VALUE"""),38.0)</f>
        <v>38</v>
      </c>
      <c r="D30" s="9"/>
      <c r="E30" s="9"/>
      <c r="F30" s="9"/>
      <c r="G30" s="13">
        <f>IFERROR(__xludf.DUMMYFUNCTION("""COMPUTED_VALUE"""),0.7631578947368421)</f>
        <v>0.7631578947</v>
      </c>
      <c r="H30" s="9"/>
      <c r="I30" s="9"/>
      <c r="J30" s="12">
        <f>IFERROR(__xludf.DUMMYFUNCTION("""COMPUTED_VALUE"""),29.0)</f>
        <v>29</v>
      </c>
      <c r="K30" s="9"/>
      <c r="L30" s="9"/>
      <c r="M30" s="9"/>
      <c r="N30" s="13">
        <f>IFERROR(__xludf.DUMMYFUNCTION("""COMPUTED_VALUE"""),0.3103448275862069)</f>
        <v>0.3103448276</v>
      </c>
      <c r="O30" s="9"/>
      <c r="P30" s="9"/>
      <c r="Q30" s="12">
        <f>IFERROR(__xludf.DUMMYFUNCTION("""COMPUTED_VALUE"""),9.0)</f>
        <v>9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2">
        <f>IFERROR(__xludf.DUMMYFUNCTION("""COMPUTED_VALUE"""),44.0)</f>
        <v>44</v>
      </c>
      <c r="D31" s="9"/>
      <c r="E31" s="9"/>
      <c r="F31" s="9"/>
      <c r="G31" s="13">
        <f>IFERROR(__xludf.DUMMYFUNCTION("""COMPUTED_VALUE"""),0.9090909090909091)</f>
        <v>0.9090909091</v>
      </c>
      <c r="H31" s="9"/>
      <c r="I31" s="9"/>
      <c r="J31" s="12">
        <f>IFERROR(__xludf.DUMMYFUNCTION("""COMPUTED_VALUE"""),40.0)</f>
        <v>40</v>
      </c>
      <c r="K31" s="9"/>
      <c r="L31" s="9"/>
      <c r="M31" s="9"/>
      <c r="N31" s="13">
        <f>IFERROR(__xludf.DUMMYFUNCTION("""COMPUTED_VALUE"""),0.225)</f>
        <v>0.225</v>
      </c>
      <c r="O31" s="9"/>
      <c r="P31" s="9"/>
      <c r="Q31" s="12">
        <f>IFERROR(__xludf.DUMMYFUNCTION("""COMPUTED_VALUE"""),9.0)</f>
        <v>9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2">
        <f>IFERROR(__xludf.DUMMYFUNCTION("""COMPUTED_VALUE"""),31.0)</f>
        <v>31</v>
      </c>
      <c r="D32" s="9"/>
      <c r="E32" s="9"/>
      <c r="F32" s="9"/>
      <c r="G32" s="13">
        <f>IFERROR(__xludf.DUMMYFUNCTION("""COMPUTED_VALUE"""),0.9354838709677419)</f>
        <v>0.935483871</v>
      </c>
      <c r="H32" s="9"/>
      <c r="I32" s="9"/>
      <c r="J32" s="12">
        <f>IFERROR(__xludf.DUMMYFUNCTION("""COMPUTED_VALUE"""),29.0)</f>
        <v>29</v>
      </c>
      <c r="K32" s="9"/>
      <c r="L32" s="9"/>
      <c r="M32" s="9"/>
      <c r="N32" s="13">
        <f>IFERROR(__xludf.DUMMYFUNCTION("""COMPUTED_VALUE"""),0.2413793103448276)</f>
        <v>0.2413793103</v>
      </c>
      <c r="O32" s="9"/>
      <c r="P32" s="9"/>
      <c r="Q32" s="12">
        <f>IFERROR(__xludf.DUMMYFUNCTION("""COMPUTED_VALUE"""),7.0)</f>
        <v>7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IFERROR(__xludf.DUMMYFUNCTION("""COMPUTED_VALUE"""),"Bruno Xavier")</f>
        <v>Bruno Xavier</v>
      </c>
      <c r="B33" s="9"/>
      <c r="C33" s="12">
        <f>IFERROR(__xludf.DUMMYFUNCTION("""COMPUTED_VALUE"""),38.0)</f>
        <v>38</v>
      </c>
      <c r="D33" s="9"/>
      <c r="E33" s="9"/>
      <c r="F33" s="9"/>
      <c r="G33" s="13">
        <f>IFERROR(__xludf.DUMMYFUNCTION("""COMPUTED_VALUE"""),0.7631578947368421)</f>
        <v>0.7631578947</v>
      </c>
      <c r="H33" s="9"/>
      <c r="I33" s="9"/>
      <c r="J33" s="12">
        <f>IFERROR(__xludf.DUMMYFUNCTION("""COMPUTED_VALUE"""),29.0)</f>
        <v>29</v>
      </c>
      <c r="K33" s="9"/>
      <c r="L33" s="9"/>
      <c r="M33" s="9"/>
      <c r="N33" s="13">
        <f>IFERROR(__xludf.DUMMYFUNCTION("""COMPUTED_VALUE"""),0.2413793103448276)</f>
        <v>0.2413793103</v>
      </c>
      <c r="O33" s="9"/>
      <c r="P33" s="9"/>
      <c r="Q33" s="12">
        <f>IFERROR(__xludf.DUMMYFUNCTION("""COMPUTED_VALUE"""),7.0)</f>
        <v>7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2">
        <f>IFERROR(__xludf.DUMMYFUNCTION("""COMPUTED_VALUE"""),10.0)</f>
        <v>10</v>
      </c>
      <c r="D34" s="9"/>
      <c r="E34" s="9"/>
      <c r="F34" s="9"/>
      <c r="G34" s="13">
        <f>IFERROR(__xludf.DUMMYFUNCTION("""COMPUTED_VALUE"""),1.0)</f>
        <v>1</v>
      </c>
      <c r="H34" s="9"/>
      <c r="I34" s="9"/>
      <c r="J34" s="12">
        <f>IFERROR(__xludf.DUMMYFUNCTION("""COMPUTED_VALUE"""),10.0)</f>
        <v>10</v>
      </c>
      <c r="K34" s="9"/>
      <c r="L34" s="9"/>
      <c r="M34" s="9"/>
      <c r="N34" s="13">
        <f>IFERROR(__xludf.DUMMYFUNCTION("""COMPUTED_VALUE"""),0.3)</f>
        <v>0.3</v>
      </c>
      <c r="O34" s="9"/>
      <c r="P34" s="9"/>
      <c r="Q34" s="12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IFERROR(__xludf.DUMMYFUNCTION("""COMPUTED_VALUE"""),"João Vitor Nascimento")</f>
        <v>João Vitor Nascimento</v>
      </c>
      <c r="B35" s="9"/>
      <c r="C35" s="12">
        <f>IFERROR(__xludf.DUMMYFUNCTION("""COMPUTED_VALUE"""),28.0)</f>
        <v>28</v>
      </c>
      <c r="D35" s="9"/>
      <c r="E35" s="9"/>
      <c r="F35" s="9"/>
      <c r="G35" s="13">
        <f>IFERROR(__xludf.DUMMYFUNCTION("""COMPUTED_VALUE"""),0.6428571428571429)</f>
        <v>0.6428571429</v>
      </c>
      <c r="H35" s="9"/>
      <c r="I35" s="9"/>
      <c r="J35" s="12">
        <f>IFERROR(__xludf.DUMMYFUNCTION("""COMPUTED_VALUE"""),18.0)</f>
        <v>18</v>
      </c>
      <c r="K35" s="9"/>
      <c r="L35" s="9"/>
      <c r="M35" s="9"/>
      <c r="N35" s="13">
        <f>IFERROR(__xludf.DUMMYFUNCTION("""COMPUTED_VALUE"""),0.16666666666666666)</f>
        <v>0.1666666667</v>
      </c>
      <c r="O35" s="9"/>
      <c r="P35" s="9"/>
      <c r="Q35" s="12">
        <f>IFERROR(__xludf.DUMMYFUNCTION("""COMPUTED_VALUE"""),3.0)</f>
        <v>3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IFERROR(__xludf.DUMMYFUNCTION("""COMPUTED_VALUE"""),"Ilson Costa Lima")</f>
        <v>Ilson Costa Lima</v>
      </c>
      <c r="B36" s="9"/>
      <c r="C36" s="12">
        <f>IFERROR(__xludf.DUMMYFUNCTION("""COMPUTED_VALUE"""),4.0)</f>
        <v>4</v>
      </c>
      <c r="D36" s="9"/>
      <c r="E36" s="9"/>
      <c r="F36" s="9"/>
      <c r="G36" s="13">
        <f>IFERROR(__xludf.DUMMYFUNCTION("""COMPUTED_VALUE"""),1.25)</f>
        <v>1.25</v>
      </c>
      <c r="H36" s="9"/>
      <c r="I36" s="9"/>
      <c r="J36" s="12">
        <f>IFERROR(__xludf.DUMMYFUNCTION("""COMPUTED_VALUE"""),5.0)</f>
        <v>5</v>
      </c>
      <c r="K36" s="9"/>
      <c r="L36" s="9"/>
      <c r="M36" s="9"/>
      <c r="N36" s="13">
        <f>IFERROR(__xludf.DUMMYFUNCTION("""COMPUTED_VALUE"""),0.4)</f>
        <v>0.4</v>
      </c>
      <c r="O36" s="9"/>
      <c r="P36" s="9"/>
      <c r="Q36" s="12">
        <f>IFERROR(__xludf.DUMMYFUNCTION("""COMPUTED_VALUE"""),2.0)</f>
        <v>2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2">
        <f>IFERROR(__xludf.DUMMYFUNCTION("""COMPUTED_VALUE"""),338.7096774193546)</f>
        <v>338.7096774</v>
      </c>
      <c r="C37" s="12">
        <f>IFERROR(__xludf.DUMMYFUNCTION("""COMPUTED_VALUE"""),418.0)</f>
        <v>418</v>
      </c>
      <c r="D37" s="12">
        <f>IFERROR(__xludf.DUMMYFUNCTION("""COMPUTED_VALUE"""),79.29032258064541)</f>
        <v>79.29032258</v>
      </c>
      <c r="E37" s="13">
        <f>IFERROR(__xludf.DUMMYFUNCTION("""COMPUTED_VALUE"""),0.234095238095239)</f>
        <v>0.2340952381</v>
      </c>
      <c r="F37" s="13">
        <f>IFERROR(__xludf.DUMMYFUNCTION("""COMPUTED_VALUE"""),0.8420724459024018)</f>
        <v>0.8420724459</v>
      </c>
      <c r="G37" s="13">
        <f>IFERROR(__xludf.DUMMYFUNCTION("""COMPUTED_VALUE"""),0.8397129186602871)</f>
        <v>0.8397129187</v>
      </c>
      <c r="H37" s="36">
        <f>IFERROR(__xludf.DUMMYFUNCTION("""COMPUTED_VALUE"""),-0.2359527242114745)</f>
        <v>-0.2359527242</v>
      </c>
      <c r="I37" s="12">
        <f>IFERROR(__xludf.DUMMYFUNCTION("""COMPUTED_VALUE"""),285.21808651532945)</f>
        <v>285.2180865</v>
      </c>
      <c r="J37" s="12">
        <f>IFERROR(__xludf.DUMMYFUNCTION("""COMPUTED_VALUE"""),351.0)</f>
        <v>351</v>
      </c>
      <c r="K37" s="12">
        <f>IFERROR(__xludf.DUMMYFUNCTION("""COMPUTED_VALUE"""),65.78191348467055)</f>
        <v>65.78191348</v>
      </c>
      <c r="L37" s="13">
        <f>IFERROR(__xludf.DUMMYFUNCTION("""COMPUTED_VALUE"""),0.23063724425181226)</f>
        <v>0.2306372443</v>
      </c>
      <c r="M37" s="13">
        <f>IFERROR(__xludf.DUMMYFUNCTION("""COMPUTED_VALUE"""),0.33376666666666704)</f>
        <v>0.3337666667</v>
      </c>
      <c r="N37" s="13">
        <f>IFERROR(__xludf.DUMMYFUNCTION("""COMPUTED_VALUE"""),0.452991452991453)</f>
        <v>0.452991453</v>
      </c>
      <c r="O37" s="36">
        <f>IFERROR(__xludf.DUMMYFUNCTION("""COMPUTED_VALUE"""),11.922478632478594)</f>
        <v>11.92247863</v>
      </c>
      <c r="P37" s="12">
        <f>IFERROR(__xludf.DUMMYFUNCTION("""COMPUTED_VALUE"""),95.19629000926656)</f>
        <v>95.19629001</v>
      </c>
      <c r="Q37" s="12">
        <f>IFERROR(__xludf.DUMMYFUNCTION("""COMPUTED_VALUE"""),159.0)</f>
        <v>159</v>
      </c>
      <c r="R37" s="12">
        <f>IFERROR(__xludf.DUMMYFUNCTION("""COMPUTED_VALUE"""),63.80370999073344)</f>
        <v>63.80370999</v>
      </c>
      <c r="S37" s="13">
        <f>IFERROR(__xludf.DUMMYFUNCTION("""COMPUTED_VALUE"""),0.6702331570329335)</f>
        <v>0.670233157</v>
      </c>
      <c r="T37" s="12">
        <f>IFERROR(__xludf.DUMMYFUNCTION("""COMPUTED_VALUE"""),397896.44264967914)</f>
        <v>397896.4426</v>
      </c>
      <c r="U37" s="15">
        <f>IFERROR(__xludf.DUMMYFUNCTION("""COMPUTED_VALUE"""),4240.0)</f>
        <v>4240</v>
      </c>
      <c r="V37" s="15">
        <f>IFERROR(__xludf.DUMMYFUNCTION("""COMPUTED_VALUE"""),278915.31317500316)</f>
        <v>278915.3132</v>
      </c>
      <c r="W37" s="13">
        <f>IFERROR(__xludf.DUMMYFUNCTION("""COMPUTED_VALUE"""),0.7009746337957818)</f>
        <v>0.7009746338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2" t="str">
        <f>IFERROR(__xludf.DUMMYFUNCTION("""COMPUTED_VALUE"""),"#REF!")</f>
        <v>#REF!</v>
      </c>
      <c r="D38" s="9"/>
      <c r="E38" s="9"/>
      <c r="F38" s="9"/>
      <c r="G38" s="13" t="str">
        <f>IFERROR(__xludf.DUMMYFUNCTION("""COMPUTED_VALUE"""),"#REF!")</f>
        <v>#REF!</v>
      </c>
      <c r="H38" s="9"/>
      <c r="I38" s="9"/>
      <c r="J38" s="12" t="str">
        <f>IFERROR(__xludf.DUMMYFUNCTION("""COMPUTED_VALUE"""),"#REF!")</f>
        <v>#REF!</v>
      </c>
      <c r="K38" s="9"/>
      <c r="L38" s="9"/>
      <c r="M38" s="9"/>
      <c r="N38" s="13" t="str">
        <f>IFERROR(__xludf.DUMMYFUNCTION("""COMPUTED_VALUE"""),"#REF!")</f>
        <v>#REF!</v>
      </c>
      <c r="O38" s="9"/>
      <c r="P38" s="9"/>
      <c r="Q38" s="12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2">
        <f>IFERROR(__xludf.DUMMYFUNCTION("""COMPUTED_VALUE"""),77.22580645161285)</f>
        <v>77.22580645</v>
      </c>
      <c r="C49" s="12">
        <f>IFERROR(__xludf.DUMMYFUNCTION("""COMPUTED_VALUE"""),86.0)</f>
        <v>86</v>
      </c>
      <c r="D49" s="12">
        <f>IFERROR(__xludf.DUMMYFUNCTION("""COMPUTED_VALUE"""),8.774193548387146)</f>
        <v>8.774193548</v>
      </c>
      <c r="E49" s="13">
        <f>IFERROR(__xludf.DUMMYFUNCTION("""COMPUTED_VALUE"""),0.11361737677527221)</f>
        <v>0.1136173768</v>
      </c>
      <c r="F49" s="13">
        <f>IFERROR(__xludf.DUMMYFUNCTION("""COMPUTED_VALUE"""),0.6999999999999998)</f>
        <v>0.7</v>
      </c>
      <c r="G49" s="13">
        <f>IFERROR(__xludf.DUMMYFUNCTION("""COMPUTED_VALUE"""),0.7209302325581395)</f>
        <v>0.7209302326</v>
      </c>
      <c r="H49" s="36">
        <f>IFERROR(__xludf.DUMMYFUNCTION("""COMPUTED_VALUE"""),2.093023255813964)</f>
        <v>2.093023256</v>
      </c>
      <c r="I49" s="12">
        <f>IFERROR(__xludf.DUMMYFUNCTION("""COMPUTED_VALUE"""),54.05806451612899)</f>
        <v>54.05806452</v>
      </c>
      <c r="J49" s="12">
        <f>IFERROR(__xludf.DUMMYFUNCTION("""COMPUTED_VALUE"""),62.0)</f>
        <v>62</v>
      </c>
      <c r="K49" s="12">
        <f>IFERROR(__xludf.DUMMYFUNCTION("""COMPUTED_VALUE"""),7.9419354838710134)</f>
        <v>7.941935484</v>
      </c>
      <c r="L49" s="13">
        <f>IFERROR(__xludf.DUMMYFUNCTION("""COMPUTED_VALUE"""),0.14691490631340354)</f>
        <v>0.1469149063</v>
      </c>
      <c r="M49" s="13">
        <f>IFERROR(__xludf.DUMMYFUNCTION("""COMPUTED_VALUE"""),0.274866666666667)</f>
        <v>0.2748666667</v>
      </c>
      <c r="N49" s="13">
        <f>IFERROR(__xludf.DUMMYFUNCTION("""COMPUTED_VALUE"""),0.20967741935483872)</f>
        <v>0.2096774194</v>
      </c>
      <c r="O49" s="36">
        <f>IFERROR(__xludf.DUMMYFUNCTION("""COMPUTED_VALUE"""),-6.5189247311828264)</f>
        <v>-6.518924731</v>
      </c>
      <c r="P49" s="12">
        <f>IFERROR(__xludf.DUMMYFUNCTION("""COMPUTED_VALUE"""),14.858760000000004)</f>
        <v>14.85876</v>
      </c>
      <c r="Q49" s="12">
        <f>IFERROR(__xludf.DUMMYFUNCTION("""COMPUTED_VALUE"""),13.0)</f>
        <v>13</v>
      </c>
      <c r="R49" s="12">
        <f>IFERROR(__xludf.DUMMYFUNCTION("""COMPUTED_VALUE"""),-1.8587600000000037)</f>
        <v>-1.85876</v>
      </c>
      <c r="S49" s="13">
        <f>IFERROR(__xludf.DUMMYFUNCTION("""COMPUTED_VALUE"""),-0.1250952300191943)</f>
        <v>-0.12509523</v>
      </c>
      <c r="T49" s="12">
        <f>IFERROR(__xludf.DUMMYFUNCTION("""COMPUTED_VALUE"""),123039.91728)</f>
        <v>123039.9173</v>
      </c>
      <c r="U49" s="15">
        <f>IFERROR(__xludf.DUMMYFUNCTION("""COMPUTED_VALUE"""),8400.0)</f>
        <v>8400</v>
      </c>
      <c r="V49" s="15">
        <f>IFERROR(__xludf.DUMMYFUNCTION("""COMPUTED_VALUE"""),66712.25806451651)</f>
        <v>66712.25806</v>
      </c>
      <c r="W49" s="13">
        <f>IFERROR(__xludf.DUMMYFUNCTION("""COMPUTED_VALUE"""),0.5422001212232651)</f>
        <v>0.5422001212</v>
      </c>
      <c r="X49" s="9"/>
      <c r="Y49" s="9"/>
      <c r="Z49" s="9"/>
    </row>
    <row r="50">
      <c r="A50" s="9" t="str">
        <f>IFERROR(__xludf.DUMMYFUNCTION("""COMPUTED_VALUE"""),"Christian Lopes")</f>
        <v>Christian Lopes</v>
      </c>
      <c r="B50" s="9"/>
      <c r="C50" s="12">
        <f>IFERROR(__xludf.DUMMYFUNCTION("""COMPUTED_VALUE"""),11.0)</f>
        <v>11</v>
      </c>
      <c r="D50" s="9"/>
      <c r="E50" s="9"/>
      <c r="F50" s="9"/>
      <c r="G50" s="13">
        <f>IFERROR(__xludf.DUMMYFUNCTION("""COMPUTED_VALUE"""),0.5454545454545454)</f>
        <v>0.5454545455</v>
      </c>
      <c r="H50" s="9"/>
      <c r="I50" s="9"/>
      <c r="J50" s="12">
        <f>IFERROR(__xludf.DUMMYFUNCTION("""COMPUTED_VALUE"""),6.0)</f>
        <v>6</v>
      </c>
      <c r="K50" s="9"/>
      <c r="L50" s="9"/>
      <c r="M50" s="9"/>
      <c r="N50" s="13">
        <f>IFERROR(__xludf.DUMMYFUNCTION("""COMPUTED_VALUE"""),0.5)</f>
        <v>0.5</v>
      </c>
      <c r="O50" s="9"/>
      <c r="P50" s="9"/>
      <c r="Q50" s="12">
        <f>IFERROR(__xludf.DUMMYFUNCTION("""COMPUTED_VALUE"""),3.0)</f>
        <v>3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IFERROR(__xludf.DUMMYFUNCTION("""COMPUTED_VALUE"""),"Matheus Mariano")</f>
        <v>Matheus Mariano</v>
      </c>
      <c r="B51" s="9"/>
      <c r="C51" s="12">
        <f>IFERROR(__xludf.DUMMYFUNCTION("""COMPUTED_VALUE"""),8.0)</f>
        <v>8</v>
      </c>
      <c r="D51" s="9"/>
      <c r="E51" s="9"/>
      <c r="F51" s="9"/>
      <c r="G51" s="13">
        <f>IFERROR(__xludf.DUMMYFUNCTION("""COMPUTED_VALUE"""),0.5)</f>
        <v>0.5</v>
      </c>
      <c r="H51" s="9"/>
      <c r="I51" s="9"/>
      <c r="J51" s="12">
        <f>IFERROR(__xludf.DUMMYFUNCTION("""COMPUTED_VALUE"""),4.0)</f>
        <v>4</v>
      </c>
      <c r="K51" s="9"/>
      <c r="L51" s="9"/>
      <c r="M51" s="9"/>
      <c r="N51" s="13">
        <f>IFERROR(__xludf.DUMMYFUNCTION("""COMPUTED_VALUE"""),0.5)</f>
        <v>0.5</v>
      </c>
      <c r="O51" s="9"/>
      <c r="P51" s="9"/>
      <c r="Q51" s="12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IFERROR(__xludf.DUMMYFUNCTION("""COMPUTED_VALUE"""),"Nathan Nascimento")</f>
        <v>Nathan Nascimento</v>
      </c>
      <c r="B52" s="9"/>
      <c r="C52" s="12">
        <f>IFERROR(__xludf.DUMMYFUNCTION("""COMPUTED_VALUE"""),8.0)</f>
        <v>8</v>
      </c>
      <c r="D52" s="9"/>
      <c r="E52" s="9"/>
      <c r="F52" s="9"/>
      <c r="G52" s="13">
        <f>IFERROR(__xludf.DUMMYFUNCTION("""COMPUTED_VALUE"""),0.75)</f>
        <v>0.75</v>
      </c>
      <c r="H52" s="9"/>
      <c r="I52" s="9"/>
      <c r="J52" s="12">
        <f>IFERROR(__xludf.DUMMYFUNCTION("""COMPUTED_VALUE"""),6.0)</f>
        <v>6</v>
      </c>
      <c r="K52" s="9"/>
      <c r="L52" s="9"/>
      <c r="M52" s="9"/>
      <c r="N52" s="13">
        <f>IFERROR(__xludf.DUMMYFUNCTION("""COMPUTED_VALUE"""),0.3333333333333333)</f>
        <v>0.3333333333</v>
      </c>
      <c r="O52" s="9"/>
      <c r="P52" s="9"/>
      <c r="Q52" s="12">
        <f>IFERROR(__xludf.DUMMYFUNCTION("""COMPUTED_VALUE"""),2.0)</f>
        <v>2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IFERROR(__xludf.DUMMYFUNCTION("""COMPUTED_VALUE"""),"Pablo Maia")</f>
        <v>Pablo Maia</v>
      </c>
      <c r="B53" s="9"/>
      <c r="C53" s="12">
        <f>IFERROR(__xludf.DUMMYFUNCTION("""COMPUTED_VALUE"""),10.0)</f>
        <v>10</v>
      </c>
      <c r="D53" s="9"/>
      <c r="E53" s="9"/>
      <c r="F53" s="9"/>
      <c r="G53" s="13">
        <f>IFERROR(__xludf.DUMMYFUNCTION("""COMPUTED_VALUE"""),0.7)</f>
        <v>0.7</v>
      </c>
      <c r="H53" s="9"/>
      <c r="I53" s="9"/>
      <c r="J53" s="12">
        <f>IFERROR(__xludf.DUMMYFUNCTION("""COMPUTED_VALUE"""),7.0)</f>
        <v>7</v>
      </c>
      <c r="K53" s="9"/>
      <c r="L53" s="9"/>
      <c r="M53" s="9"/>
      <c r="N53" s="13">
        <f>IFERROR(__xludf.DUMMYFUNCTION("""COMPUTED_VALUE"""),0.2857142857142857)</f>
        <v>0.2857142857</v>
      </c>
      <c r="O53" s="9"/>
      <c r="P53" s="9"/>
      <c r="Q53" s="12">
        <f>IFERROR(__xludf.DUMMYFUNCTION("""COMPUTED_VALUE"""),2.0)</f>
        <v>2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IFERROR(__xludf.DUMMYFUNCTION("""COMPUTED_VALUE"""),"Gustavo Pereira")</f>
        <v>Gustavo Pereira</v>
      </c>
      <c r="B54" s="9"/>
      <c r="C54" s="12">
        <f>IFERROR(__xludf.DUMMYFUNCTION("""COMPUTED_VALUE"""),1.0)</f>
        <v>1</v>
      </c>
      <c r="D54" s="9"/>
      <c r="E54" s="9"/>
      <c r="F54" s="9"/>
      <c r="G54" s="13">
        <f>IFERROR(__xludf.DUMMYFUNCTION("""COMPUTED_VALUE"""),1.0)</f>
        <v>1</v>
      </c>
      <c r="H54" s="9"/>
      <c r="I54" s="9"/>
      <c r="J54" s="12">
        <f>IFERROR(__xludf.DUMMYFUNCTION("""COMPUTED_VALUE"""),1.0)</f>
        <v>1</v>
      </c>
      <c r="K54" s="9"/>
      <c r="L54" s="9"/>
      <c r="M54" s="9"/>
      <c r="N54" s="13">
        <f>IFERROR(__xludf.DUMMYFUNCTION("""COMPUTED_VALUE"""),1.0)</f>
        <v>1</v>
      </c>
      <c r="O54" s="9"/>
      <c r="P54" s="9"/>
      <c r="Q54" s="12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IFERROR(__xludf.DUMMYFUNCTION("""COMPUTED_VALUE"""),"Leonardo Alencar")</f>
        <v>Leonardo Alencar</v>
      </c>
      <c r="B55" s="9"/>
      <c r="C55" s="12">
        <f>IFERROR(__xludf.DUMMYFUNCTION("""COMPUTED_VALUE"""),8.0)</f>
        <v>8</v>
      </c>
      <c r="D55" s="9"/>
      <c r="E55" s="9"/>
      <c r="F55" s="9"/>
      <c r="G55" s="13">
        <f>IFERROR(__xludf.DUMMYFUNCTION("""COMPUTED_VALUE"""),0.875)</f>
        <v>0.875</v>
      </c>
      <c r="H55" s="9"/>
      <c r="I55" s="9"/>
      <c r="J55" s="12">
        <f>IFERROR(__xludf.DUMMYFUNCTION("""COMPUTED_VALUE"""),7.0)</f>
        <v>7</v>
      </c>
      <c r="K55" s="9"/>
      <c r="L55" s="9"/>
      <c r="M55" s="9"/>
      <c r="N55" s="13">
        <f>IFERROR(__xludf.DUMMYFUNCTION("""COMPUTED_VALUE"""),0.14285714285714285)</f>
        <v>0.1428571429</v>
      </c>
      <c r="O55" s="9"/>
      <c r="P55" s="9"/>
      <c r="Q55" s="12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IFERROR(__xludf.DUMMYFUNCTION("""COMPUTED_VALUE"""),"João Vitor Nascimento")</f>
        <v>João Vitor Nascimento</v>
      </c>
      <c r="B56" s="9"/>
      <c r="C56" s="12">
        <f>IFERROR(__xludf.DUMMYFUNCTION("""COMPUTED_VALUE"""),7.0)</f>
        <v>7</v>
      </c>
      <c r="D56" s="9"/>
      <c r="E56" s="9"/>
      <c r="F56" s="9"/>
      <c r="G56" s="13">
        <f>IFERROR(__xludf.DUMMYFUNCTION("""COMPUTED_VALUE"""),1.0)</f>
        <v>1</v>
      </c>
      <c r="H56" s="9"/>
      <c r="I56" s="9"/>
      <c r="J56" s="12">
        <f>IFERROR(__xludf.DUMMYFUNCTION("""COMPUTED_VALUE"""),7.0)</f>
        <v>7</v>
      </c>
      <c r="K56" s="9"/>
      <c r="L56" s="9"/>
      <c r="M56" s="9"/>
      <c r="N56" s="13">
        <f>IFERROR(__xludf.DUMMYFUNCTION("""COMPUTED_VALUE"""),0.14285714285714285)</f>
        <v>0.1428571429</v>
      </c>
      <c r="O56" s="9"/>
      <c r="P56" s="9"/>
      <c r="Q56" s="12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IFERROR(__xludf.DUMMYFUNCTION("""COMPUTED_VALUE"""),"Bruno Xavier")</f>
        <v>Bruno Xavier</v>
      </c>
      <c r="B57" s="9"/>
      <c r="C57" s="12">
        <f>IFERROR(__xludf.DUMMYFUNCTION("""COMPUTED_VALUE"""),8.0)</f>
        <v>8</v>
      </c>
      <c r="D57" s="9"/>
      <c r="E57" s="9"/>
      <c r="F57" s="9"/>
      <c r="G57" s="13">
        <f>IFERROR(__xludf.DUMMYFUNCTION("""COMPUTED_VALUE"""),1.0)</f>
        <v>1</v>
      </c>
      <c r="H57" s="9"/>
      <c r="I57" s="9"/>
      <c r="J57" s="12">
        <f>IFERROR(__xludf.DUMMYFUNCTION("""COMPUTED_VALUE"""),8.0)</f>
        <v>8</v>
      </c>
      <c r="K57" s="9"/>
      <c r="L57" s="9"/>
      <c r="M57" s="9"/>
      <c r="N57" s="13">
        <f>IFERROR(__xludf.DUMMYFUNCTION("""COMPUTED_VALUE"""),0.125)</f>
        <v>0.125</v>
      </c>
      <c r="O57" s="9"/>
      <c r="P57" s="9"/>
      <c r="Q57" s="12">
        <f>IFERROR(__xludf.DUMMYFUNCTION("""COMPUTED_VALUE"""),1.0)</f>
        <v>1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IFERROR(__xludf.DUMMYFUNCTION("""COMPUTED_VALUE"""),"Nicolas Miranda")</f>
        <v>Nicolas Miranda</v>
      </c>
      <c r="B58" s="9"/>
      <c r="C58" s="12">
        <f>IFERROR(__xludf.DUMMYFUNCTION("""COMPUTED_VALUE"""),8.0)</f>
        <v>8</v>
      </c>
      <c r="D58" s="9"/>
      <c r="E58" s="9"/>
      <c r="F58" s="9"/>
      <c r="G58" s="13">
        <f>IFERROR(__xludf.DUMMYFUNCTION("""COMPUTED_VALUE"""),0.625)</f>
        <v>0.625</v>
      </c>
      <c r="H58" s="9"/>
      <c r="I58" s="9"/>
      <c r="J58" s="12">
        <f>IFERROR(__xludf.DUMMYFUNCTION("""COMPUTED_VALUE"""),5.0)</f>
        <v>5</v>
      </c>
      <c r="K58" s="9"/>
      <c r="L58" s="9"/>
      <c r="M58" s="9"/>
      <c r="N58" s="13">
        <f>IFERROR(__xludf.DUMMYFUNCTION("""COMPUTED_VALUE"""),0.0)</f>
        <v>0</v>
      </c>
      <c r="O58" s="9"/>
      <c r="P58" s="9"/>
      <c r="Q58" s="12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IFERROR(__xludf.DUMMYFUNCTION("""COMPUTED_VALUE"""),"Luiz Felipe")</f>
        <v>Luiz Felipe</v>
      </c>
      <c r="B59" s="9"/>
      <c r="C59" s="12">
        <f>IFERROR(__xludf.DUMMYFUNCTION("""COMPUTED_VALUE"""),6.0)</f>
        <v>6</v>
      </c>
      <c r="D59" s="9"/>
      <c r="E59" s="9"/>
      <c r="F59" s="9"/>
      <c r="G59" s="13">
        <f>IFERROR(__xludf.DUMMYFUNCTION("""COMPUTED_VALUE"""),0.5)</f>
        <v>0.5</v>
      </c>
      <c r="H59" s="9"/>
      <c r="I59" s="9"/>
      <c r="J59" s="12">
        <f>IFERROR(__xludf.DUMMYFUNCTION("""COMPUTED_VALUE"""),3.0)</f>
        <v>3</v>
      </c>
      <c r="K59" s="9"/>
      <c r="L59" s="9"/>
      <c r="M59" s="9"/>
      <c r="N59" s="13">
        <f>IFERROR(__xludf.DUMMYFUNCTION("""COMPUTED_VALUE"""),0.0)</f>
        <v>0</v>
      </c>
      <c r="O59" s="9"/>
      <c r="P59" s="9"/>
      <c r="Q59" s="12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2">
        <f>IFERROR(__xludf.DUMMYFUNCTION("""COMPUTED_VALUE"""),1468.258064516128)</f>
        <v>1468.258065</v>
      </c>
      <c r="C60" s="12" t="str">
        <f>IFERROR(__xludf.DUMMYFUNCTION("""COMPUTED_VALUE"""),"#REF!")</f>
        <v>#REF!</v>
      </c>
      <c r="D60" s="9" t="str">
        <f>IFERROR(__xludf.DUMMYFUNCTION("""COMPUTED_VALUE"""),"#REF!")</f>
        <v>#REF!</v>
      </c>
      <c r="E60" s="13" t="str">
        <f>IFERROR(__xludf.DUMMYFUNCTION("""COMPUTED_VALUE"""),"#REF!")</f>
        <v>#REF!</v>
      </c>
      <c r="F60" s="13">
        <f>IFERROR(__xludf.DUMMYFUNCTION("""COMPUTED_VALUE"""),0.7391240265256913)</f>
        <v>0.7391240265</v>
      </c>
      <c r="G60" s="13" t="str">
        <f>IFERROR(__xludf.DUMMYFUNCTION("""COMPUTED_VALUE"""),"#REF!")</f>
        <v>#REF!</v>
      </c>
      <c r="H60" s="36" t="str">
        <f>IFERROR(__xludf.DUMMYFUNCTION("""COMPUTED_VALUE"""),"#REF!")</f>
        <v>#REF!</v>
      </c>
      <c r="I60" s="12">
        <f>IFERROR(__xludf.DUMMYFUNCTION("""COMPUTED_VALUE"""),1085.2248126239788)</f>
        <v>1085.224813</v>
      </c>
      <c r="J60" s="12" t="str">
        <f>IFERROR(__xludf.DUMMYFUNCTION("""COMPUTED_VALUE"""),"#REF!")</f>
        <v>#REF!</v>
      </c>
      <c r="K60" s="9" t="str">
        <f>IFERROR(__xludf.DUMMYFUNCTION("""COMPUTED_VALUE"""),"#REF!")</f>
        <v>#REF!</v>
      </c>
      <c r="L60" s="13" t="str">
        <f>IFERROR(__xludf.DUMMYFUNCTION("""COMPUTED_VALUE"""),"#REF!")</f>
        <v>#REF!</v>
      </c>
      <c r="M60" s="13">
        <f>IFERROR(__xludf.DUMMYFUNCTION("""COMPUTED_VALUE"""),0.34020806939689957)</f>
        <v>0.3402080694</v>
      </c>
      <c r="N60" s="13" t="str">
        <f>IFERROR(__xludf.DUMMYFUNCTION("""COMPUTED_VALUE"""),"#REF!")</f>
        <v>#REF!</v>
      </c>
      <c r="O60" s="36" t="str">
        <f>IFERROR(__xludf.DUMMYFUNCTION("""COMPUTED_VALUE"""),"#REF!")</f>
        <v>#REF!</v>
      </c>
      <c r="P60" s="12">
        <f>IFERROR(__xludf.DUMMYFUNCTION("""COMPUTED_VALUE"""),369.2022383644159)</f>
        <v>369.2022384</v>
      </c>
      <c r="Q60" s="12" t="str">
        <f>IFERROR(__xludf.DUMMYFUNCTION("""COMPUTED_VALUE"""),"#REF!")</f>
        <v>#REF!</v>
      </c>
      <c r="R60" s="9" t="str">
        <f>IFERROR(__xludf.DUMMYFUNCTION("""COMPUTED_VALUE"""),"#REF!")</f>
        <v>#REF!</v>
      </c>
      <c r="S60" s="13" t="str">
        <f>IFERROR(__xludf.DUMMYFUNCTION("""COMPUTED_VALUE"""),"#REF!")</f>
        <v>#REF!</v>
      </c>
      <c r="T60" s="12">
        <f>IFERROR(__xludf.DUMMYFUNCTION("""COMPUTED_VALUE"""),2130701.697803617)</f>
        <v>2130701.698</v>
      </c>
      <c r="U60" s="15">
        <f>IFERROR(__xludf.DUMMYFUNCTION("""COMPUTED_VALUE"""),5854.288896925282)</f>
        <v>5854.288897</v>
      </c>
      <c r="V60" s="15">
        <f>IFERROR(__xludf.DUMMYFUNCTION("""COMPUTED_VALUE"""),202578.5406700345)</f>
        <v>202578.5407</v>
      </c>
      <c r="W60" s="13">
        <f>IFERROR(__xludf.DUMMYFUNCTION("""COMPUTED_VALUE"""),0.09507597467954232)</f>
        <v>0.09507597468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2">
        <f>IFERROR(__xludf.DUMMYFUNCTION("""COMPUTED_VALUE"""),447.0967741935481)</f>
        <v>447.0967742</v>
      </c>
      <c r="C61" s="12">
        <f>IFERROR(__xludf.DUMMYFUNCTION("""COMPUTED_VALUE"""),403.0)</f>
        <v>403</v>
      </c>
      <c r="D61" s="12">
        <f>IFERROR(__xludf.DUMMYFUNCTION("""COMPUTED_VALUE"""),-44.09677419354807)</f>
        <v>-44.09677419</v>
      </c>
      <c r="E61" s="13">
        <f>IFERROR(__xludf.DUMMYFUNCTION("""COMPUTED_VALUE"""),-0.098629148629148)</f>
        <v>-0.09862914863</v>
      </c>
      <c r="F61" s="13">
        <f>IFERROR(__xludf.DUMMYFUNCTION("""COMPUTED_VALUE"""),0.8681746999803266)</f>
        <v>0.8681747</v>
      </c>
      <c r="G61" s="13">
        <f>IFERROR(__xludf.DUMMYFUNCTION("""COMPUTED_VALUE"""),0.7121588089330024)</f>
        <v>0.7121588089</v>
      </c>
      <c r="H61" s="36">
        <f>IFERROR(__xludf.DUMMYFUNCTION("""COMPUTED_VALUE"""),-15.601589104732415)</f>
        <v>-15.6015891</v>
      </c>
      <c r="I61" s="12">
        <f>IFERROR(__xludf.DUMMYFUNCTION("""COMPUTED_VALUE"""),388.1581077976554)</f>
        <v>388.1581078</v>
      </c>
      <c r="J61" s="12">
        <f>IFERROR(__xludf.DUMMYFUNCTION("""COMPUTED_VALUE"""),287.0)</f>
        <v>287</v>
      </c>
      <c r="K61" s="12">
        <f>IFERROR(__xludf.DUMMYFUNCTION("""COMPUTED_VALUE"""),-101.15810779765542)</f>
        <v>-101.1581078</v>
      </c>
      <c r="L61" s="13">
        <f>IFERROR(__xludf.DUMMYFUNCTION("""COMPUTED_VALUE"""),-0.26061057534418053)</f>
        <v>-0.2606105753</v>
      </c>
      <c r="M61" s="13">
        <f>IFERROR(__xludf.DUMMYFUNCTION("""COMPUTED_VALUE"""),0.31413333333333365)</f>
        <v>0.3141333333</v>
      </c>
      <c r="N61" s="13">
        <f>IFERROR(__xludf.DUMMYFUNCTION("""COMPUTED_VALUE"""),0.45993031358885017)</f>
        <v>0.4599303136</v>
      </c>
      <c r="O61" s="36">
        <f>IFERROR(__xludf.DUMMYFUNCTION("""COMPUTED_VALUE"""),14.579698025551652)</f>
        <v>14.57969803</v>
      </c>
      <c r="P61" s="12">
        <f>IFERROR(__xludf.DUMMYFUNCTION("""COMPUTED_VALUE"""),121.93340026283694)</f>
        <v>121.9334003</v>
      </c>
      <c r="Q61" s="12">
        <f>IFERROR(__xludf.DUMMYFUNCTION("""COMPUTED_VALUE"""),132.0)</f>
        <v>132</v>
      </c>
      <c r="R61" s="12">
        <f>IFERROR(__xludf.DUMMYFUNCTION("""COMPUTED_VALUE"""),10.06659973716306)</f>
        <v>10.06659974</v>
      </c>
      <c r="S61" s="13">
        <f>IFERROR(__xludf.DUMMYFUNCTION("""COMPUTED_VALUE"""),0.08255818106822019)</f>
        <v>0.08255818107</v>
      </c>
      <c r="T61" s="12">
        <f>IFERROR(__xludf.DUMMYFUNCTION("""COMPUTED_VALUE"""),610018.3620333628)</f>
        <v>610018.362</v>
      </c>
      <c r="U61" s="15">
        <f>IFERROR(__xludf.DUMMYFUNCTION("""COMPUTED_VALUE"""),5074.999999999999)</f>
        <v>5075</v>
      </c>
      <c r="V61" s="15">
        <f>IFERROR(__xludf.DUMMYFUNCTION("""COMPUTED_VALUE"""),-513377.39707310114)</f>
        <v>-513377.3971</v>
      </c>
      <c r="W61" s="13">
        <f>IFERROR(__xludf.DUMMYFUNCTION("""COMPUTED_VALUE"""),-0.841576957391692)</f>
        <v>-0.8415769574</v>
      </c>
      <c r="X61" s="9"/>
      <c r="Y61" s="9"/>
      <c r="Z61" s="9"/>
    </row>
    <row r="62">
      <c r="A62" s="9" t="str">
        <f>IFERROR(__xludf.DUMMYFUNCTION("""COMPUTED_VALUE"""),"#REF!")</f>
        <v>#REF!</v>
      </c>
      <c r="B62" s="9"/>
      <c r="C62" s="12" t="str">
        <f>IFERROR(__xludf.DUMMYFUNCTION("""COMPUTED_VALUE"""),"#REF!")</f>
        <v>#REF!</v>
      </c>
      <c r="D62" s="9"/>
      <c r="E62" s="9"/>
      <c r="F62" s="9"/>
      <c r="G62" s="13" t="str">
        <f>IFERROR(__xludf.DUMMYFUNCTION("""COMPUTED_VALUE"""),"#REF!")</f>
        <v>#REF!</v>
      </c>
      <c r="H62" s="9"/>
      <c r="I62" s="9"/>
      <c r="J62" s="12" t="str">
        <f>IFERROR(__xludf.DUMMYFUNCTION("""COMPUTED_VALUE"""),"#REF!")</f>
        <v>#REF!</v>
      </c>
      <c r="K62" s="9"/>
      <c r="L62" s="9"/>
      <c r="M62" s="9"/>
      <c r="N62" s="13" t="str">
        <f>IFERROR(__xludf.DUMMYFUNCTION("""COMPUTED_VALUE"""),"#REF!")</f>
        <v>#REF!</v>
      </c>
      <c r="O62" s="9"/>
      <c r="P62" s="9"/>
      <c r="Q62" s="12" t="str">
        <f>IFERROR(__xludf.DUMMYFUNCTION("""COMPUTED_VALUE"""),"#REF!")</f>
        <v>#REF!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2">
        <f>IFERROR(__xludf.DUMMYFUNCTION("""COMPUTED_VALUE"""),174.19354838709666)</f>
        <v>174.1935484</v>
      </c>
      <c r="C72" s="12">
        <f>IFERROR(__xludf.DUMMYFUNCTION("""COMPUTED_VALUE"""),236.0)</f>
        <v>236</v>
      </c>
      <c r="D72" s="12">
        <f>IFERROR(__xludf.DUMMYFUNCTION("""COMPUTED_VALUE"""),61.806451612903345)</f>
        <v>61.80645161</v>
      </c>
      <c r="E72" s="13">
        <f>IFERROR(__xludf.DUMMYFUNCTION("""COMPUTED_VALUE"""),0.35481481481481575)</f>
        <v>0.3548148148</v>
      </c>
      <c r="F72" s="13">
        <f>IFERROR(__xludf.DUMMYFUNCTION("""COMPUTED_VALUE"""),0.7488125590778879)</f>
        <v>0.7488125591</v>
      </c>
      <c r="G72" s="13">
        <f>IFERROR(__xludf.DUMMYFUNCTION("""COMPUTED_VALUE"""),0.711864406779661)</f>
        <v>0.7118644068</v>
      </c>
      <c r="H72" s="36">
        <f>IFERROR(__xludf.DUMMYFUNCTION("""COMPUTED_VALUE"""),-3.69481522982269)</f>
        <v>-3.69481523</v>
      </c>
      <c r="I72" s="12">
        <f>IFERROR(__xludf.DUMMYFUNCTION("""COMPUTED_VALUE"""),130.43831674259974)</f>
        <v>130.4383167</v>
      </c>
      <c r="J72" s="12">
        <f>IFERROR(__xludf.DUMMYFUNCTION("""COMPUTED_VALUE"""),168.0)</f>
        <v>168</v>
      </c>
      <c r="K72" s="12">
        <f>IFERROR(__xludf.DUMMYFUNCTION("""COMPUTED_VALUE"""),37.56168325740026)</f>
        <v>37.56168326</v>
      </c>
      <c r="L72" s="13">
        <f>IFERROR(__xludf.DUMMYFUNCTION("""COMPUTED_VALUE"""),0.2879651025512891)</f>
        <v>0.2879651026</v>
      </c>
      <c r="M72" s="13">
        <f>IFERROR(__xludf.DUMMYFUNCTION("""COMPUTED_VALUE"""),0.2650500000000003)</f>
        <v>0.26505</v>
      </c>
      <c r="N72" s="13">
        <f>IFERROR(__xludf.DUMMYFUNCTION("""COMPUTED_VALUE"""),0.26785714285714285)</f>
        <v>0.2678571429</v>
      </c>
      <c r="O72" s="36">
        <f>IFERROR(__xludf.DUMMYFUNCTION("""COMPUTED_VALUE"""),0.2807142857142564)</f>
        <v>0.2807142857</v>
      </c>
      <c r="P72" s="12">
        <f>IFERROR(__xludf.DUMMYFUNCTION("""COMPUTED_VALUE"""),34.5726758526261)</f>
        <v>34.57267585</v>
      </c>
      <c r="Q72" s="12">
        <f>IFERROR(__xludf.DUMMYFUNCTION("""COMPUTED_VALUE"""),45.0)</f>
        <v>45</v>
      </c>
      <c r="R72" s="12">
        <f>IFERROR(__xludf.DUMMYFUNCTION("""COMPUTED_VALUE"""),10.427324147373902)</f>
        <v>10.42732415</v>
      </c>
      <c r="S72" s="13">
        <f>IFERROR(__xludf.DUMMYFUNCTION("""COMPUTED_VALUE"""),0.3016059327262589)</f>
        <v>0.3016059327</v>
      </c>
      <c r="T72" s="12">
        <f>IFERROR(__xludf.DUMMYFUNCTION("""COMPUTED_VALUE"""),109742.04338302057)</f>
        <v>109742.0434</v>
      </c>
      <c r="U72" s="15">
        <f>IFERROR(__xludf.DUMMYFUNCTION("""COMPUTED_VALUE"""),3220.0)</f>
        <v>3220</v>
      </c>
      <c r="V72" s="15">
        <f>IFERROR(__xludf.DUMMYFUNCTION("""COMPUTED_VALUE"""),120948.62008882884)</f>
        <v>120948.6201</v>
      </c>
      <c r="W72" s="13">
        <f>IFERROR(__xludf.DUMMYFUNCTION("""COMPUTED_VALUE"""),1.1021174415961545)</f>
        <v>1.102117442</v>
      </c>
      <c r="X72" s="9"/>
      <c r="Y72" s="9"/>
      <c r="Z72" s="9"/>
    </row>
    <row r="73">
      <c r="A73" s="9" t="str">
        <f>IFERROR(__xludf.DUMMYFUNCTION("""COMPUTED_VALUE"""),"Thalita Lopes")</f>
        <v>Thalita Lopes</v>
      </c>
      <c r="B73" s="9"/>
      <c r="C73" s="12">
        <f>IFERROR(__xludf.DUMMYFUNCTION("""COMPUTED_VALUE"""),29.0)</f>
        <v>29</v>
      </c>
      <c r="D73" s="9"/>
      <c r="E73" s="9"/>
      <c r="F73" s="9"/>
      <c r="G73" s="13">
        <f>IFERROR(__xludf.DUMMYFUNCTION("""COMPUTED_VALUE"""),0.7241379310344828)</f>
        <v>0.724137931</v>
      </c>
      <c r="H73" s="9"/>
      <c r="I73" s="9"/>
      <c r="J73" s="12">
        <f>IFERROR(__xludf.DUMMYFUNCTION("""COMPUTED_VALUE"""),21.0)</f>
        <v>21</v>
      </c>
      <c r="K73" s="9"/>
      <c r="L73" s="9"/>
      <c r="M73" s="9"/>
      <c r="N73" s="13">
        <f>IFERROR(__xludf.DUMMYFUNCTION("""COMPUTED_VALUE"""),0.47619047619047616)</f>
        <v>0.4761904762</v>
      </c>
      <c r="O73" s="9"/>
      <c r="P73" s="9"/>
      <c r="Q73" s="12">
        <f>IFERROR(__xludf.DUMMYFUNCTION("""COMPUTED_VALUE"""),10.0)</f>
        <v>10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IFERROR(__xludf.DUMMYFUNCTION("""COMPUTED_VALUE"""),"Mariana Jovenato")</f>
        <v>Mariana Jovenato</v>
      </c>
      <c r="B74" s="9"/>
      <c r="C74" s="12">
        <f>IFERROR(__xludf.DUMMYFUNCTION("""COMPUTED_VALUE"""),31.0)</f>
        <v>31</v>
      </c>
      <c r="D74" s="9"/>
      <c r="E74" s="9"/>
      <c r="F74" s="9"/>
      <c r="G74" s="13">
        <f>IFERROR(__xludf.DUMMYFUNCTION("""COMPUTED_VALUE"""),0.7096774193548387)</f>
        <v>0.7096774194</v>
      </c>
      <c r="H74" s="9"/>
      <c r="I74" s="9"/>
      <c r="J74" s="12">
        <f>IFERROR(__xludf.DUMMYFUNCTION("""COMPUTED_VALUE"""),22.0)</f>
        <v>22</v>
      </c>
      <c r="K74" s="9"/>
      <c r="L74" s="9"/>
      <c r="M74" s="9"/>
      <c r="N74" s="13">
        <f>IFERROR(__xludf.DUMMYFUNCTION("""COMPUTED_VALUE"""),0.4090909090909091)</f>
        <v>0.4090909091</v>
      </c>
      <c r="O74" s="9"/>
      <c r="P74" s="9"/>
      <c r="Q74" s="12">
        <f>IFERROR(__xludf.DUMMYFUNCTION("""COMPUTED_VALUE"""),9.0)</f>
        <v>9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2">
        <f>IFERROR(__xludf.DUMMYFUNCTION("""COMPUTED_VALUE"""),30.0)</f>
        <v>30</v>
      </c>
      <c r="D75" s="9"/>
      <c r="E75" s="9"/>
      <c r="F75" s="9"/>
      <c r="G75" s="13">
        <f>IFERROR(__xludf.DUMMYFUNCTION("""COMPUTED_VALUE"""),0.7666666666666667)</f>
        <v>0.7666666667</v>
      </c>
      <c r="H75" s="9"/>
      <c r="I75" s="9"/>
      <c r="J75" s="12">
        <f>IFERROR(__xludf.DUMMYFUNCTION("""COMPUTED_VALUE"""),23.0)</f>
        <v>23</v>
      </c>
      <c r="K75" s="9"/>
      <c r="L75" s="9"/>
      <c r="M75" s="9"/>
      <c r="N75" s="13">
        <f>IFERROR(__xludf.DUMMYFUNCTION("""COMPUTED_VALUE"""),0.34782608695652173)</f>
        <v>0.347826087</v>
      </c>
      <c r="O75" s="9"/>
      <c r="P75" s="9"/>
      <c r="Q75" s="12">
        <f>IFERROR(__xludf.DUMMYFUNCTION("""COMPUTED_VALUE"""),8.0)</f>
        <v>8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IFERROR(__xludf.DUMMYFUNCTION("""COMPUTED_VALUE"""),"Marcio Lucas")</f>
        <v>Marcio Lucas</v>
      </c>
      <c r="B76" s="9"/>
      <c r="C76" s="12">
        <f>IFERROR(__xludf.DUMMYFUNCTION("""COMPUTED_VALUE"""),28.0)</f>
        <v>28</v>
      </c>
      <c r="D76" s="9"/>
      <c r="E76" s="9"/>
      <c r="F76" s="9"/>
      <c r="G76" s="13">
        <f>IFERROR(__xludf.DUMMYFUNCTION("""COMPUTED_VALUE"""),0.7142857142857143)</f>
        <v>0.7142857143</v>
      </c>
      <c r="H76" s="9"/>
      <c r="I76" s="9"/>
      <c r="J76" s="12">
        <f>IFERROR(__xludf.DUMMYFUNCTION("""COMPUTED_VALUE"""),20.0)</f>
        <v>20</v>
      </c>
      <c r="K76" s="9"/>
      <c r="L76" s="9"/>
      <c r="M76" s="9"/>
      <c r="N76" s="13">
        <f>IFERROR(__xludf.DUMMYFUNCTION("""COMPUTED_VALUE"""),0.25)</f>
        <v>0.25</v>
      </c>
      <c r="O76" s="9"/>
      <c r="P76" s="9"/>
      <c r="Q76" s="12">
        <f>IFERROR(__xludf.DUMMYFUNCTION("""COMPUTED_VALUE"""),5.0)</f>
        <v>5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IFERROR(__xludf.DUMMYFUNCTION("""COMPUTED_VALUE"""),"João Rios")</f>
        <v>João Rios</v>
      </c>
      <c r="B77" s="9"/>
      <c r="C77" s="12">
        <f>IFERROR(__xludf.DUMMYFUNCTION("""COMPUTED_VALUE"""),24.0)</f>
        <v>24</v>
      </c>
      <c r="D77" s="9"/>
      <c r="E77" s="9"/>
      <c r="F77" s="9"/>
      <c r="G77" s="13">
        <f>IFERROR(__xludf.DUMMYFUNCTION("""COMPUTED_VALUE"""),0.625)</f>
        <v>0.625</v>
      </c>
      <c r="H77" s="9"/>
      <c r="I77" s="9"/>
      <c r="J77" s="12">
        <f>IFERROR(__xludf.DUMMYFUNCTION("""COMPUTED_VALUE"""),15.0)</f>
        <v>15</v>
      </c>
      <c r="K77" s="9"/>
      <c r="L77" s="9"/>
      <c r="M77" s="9"/>
      <c r="N77" s="13">
        <f>IFERROR(__xludf.DUMMYFUNCTION("""COMPUTED_VALUE"""),0.26666666666666666)</f>
        <v>0.2666666667</v>
      </c>
      <c r="O77" s="9"/>
      <c r="P77" s="9"/>
      <c r="Q77" s="12">
        <f>IFERROR(__xludf.DUMMYFUNCTION("""COMPUTED_VALUE"""),4.0)</f>
        <v>4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IFERROR(__xludf.DUMMYFUNCTION("""COMPUTED_VALUE"""),"Cauã Andrade")</f>
        <v>Cauã Andrade</v>
      </c>
      <c r="B78" s="9"/>
      <c r="C78" s="12">
        <f>IFERROR(__xludf.DUMMYFUNCTION("""COMPUTED_VALUE"""),28.0)</f>
        <v>28</v>
      </c>
      <c r="D78" s="9"/>
      <c r="E78" s="9"/>
      <c r="F78" s="9"/>
      <c r="G78" s="13">
        <f>IFERROR(__xludf.DUMMYFUNCTION("""COMPUTED_VALUE"""),0.8214285714285714)</f>
        <v>0.8214285714</v>
      </c>
      <c r="H78" s="9"/>
      <c r="I78" s="9"/>
      <c r="J78" s="12">
        <f>IFERROR(__xludf.DUMMYFUNCTION("""COMPUTED_VALUE"""),23.0)</f>
        <v>23</v>
      </c>
      <c r="K78" s="9"/>
      <c r="L78" s="9"/>
      <c r="M78" s="9"/>
      <c r="N78" s="13">
        <f>IFERROR(__xludf.DUMMYFUNCTION("""COMPUTED_VALUE"""),0.17391304347826086)</f>
        <v>0.1739130435</v>
      </c>
      <c r="O78" s="9"/>
      <c r="P78" s="9"/>
      <c r="Q78" s="12">
        <f>IFERROR(__xludf.DUMMYFUNCTION("""COMPUTED_VALUE"""),4.0)</f>
        <v>4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IFERROR(__xludf.DUMMYFUNCTION("""COMPUTED_VALUE"""),"Ilson Costa Lima")</f>
        <v>Ilson Costa Lima</v>
      </c>
      <c r="B79" s="9"/>
      <c r="C79" s="12">
        <f>IFERROR(__xludf.DUMMYFUNCTION("""COMPUTED_VALUE"""),33.0)</f>
        <v>33</v>
      </c>
      <c r="D79" s="9"/>
      <c r="E79" s="9"/>
      <c r="F79" s="9"/>
      <c r="G79" s="13">
        <f>IFERROR(__xludf.DUMMYFUNCTION("""COMPUTED_VALUE"""),0.6060606060606061)</f>
        <v>0.6060606061</v>
      </c>
      <c r="H79" s="9"/>
      <c r="I79" s="9"/>
      <c r="J79" s="12">
        <f>IFERROR(__xludf.DUMMYFUNCTION("""COMPUTED_VALUE"""),20.0)</f>
        <v>20</v>
      </c>
      <c r="K79" s="9"/>
      <c r="L79" s="9"/>
      <c r="M79" s="9"/>
      <c r="N79" s="13">
        <f>IFERROR(__xludf.DUMMYFUNCTION("""COMPUTED_VALUE"""),0.15)</f>
        <v>0.15</v>
      </c>
      <c r="O79" s="9"/>
      <c r="P79" s="9"/>
      <c r="Q79" s="12">
        <f>IFERROR(__xludf.DUMMYFUNCTION("""COMPUTED_VALUE"""),3.0)</f>
        <v>3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IFERROR(__xludf.DUMMYFUNCTION("""COMPUTED_VALUE"""),"João Vitor Nascimento")</f>
        <v>João Vitor Nascimento</v>
      </c>
      <c r="B80" s="9"/>
      <c r="C80" s="12">
        <f>IFERROR(__xludf.DUMMYFUNCTION("""COMPUTED_VALUE"""),1.0)</f>
        <v>1</v>
      </c>
      <c r="D80" s="9"/>
      <c r="E80" s="9"/>
      <c r="F80" s="9"/>
      <c r="G80" s="13">
        <f>IFERROR(__xludf.DUMMYFUNCTION("""COMPUTED_VALUE"""),1.0)</f>
        <v>1</v>
      </c>
      <c r="H80" s="9"/>
      <c r="I80" s="9"/>
      <c r="J80" s="12">
        <f>IFERROR(__xludf.DUMMYFUNCTION("""COMPUTED_VALUE"""),1.0)</f>
        <v>1</v>
      </c>
      <c r="K80" s="9"/>
      <c r="L80" s="9"/>
      <c r="M80" s="9"/>
      <c r="N80" s="13">
        <f>IFERROR(__xludf.DUMMYFUNCTION("""COMPUTED_VALUE"""),1.0)</f>
        <v>1</v>
      </c>
      <c r="O80" s="9"/>
      <c r="P80" s="9"/>
      <c r="Q80" s="12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IFERROR(__xludf.DUMMYFUNCTION("""COMPUTED_VALUE"""),"Mylena Reis")</f>
        <v>Mylena Reis</v>
      </c>
      <c r="B81" s="9"/>
      <c r="C81" s="12">
        <f>IFERROR(__xludf.DUMMYFUNCTION("""COMPUTED_VALUE"""),7.0)</f>
        <v>7</v>
      </c>
      <c r="D81" s="9"/>
      <c r="E81" s="9"/>
      <c r="F81" s="9"/>
      <c r="G81" s="13">
        <f>IFERROR(__xludf.DUMMYFUNCTION("""COMPUTED_VALUE"""),0.8571428571428571)</f>
        <v>0.8571428571</v>
      </c>
      <c r="H81" s="9"/>
      <c r="I81" s="9"/>
      <c r="J81" s="12">
        <f>IFERROR(__xludf.DUMMYFUNCTION("""COMPUTED_VALUE"""),6.0)</f>
        <v>6</v>
      </c>
      <c r="K81" s="9"/>
      <c r="L81" s="9"/>
      <c r="M81" s="9"/>
      <c r="N81" s="13">
        <f>IFERROR(__xludf.DUMMYFUNCTION("""COMPUTED_VALUE"""),0.16666666666666666)</f>
        <v>0.1666666667</v>
      </c>
      <c r="O81" s="9"/>
      <c r="P81" s="9"/>
      <c r="Q81" s="12">
        <f>IFERROR(__xludf.DUMMYFUNCTION("""COMPUTED_VALUE"""),1.0)</f>
        <v>1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IFERROR(__xludf.DUMMYFUNCTION("""COMPUTED_VALUE"""),"Nicolas Miranda")</f>
        <v>Nicolas Miranda</v>
      </c>
      <c r="B82" s="9"/>
      <c r="C82" s="12">
        <f>IFERROR(__xludf.DUMMYFUNCTION("""COMPUTED_VALUE"""),1.0)</f>
        <v>1</v>
      </c>
      <c r="D82" s="9"/>
      <c r="E82" s="9"/>
      <c r="F82" s="9"/>
      <c r="G82" s="13">
        <f>IFERROR(__xludf.DUMMYFUNCTION("""COMPUTED_VALUE"""),1.0)</f>
        <v>1</v>
      </c>
      <c r="H82" s="9"/>
      <c r="I82" s="9"/>
      <c r="J82" s="12">
        <f>IFERROR(__xludf.DUMMYFUNCTION("""COMPUTED_VALUE"""),1.0)</f>
        <v>1</v>
      </c>
      <c r="K82" s="9"/>
      <c r="L82" s="9"/>
      <c r="M82" s="9"/>
      <c r="N82" s="13">
        <f>IFERROR(__xludf.DUMMYFUNCTION("""COMPUTED_VALUE"""),0.0)</f>
        <v>0</v>
      </c>
      <c r="O82" s="9"/>
      <c r="P82" s="9"/>
      <c r="Q82" s="12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IFERROR(__xludf.DUMMYFUNCTION("""COMPUTED_VALUE"""),"Felipe Maximo")</f>
        <v>Felipe Maximo</v>
      </c>
      <c r="B83" s="9"/>
      <c r="C83" s="12">
        <f>IFERROR(__xludf.DUMMYFUNCTION("""COMPUTED_VALUE"""),22.0)</f>
        <v>22</v>
      </c>
      <c r="D83" s="9"/>
      <c r="E83" s="9"/>
      <c r="F83" s="9"/>
      <c r="G83" s="13">
        <f>IFERROR(__xludf.DUMMYFUNCTION("""COMPUTED_VALUE"""),0.6818181818181818)</f>
        <v>0.6818181818</v>
      </c>
      <c r="H83" s="9"/>
      <c r="I83" s="9"/>
      <c r="J83" s="12">
        <f>IFERROR(__xludf.DUMMYFUNCTION("""COMPUTED_VALUE"""),15.0)</f>
        <v>15</v>
      </c>
      <c r="K83" s="9"/>
      <c r="L83" s="9"/>
      <c r="M83" s="9"/>
      <c r="N83" s="13">
        <f>IFERROR(__xludf.DUMMYFUNCTION("""COMPUTED_VALUE"""),0.0)</f>
        <v>0</v>
      </c>
      <c r="O83" s="9"/>
      <c r="P83" s="9"/>
      <c r="Q83" s="12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2">
        <f>IFERROR(__xludf.DUMMYFUNCTION("""COMPUTED_VALUE"""),140.3225806451612)</f>
        <v>140.3225806</v>
      </c>
      <c r="C84" s="12">
        <f>IFERROR(__xludf.DUMMYFUNCTION("""COMPUTED_VALUE"""),281.0)</f>
        <v>281</v>
      </c>
      <c r="D84" s="12">
        <f>IFERROR(__xludf.DUMMYFUNCTION("""COMPUTED_VALUE"""),140.6774193548388)</f>
        <v>140.6774194</v>
      </c>
      <c r="E84" s="13">
        <f>IFERROR(__xludf.DUMMYFUNCTION("""COMPUTED_VALUE"""),1.0025287356321853)</f>
        <v>1.002528736</v>
      </c>
      <c r="F84" s="13">
        <f>IFERROR(__xludf.DUMMYFUNCTION("""COMPUTED_VALUE"""),0.5893855762154737)</f>
        <v>0.5893855762</v>
      </c>
      <c r="G84" s="13">
        <f>IFERROR(__xludf.DUMMYFUNCTION("""COMPUTED_VALUE"""),0.797153024911032)</f>
        <v>0.7971530249</v>
      </c>
      <c r="H84" s="36">
        <f>IFERROR(__xludf.DUMMYFUNCTION("""COMPUTED_VALUE"""),20.77674486955583)</f>
        <v>20.77674487</v>
      </c>
      <c r="I84" s="12">
        <f>IFERROR(__xludf.DUMMYFUNCTION("""COMPUTED_VALUE"""),82.70410504959061)</f>
        <v>82.70410505</v>
      </c>
      <c r="J84" s="12">
        <f>IFERROR(__xludf.DUMMYFUNCTION("""COMPUTED_VALUE"""),224.0)</f>
        <v>224</v>
      </c>
      <c r="K84" s="12">
        <f>IFERROR(__xludf.DUMMYFUNCTION("""COMPUTED_VALUE"""),141.29589495040938)</f>
        <v>141.295895</v>
      </c>
      <c r="L84" s="13">
        <f>IFERROR(__xludf.DUMMYFUNCTION("""COMPUTED_VALUE"""),1.7084508062288597)</f>
        <v>1.708450806</v>
      </c>
      <c r="M84" s="13">
        <f>IFERROR(__xludf.DUMMYFUNCTION("""COMPUTED_VALUE"""),0.363216666666667)</f>
        <v>0.3632166667</v>
      </c>
      <c r="N84" s="13">
        <f>IFERROR(__xludf.DUMMYFUNCTION("""COMPUTED_VALUE"""),0.4419642857142857)</f>
        <v>0.4419642857</v>
      </c>
      <c r="O84" s="36">
        <f>IFERROR(__xludf.DUMMYFUNCTION("""COMPUTED_VALUE"""),7.8747619047618675)</f>
        <v>7.874761905</v>
      </c>
      <c r="P84" s="12">
        <f>IFERROR(__xludf.DUMMYFUNCTION("""COMPUTED_VALUE"""),30.039509355762164)</f>
        <v>30.03950936</v>
      </c>
      <c r="Q84" s="12">
        <f>IFERROR(__xludf.DUMMYFUNCTION("""COMPUTED_VALUE"""),99.0)</f>
        <v>99</v>
      </c>
      <c r="R84" s="12">
        <f>IFERROR(__xludf.DUMMYFUNCTION("""COMPUTED_VALUE"""),68.96049064423784)</f>
        <v>68.96049064</v>
      </c>
      <c r="S84" s="13">
        <f>IFERROR(__xludf.DUMMYFUNCTION("""COMPUTED_VALUE"""),2.295659686965222)</f>
        <v>2.295659687</v>
      </c>
      <c r="T84" s="12">
        <f>IFERROR(__xludf.DUMMYFUNCTION("""COMPUTED_VALUE"""),163461.72928886878)</f>
        <v>163461.7293</v>
      </c>
      <c r="U84" s="15">
        <f>IFERROR(__xludf.DUMMYFUNCTION("""COMPUTED_VALUE"""),5520.0)</f>
        <v>5520</v>
      </c>
      <c r="V84" s="15">
        <f>IFERROR(__xludf.DUMMYFUNCTION("""COMPUTED_VALUE"""),779953.3401262597)</f>
        <v>779953.3401</v>
      </c>
      <c r="W84" s="13">
        <f>IFERROR(__xludf.DUMMYFUNCTION("""COMPUTED_VALUE"""),4.771473686956596)</f>
        <v>4.771473687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2">
        <f>IFERROR(__xludf.DUMMYFUNCTION("""COMPUTED_VALUE"""),37.0)</f>
        <v>37</v>
      </c>
      <c r="D85" s="9"/>
      <c r="E85" s="9"/>
      <c r="F85" s="9"/>
      <c r="G85" s="13">
        <f>IFERROR(__xludf.DUMMYFUNCTION("""COMPUTED_VALUE"""),0.7027027027027027)</f>
        <v>0.7027027027</v>
      </c>
      <c r="H85" s="9"/>
      <c r="I85" s="9"/>
      <c r="J85" s="12">
        <f>IFERROR(__xludf.DUMMYFUNCTION("""COMPUTED_VALUE"""),26.0)</f>
        <v>26</v>
      </c>
      <c r="K85" s="9"/>
      <c r="L85" s="9"/>
      <c r="M85" s="9"/>
      <c r="N85" s="13">
        <f>IFERROR(__xludf.DUMMYFUNCTION("""COMPUTED_VALUE"""),0.5769230769230769)</f>
        <v>0.5769230769</v>
      </c>
      <c r="O85" s="9"/>
      <c r="P85" s="9"/>
      <c r="Q85" s="12">
        <f>IFERROR(__xludf.DUMMYFUNCTION("""COMPUTED_VALUE"""),15.0)</f>
        <v>15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2">
        <f>IFERROR(__xludf.DUMMYFUNCTION("""COMPUTED_VALUE"""),20.0)</f>
        <v>20</v>
      </c>
      <c r="D86" s="9"/>
      <c r="E86" s="9"/>
      <c r="F86" s="9"/>
      <c r="G86" s="13">
        <f>IFERROR(__xludf.DUMMYFUNCTION("""COMPUTED_VALUE"""),0.9)</f>
        <v>0.9</v>
      </c>
      <c r="H86" s="9"/>
      <c r="I86" s="9"/>
      <c r="J86" s="12">
        <f>IFERROR(__xludf.DUMMYFUNCTION("""COMPUTED_VALUE"""),18.0)</f>
        <v>18</v>
      </c>
      <c r="K86" s="9"/>
      <c r="L86" s="9"/>
      <c r="M86" s="9"/>
      <c r="N86" s="13">
        <f>IFERROR(__xludf.DUMMYFUNCTION("""COMPUTED_VALUE"""),0.6666666666666666)</f>
        <v>0.6666666667</v>
      </c>
      <c r="O86" s="9"/>
      <c r="P86" s="9"/>
      <c r="Q86" s="12">
        <f>IFERROR(__xludf.DUMMYFUNCTION("""COMPUTED_VALUE"""),12.0)</f>
        <v>12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IFERROR(__xludf.DUMMYFUNCTION("""COMPUTED_VALUE"""),"João Rios")</f>
        <v>João Rios</v>
      </c>
      <c r="B87" s="9"/>
      <c r="C87" s="12">
        <f>IFERROR(__xludf.DUMMYFUNCTION("""COMPUTED_VALUE"""),24.0)</f>
        <v>24</v>
      </c>
      <c r="D87" s="9"/>
      <c r="E87" s="9"/>
      <c r="F87" s="9"/>
      <c r="G87" s="13">
        <f>IFERROR(__xludf.DUMMYFUNCTION("""COMPUTED_VALUE"""),0.875)</f>
        <v>0.875</v>
      </c>
      <c r="H87" s="9"/>
      <c r="I87" s="9"/>
      <c r="J87" s="12">
        <f>IFERROR(__xludf.DUMMYFUNCTION("""COMPUTED_VALUE"""),21.0)</f>
        <v>21</v>
      </c>
      <c r="K87" s="9"/>
      <c r="L87" s="9"/>
      <c r="M87" s="9"/>
      <c r="N87" s="13">
        <f>IFERROR(__xludf.DUMMYFUNCTION("""COMPUTED_VALUE"""),0.5714285714285714)</f>
        <v>0.5714285714</v>
      </c>
      <c r="O87" s="9"/>
      <c r="P87" s="9"/>
      <c r="Q87" s="12">
        <f>IFERROR(__xludf.DUMMYFUNCTION("""COMPUTED_VALUE"""),12.0)</f>
        <v>12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IFERROR(__xludf.DUMMYFUNCTION("""COMPUTED_VALUE"""),"Gustavo Pereira")</f>
        <v>Gustavo Pereira</v>
      </c>
      <c r="B88" s="9"/>
      <c r="C88" s="12">
        <f>IFERROR(__xludf.DUMMYFUNCTION("""COMPUTED_VALUE"""),48.0)</f>
        <v>48</v>
      </c>
      <c r="D88" s="9"/>
      <c r="E88" s="9"/>
      <c r="F88" s="9"/>
      <c r="G88" s="13">
        <f>IFERROR(__xludf.DUMMYFUNCTION("""COMPUTED_VALUE"""),0.7916666666666666)</f>
        <v>0.7916666667</v>
      </c>
      <c r="H88" s="9"/>
      <c r="I88" s="9"/>
      <c r="J88" s="12">
        <f>IFERROR(__xludf.DUMMYFUNCTION("""COMPUTED_VALUE"""),38.0)</f>
        <v>38</v>
      </c>
      <c r="K88" s="9"/>
      <c r="L88" s="9"/>
      <c r="M88" s="9"/>
      <c r="N88" s="13">
        <f>IFERROR(__xludf.DUMMYFUNCTION("""COMPUTED_VALUE"""),0.3157894736842105)</f>
        <v>0.3157894737</v>
      </c>
      <c r="O88" s="9"/>
      <c r="P88" s="9"/>
      <c r="Q88" s="12">
        <f>IFERROR(__xludf.DUMMYFUNCTION("""COMPUTED_VALUE"""),12.0)</f>
        <v>12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IFERROR(__xludf.DUMMYFUNCTION("""COMPUTED_VALUE"""),"Marcio Lucas")</f>
        <v>Marcio Lucas</v>
      </c>
      <c r="B89" s="9"/>
      <c r="C89" s="12">
        <f>IFERROR(__xludf.DUMMYFUNCTION("""COMPUTED_VALUE"""),33.0)</f>
        <v>33</v>
      </c>
      <c r="D89" s="9"/>
      <c r="E89" s="9"/>
      <c r="F89" s="9"/>
      <c r="G89" s="13">
        <f>IFERROR(__xludf.DUMMYFUNCTION("""COMPUTED_VALUE"""),0.7272727272727273)</f>
        <v>0.7272727273</v>
      </c>
      <c r="H89" s="9"/>
      <c r="I89" s="9"/>
      <c r="J89" s="12">
        <f>IFERROR(__xludf.DUMMYFUNCTION("""COMPUTED_VALUE"""),24.0)</f>
        <v>24</v>
      </c>
      <c r="K89" s="9"/>
      <c r="L89" s="9"/>
      <c r="M89" s="9"/>
      <c r="N89" s="13">
        <f>IFERROR(__xludf.DUMMYFUNCTION("""COMPUTED_VALUE"""),0.4583333333333333)</f>
        <v>0.4583333333</v>
      </c>
      <c r="O89" s="9"/>
      <c r="P89" s="9"/>
      <c r="Q89" s="12">
        <f>IFERROR(__xludf.DUMMYFUNCTION("""COMPUTED_VALUE"""),11.0)</f>
        <v>11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IFERROR(__xludf.DUMMYFUNCTION("""COMPUTED_VALUE"""),"Ilson Costa Lima")</f>
        <v>Ilson Costa Lima</v>
      </c>
      <c r="B90" s="9"/>
      <c r="C90" s="12">
        <f>IFERROR(__xludf.DUMMYFUNCTION("""COMPUTED_VALUE"""),29.0)</f>
        <v>29</v>
      </c>
      <c r="D90" s="9"/>
      <c r="E90" s="9"/>
      <c r="F90" s="9"/>
      <c r="G90" s="13">
        <f>IFERROR(__xludf.DUMMYFUNCTION("""COMPUTED_VALUE"""),0.6551724137931034)</f>
        <v>0.6551724138</v>
      </c>
      <c r="H90" s="9"/>
      <c r="I90" s="9"/>
      <c r="J90" s="12">
        <f>IFERROR(__xludf.DUMMYFUNCTION("""COMPUTED_VALUE"""),19.0)</f>
        <v>19</v>
      </c>
      <c r="K90" s="9"/>
      <c r="L90" s="9"/>
      <c r="M90" s="9"/>
      <c r="N90" s="13">
        <f>IFERROR(__xludf.DUMMYFUNCTION("""COMPUTED_VALUE"""),0.47368421052631576)</f>
        <v>0.4736842105</v>
      </c>
      <c r="O90" s="9"/>
      <c r="P90" s="9"/>
      <c r="Q90" s="12">
        <f>IFERROR(__xludf.DUMMYFUNCTION("""COMPUTED_VALUE"""),9.0)</f>
        <v>9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IFERROR(__xludf.DUMMYFUNCTION("""COMPUTED_VALUE"""),"Cauã Andrade")</f>
        <v>Cauã Andrade</v>
      </c>
      <c r="B91" s="9"/>
      <c r="C91" s="12">
        <f>IFERROR(__xludf.DUMMYFUNCTION("""COMPUTED_VALUE"""),25.0)</f>
        <v>25</v>
      </c>
      <c r="D91" s="9"/>
      <c r="E91" s="9"/>
      <c r="F91" s="9"/>
      <c r="G91" s="13">
        <f>IFERROR(__xludf.DUMMYFUNCTION("""COMPUTED_VALUE"""),0.8)</f>
        <v>0.8</v>
      </c>
      <c r="H91" s="9"/>
      <c r="I91" s="9"/>
      <c r="J91" s="12">
        <f>IFERROR(__xludf.DUMMYFUNCTION("""COMPUTED_VALUE"""),20.0)</f>
        <v>20</v>
      </c>
      <c r="K91" s="9"/>
      <c r="L91" s="9"/>
      <c r="M91" s="9"/>
      <c r="N91" s="13">
        <f>IFERROR(__xludf.DUMMYFUNCTION("""COMPUTED_VALUE"""),0.4)</f>
        <v>0.4</v>
      </c>
      <c r="O91" s="9"/>
      <c r="P91" s="9"/>
      <c r="Q91" s="12">
        <f>IFERROR(__xludf.DUMMYFUNCTION("""COMPUTED_VALUE"""),8.0)</f>
        <v>8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IFERROR(__xludf.DUMMYFUNCTION("""COMPUTED_VALUE"""),"Mylena Reis")</f>
        <v>Mylena Reis</v>
      </c>
      <c r="B92" s="9"/>
      <c r="C92" s="12">
        <f>IFERROR(__xludf.DUMMYFUNCTION("""COMPUTED_VALUE"""),26.0)</f>
        <v>26</v>
      </c>
      <c r="D92" s="9"/>
      <c r="E92" s="9"/>
      <c r="F92" s="9"/>
      <c r="G92" s="13">
        <f>IFERROR(__xludf.DUMMYFUNCTION("""COMPUTED_VALUE"""),0.9615384615384616)</f>
        <v>0.9615384615</v>
      </c>
      <c r="H92" s="9"/>
      <c r="I92" s="9"/>
      <c r="J92" s="12">
        <f>IFERROR(__xludf.DUMMYFUNCTION("""COMPUTED_VALUE"""),25.0)</f>
        <v>25</v>
      </c>
      <c r="K92" s="9"/>
      <c r="L92" s="9"/>
      <c r="M92" s="9"/>
      <c r="N92" s="13">
        <f>IFERROR(__xludf.DUMMYFUNCTION("""COMPUTED_VALUE"""),0.28)</f>
        <v>0.28</v>
      </c>
      <c r="O92" s="9"/>
      <c r="P92" s="9"/>
      <c r="Q92" s="12">
        <f>IFERROR(__xludf.DUMMYFUNCTION("""COMPUTED_VALUE"""),7.0)</f>
        <v>7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IFERROR(__xludf.DUMMYFUNCTION("""COMPUTED_VALUE"""),"Felipe Maximo")</f>
        <v>Felipe Maximo</v>
      </c>
      <c r="B93" s="9"/>
      <c r="C93" s="12">
        <f>IFERROR(__xludf.DUMMYFUNCTION("""COMPUTED_VALUE"""),26.0)</f>
        <v>26</v>
      </c>
      <c r="D93" s="9"/>
      <c r="E93" s="9"/>
      <c r="F93" s="9"/>
      <c r="G93" s="13">
        <f>IFERROR(__xludf.DUMMYFUNCTION("""COMPUTED_VALUE"""),0.8076923076923077)</f>
        <v>0.8076923077</v>
      </c>
      <c r="H93" s="9"/>
      <c r="I93" s="9"/>
      <c r="J93" s="12">
        <f>IFERROR(__xludf.DUMMYFUNCTION("""COMPUTED_VALUE"""),21.0)</f>
        <v>21</v>
      </c>
      <c r="K93" s="9"/>
      <c r="L93" s="9"/>
      <c r="M93" s="9"/>
      <c r="N93" s="13">
        <f>IFERROR(__xludf.DUMMYFUNCTION("""COMPUTED_VALUE"""),0.2857142857142857)</f>
        <v>0.2857142857</v>
      </c>
      <c r="O93" s="9"/>
      <c r="P93" s="9"/>
      <c r="Q93" s="12">
        <f>IFERROR(__xludf.DUMMYFUNCTION("""COMPUTED_VALUE"""),6.0)</f>
        <v>6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2">
        <f>IFERROR(__xludf.DUMMYFUNCTION("""COMPUTED_VALUE"""),2.0)</f>
        <v>2</v>
      </c>
      <c r="D94" s="9"/>
      <c r="E94" s="9"/>
      <c r="F94" s="9"/>
      <c r="G94" s="13">
        <f>IFERROR(__xludf.DUMMYFUNCTION("""COMPUTED_VALUE"""),1.0)</f>
        <v>1</v>
      </c>
      <c r="H94" s="9"/>
      <c r="I94" s="9"/>
      <c r="J94" s="12">
        <f>IFERROR(__xludf.DUMMYFUNCTION("""COMPUTED_VALUE"""),2.0)</f>
        <v>2</v>
      </c>
      <c r="K94" s="9"/>
      <c r="L94" s="9"/>
      <c r="M94" s="9"/>
      <c r="N94" s="13">
        <f>IFERROR(__xludf.DUMMYFUNCTION("""COMPUTED_VALUE"""),1.0)</f>
        <v>1</v>
      </c>
      <c r="O94" s="9"/>
      <c r="P94" s="9"/>
      <c r="Q94" s="12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2">
        <f>IFERROR(__xludf.DUMMYFUNCTION("""COMPUTED_VALUE"""),7.0)</f>
        <v>7</v>
      </c>
      <c r="D95" s="9"/>
      <c r="E95" s="9"/>
      <c r="F95" s="9"/>
      <c r="G95" s="13">
        <f>IFERROR(__xludf.DUMMYFUNCTION("""COMPUTED_VALUE"""),0.8571428571428571)</f>
        <v>0.8571428571</v>
      </c>
      <c r="H95" s="9"/>
      <c r="I95" s="9"/>
      <c r="J95" s="12">
        <f>IFERROR(__xludf.DUMMYFUNCTION("""COMPUTED_VALUE"""),6.0)</f>
        <v>6</v>
      </c>
      <c r="K95" s="9"/>
      <c r="L95" s="9"/>
      <c r="M95" s="9"/>
      <c r="N95" s="13">
        <f>IFERROR(__xludf.DUMMYFUNCTION("""COMPUTED_VALUE"""),0.16666666666666666)</f>
        <v>0.1666666667</v>
      </c>
      <c r="O95" s="9"/>
      <c r="P95" s="9"/>
      <c r="Q95" s="12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2">
        <f>IFERROR(__xludf.DUMMYFUNCTION("""COMPUTED_VALUE"""),1.0)</f>
        <v>1</v>
      </c>
      <c r="D96" s="9"/>
      <c r="E96" s="9"/>
      <c r="F96" s="9"/>
      <c r="G96" s="13">
        <f>IFERROR(__xludf.DUMMYFUNCTION("""COMPUTED_VALUE"""),1.0)</f>
        <v>1</v>
      </c>
      <c r="H96" s="9"/>
      <c r="I96" s="9"/>
      <c r="J96" s="12">
        <f>IFERROR(__xludf.DUMMYFUNCTION("""COMPUTED_VALUE"""),1.0)</f>
        <v>1</v>
      </c>
      <c r="K96" s="9"/>
      <c r="L96" s="9"/>
      <c r="M96" s="9"/>
      <c r="N96" s="13">
        <f>IFERROR(__xludf.DUMMYFUNCTION("""COMPUTED_VALUE"""),0.0)</f>
        <v>0</v>
      </c>
      <c r="O96" s="9"/>
      <c r="P96" s="9"/>
      <c r="Q96" s="12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2">
        <f>IFERROR(__xludf.DUMMYFUNCTION("""COMPUTED_VALUE"""),1.0)</f>
        <v>1</v>
      </c>
      <c r="D97" s="9"/>
      <c r="E97" s="9"/>
      <c r="F97" s="9"/>
      <c r="G97" s="13">
        <f>IFERROR(__xludf.DUMMYFUNCTION("""COMPUTED_VALUE"""),0.0)</f>
        <v>0</v>
      </c>
      <c r="H97" s="9"/>
      <c r="I97" s="9"/>
      <c r="J97" s="12">
        <f>IFERROR(__xludf.DUMMYFUNCTION("""COMPUTED_VALUE"""),0.0)</f>
        <v>0</v>
      </c>
      <c r="K97" s="9"/>
      <c r="L97" s="9"/>
      <c r="M97" s="9"/>
      <c r="N97" s="13">
        <f>IFERROR(__xludf.DUMMYFUNCTION("""COMPUTED_VALUE"""),0.0)</f>
        <v>0</v>
      </c>
      <c r="O97" s="9"/>
      <c r="P97" s="9"/>
      <c r="Q97" s="12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2">
        <f>IFERROR(__xludf.DUMMYFUNCTION("""COMPUTED_VALUE"""),1.0)</f>
        <v>1</v>
      </c>
      <c r="D98" s="9"/>
      <c r="E98" s="9"/>
      <c r="F98" s="9"/>
      <c r="G98" s="13">
        <f>IFERROR(__xludf.DUMMYFUNCTION("""COMPUTED_VALUE"""),2.0)</f>
        <v>2</v>
      </c>
      <c r="H98" s="9"/>
      <c r="I98" s="9"/>
      <c r="J98" s="12">
        <f>IFERROR(__xludf.DUMMYFUNCTION("""COMPUTED_VALUE"""),2.0)</f>
        <v>2</v>
      </c>
      <c r="K98" s="9"/>
      <c r="L98" s="9"/>
      <c r="M98" s="9"/>
      <c r="N98" s="13">
        <f>IFERROR(__xludf.DUMMYFUNCTION("""COMPUTED_VALUE"""),0.0)</f>
        <v>0</v>
      </c>
      <c r="O98" s="9"/>
      <c r="P98" s="9"/>
      <c r="Q98" s="12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2">
        <f>IFERROR(__xludf.DUMMYFUNCTION("""COMPUTED_VALUE"""),497.41935483870935)</f>
        <v>497.4193548</v>
      </c>
      <c r="C99" s="12">
        <f>IFERROR(__xludf.DUMMYFUNCTION("""COMPUTED_VALUE"""),533.0)</f>
        <v>533</v>
      </c>
      <c r="D99" s="12">
        <f>IFERROR(__xludf.DUMMYFUNCTION("""COMPUTED_VALUE"""),35.58064516129065)</f>
        <v>35.58064516</v>
      </c>
      <c r="E99" s="13">
        <f>IFERROR(__xludf.DUMMYFUNCTION("""COMPUTED_VALUE"""),0.07153047989623935)</f>
        <v>0.0715304799</v>
      </c>
      <c r="F99" s="13">
        <f>IFERROR(__xludf.DUMMYFUNCTION("""COMPUTED_VALUE"""),0.6293553918193087)</f>
        <v>0.6293553918</v>
      </c>
      <c r="G99" s="13">
        <f>IFERROR(__xludf.DUMMYFUNCTION("""COMPUTED_VALUE"""),0.626641651031895)</f>
        <v>0.626641651</v>
      </c>
      <c r="H99" s="36">
        <f>IFERROR(__xludf.DUMMYFUNCTION("""COMPUTED_VALUE"""),-0.271374078741371)</f>
        <v>-0.2713740787</v>
      </c>
      <c r="I99" s="12">
        <f>IFERROR(__xludf.DUMMYFUNCTION("""COMPUTED_VALUE"""),313.05355296302366)</f>
        <v>313.053553</v>
      </c>
      <c r="J99" s="12">
        <f>IFERROR(__xludf.DUMMYFUNCTION("""COMPUTED_VALUE"""),334.0)</f>
        <v>334</v>
      </c>
      <c r="K99" s="12">
        <f>IFERROR(__xludf.DUMMYFUNCTION("""COMPUTED_VALUE"""),20.946447036976338)</f>
        <v>20.94644704</v>
      </c>
      <c r="L99" s="13">
        <f>IFERROR(__xludf.DUMMYFUNCTION("""COMPUTED_VALUE"""),0.0669101079950063)</f>
        <v>0.066910108</v>
      </c>
      <c r="M99" s="13">
        <f>IFERROR(__xludf.DUMMYFUNCTION("""COMPUTED_VALUE"""),0.41230000000000033)</f>
        <v>0.4123</v>
      </c>
      <c r="N99" s="13">
        <f>IFERROR(__xludf.DUMMYFUNCTION("""COMPUTED_VALUE"""),0.46107784431137727)</f>
        <v>0.4610778443</v>
      </c>
      <c r="O99" s="36">
        <f>IFERROR(__xludf.DUMMYFUNCTION("""COMPUTED_VALUE"""),4.877784431137694)</f>
        <v>4.877784431</v>
      </c>
      <c r="P99" s="12">
        <f>IFERROR(__xludf.DUMMYFUNCTION("""COMPUTED_VALUE"""),129.07197988665476)</f>
        <v>129.0719799</v>
      </c>
      <c r="Q99" s="12">
        <f>IFERROR(__xludf.DUMMYFUNCTION("""COMPUTED_VALUE"""),154.0)</f>
        <v>154</v>
      </c>
      <c r="R99" s="12">
        <f>IFERROR(__xludf.DUMMYFUNCTION("""COMPUTED_VALUE"""),24.92802011334524)</f>
        <v>24.92802011</v>
      </c>
      <c r="S99" s="13">
        <f>IFERROR(__xludf.DUMMYFUNCTION("""COMPUTED_VALUE"""),0.1931327011117046)</f>
        <v>0.1931327011</v>
      </c>
      <c r="T99" s="12">
        <f>IFERROR(__xludf.DUMMYFUNCTION("""COMPUTED_VALUE"""),885575.0818741167)</f>
        <v>885575.0819</v>
      </c>
      <c r="U99" s="15">
        <f>IFERROR(__xludf.DUMMYFUNCTION("""COMPUTED_VALUE"""),6959.999999999999)</f>
        <v>6960</v>
      </c>
      <c r="V99" s="15">
        <f>IFERROR(__xludf.DUMMYFUNCTION("""COMPUTED_VALUE"""),145787.2713773553)</f>
        <v>145787.2714</v>
      </c>
      <c r="W99" s="13">
        <f>IFERROR(__xludf.DUMMYFUNCTION("""COMPUTED_VALUE"""),0.16462440549798438)</f>
        <v>0.1646244055</v>
      </c>
      <c r="X99" s="9"/>
      <c r="Y99" s="9"/>
      <c r="Z99" s="9"/>
    </row>
    <row r="100">
      <c r="A100" s="9" t="str">
        <f>IFERROR(__xludf.DUMMYFUNCTION("""COMPUTED_VALUE"""),"Gustavo Pereira")</f>
        <v>Gustavo Pereira</v>
      </c>
      <c r="B100" s="9"/>
      <c r="C100" s="12">
        <f>IFERROR(__xludf.DUMMYFUNCTION("""COMPUTED_VALUE"""),56.0)</f>
        <v>56</v>
      </c>
      <c r="D100" s="9"/>
      <c r="E100" s="9"/>
      <c r="F100" s="9"/>
      <c r="G100" s="13">
        <f>IFERROR(__xludf.DUMMYFUNCTION("""COMPUTED_VALUE"""),0.6428571428571429)</f>
        <v>0.6428571429</v>
      </c>
      <c r="H100" s="9"/>
      <c r="I100" s="9"/>
      <c r="J100" s="12">
        <f>IFERROR(__xludf.DUMMYFUNCTION("""COMPUTED_VALUE"""),36.0)</f>
        <v>36</v>
      </c>
      <c r="K100" s="9"/>
      <c r="L100" s="9"/>
      <c r="M100" s="9"/>
      <c r="N100" s="13">
        <f>IFERROR(__xludf.DUMMYFUNCTION("""COMPUTED_VALUE"""),0.5277777777777778)</f>
        <v>0.5277777778</v>
      </c>
      <c r="O100" s="9"/>
      <c r="P100" s="9"/>
      <c r="Q100" s="12">
        <f>IFERROR(__xludf.DUMMYFUNCTION("""COMPUTED_VALUE"""),19.0)</f>
        <v>19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IFERROR(__xludf.DUMMYFUNCTION("""COMPUTED_VALUE"""),"Felipe Maximo")</f>
        <v>Felipe Maximo</v>
      </c>
      <c r="B101" s="9"/>
      <c r="C101" s="12">
        <f>IFERROR(__xludf.DUMMYFUNCTION("""COMPUTED_VALUE"""),61.0)</f>
        <v>61</v>
      </c>
      <c r="D101" s="9"/>
      <c r="E101" s="9"/>
      <c r="F101" s="9"/>
      <c r="G101" s="13">
        <f>IFERROR(__xludf.DUMMYFUNCTION("""COMPUTED_VALUE"""),0.5901639344262295)</f>
        <v>0.5901639344</v>
      </c>
      <c r="H101" s="9"/>
      <c r="I101" s="9"/>
      <c r="J101" s="12">
        <f>IFERROR(__xludf.DUMMYFUNCTION("""COMPUTED_VALUE"""),36.0)</f>
        <v>36</v>
      </c>
      <c r="K101" s="9"/>
      <c r="L101" s="9"/>
      <c r="M101" s="9"/>
      <c r="N101" s="13">
        <f>IFERROR(__xludf.DUMMYFUNCTION("""COMPUTED_VALUE"""),0.5)</f>
        <v>0.5</v>
      </c>
      <c r="O101" s="9"/>
      <c r="P101" s="9"/>
      <c r="Q101" s="12">
        <f>IFERROR(__xludf.DUMMYFUNCTION("""COMPUTED_VALUE"""),18.0)</f>
        <v>18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IFERROR(__xludf.DUMMYFUNCTION("""COMPUTED_VALUE"""),"Cauã Andrade")</f>
        <v>Cauã Andrade</v>
      </c>
      <c r="B102" s="9"/>
      <c r="C102" s="12">
        <f>IFERROR(__xludf.DUMMYFUNCTION("""COMPUTED_VALUE"""),55.0)</f>
        <v>55</v>
      </c>
      <c r="D102" s="9"/>
      <c r="E102" s="9"/>
      <c r="F102" s="9"/>
      <c r="G102" s="13">
        <f>IFERROR(__xludf.DUMMYFUNCTION("""COMPUTED_VALUE"""),0.7090909090909091)</f>
        <v>0.7090909091</v>
      </c>
      <c r="H102" s="9"/>
      <c r="I102" s="9"/>
      <c r="J102" s="12">
        <f>IFERROR(__xludf.DUMMYFUNCTION("""COMPUTED_VALUE"""),39.0)</f>
        <v>39</v>
      </c>
      <c r="K102" s="9"/>
      <c r="L102" s="9"/>
      <c r="M102" s="9"/>
      <c r="N102" s="13">
        <f>IFERROR(__xludf.DUMMYFUNCTION("""COMPUTED_VALUE"""),0.46153846153846156)</f>
        <v>0.4615384615</v>
      </c>
      <c r="O102" s="9"/>
      <c r="P102" s="9"/>
      <c r="Q102" s="12">
        <f>IFERROR(__xludf.DUMMYFUNCTION("""COMPUTED_VALUE"""),18.0)</f>
        <v>18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IFERROR(__xludf.DUMMYFUNCTION("""COMPUTED_VALUE"""),"Marcio Lucas")</f>
        <v>Marcio Lucas</v>
      </c>
      <c r="B103" s="9"/>
      <c r="C103" s="12">
        <f>IFERROR(__xludf.DUMMYFUNCTION("""COMPUTED_VALUE"""),65.0)</f>
        <v>65</v>
      </c>
      <c r="D103" s="9"/>
      <c r="E103" s="9"/>
      <c r="F103" s="9"/>
      <c r="G103" s="13">
        <f>IFERROR(__xludf.DUMMYFUNCTION("""COMPUTED_VALUE"""),0.6615384615384615)</f>
        <v>0.6615384615</v>
      </c>
      <c r="H103" s="9"/>
      <c r="I103" s="9"/>
      <c r="J103" s="12">
        <f>IFERROR(__xludf.DUMMYFUNCTION("""COMPUTED_VALUE"""),43.0)</f>
        <v>43</v>
      </c>
      <c r="K103" s="9"/>
      <c r="L103" s="9"/>
      <c r="M103" s="9"/>
      <c r="N103" s="13">
        <f>IFERROR(__xludf.DUMMYFUNCTION("""COMPUTED_VALUE"""),0.4186046511627907)</f>
        <v>0.4186046512</v>
      </c>
      <c r="O103" s="9"/>
      <c r="P103" s="9"/>
      <c r="Q103" s="12">
        <f>IFERROR(__xludf.DUMMYFUNCTION("""COMPUTED_VALUE"""),18.0)</f>
        <v>18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IFERROR(__xludf.DUMMYFUNCTION("""COMPUTED_VALUE"""),"Mariana Jovenato")</f>
        <v>Mariana Jovenato</v>
      </c>
      <c r="B104" s="9"/>
      <c r="C104" s="12">
        <f>IFERROR(__xludf.DUMMYFUNCTION("""COMPUTED_VALUE"""),57.0)</f>
        <v>57</v>
      </c>
      <c r="D104" s="9"/>
      <c r="E104" s="9"/>
      <c r="F104" s="9"/>
      <c r="G104" s="13">
        <f>IFERROR(__xludf.DUMMYFUNCTION("""COMPUTED_VALUE"""),0.631578947368421)</f>
        <v>0.6315789474</v>
      </c>
      <c r="H104" s="9"/>
      <c r="I104" s="9"/>
      <c r="J104" s="12">
        <f>IFERROR(__xludf.DUMMYFUNCTION("""COMPUTED_VALUE"""),36.0)</f>
        <v>36</v>
      </c>
      <c r="K104" s="9"/>
      <c r="L104" s="9"/>
      <c r="M104" s="9"/>
      <c r="N104" s="13">
        <f>IFERROR(__xludf.DUMMYFUNCTION("""COMPUTED_VALUE"""),0.4722222222222222)</f>
        <v>0.4722222222</v>
      </c>
      <c r="O104" s="9"/>
      <c r="P104" s="9"/>
      <c r="Q104" s="12">
        <f>IFERROR(__xludf.DUMMYFUNCTION("""COMPUTED_VALUE"""),17.0)</f>
        <v>17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IFERROR(__xludf.DUMMYFUNCTION("""COMPUTED_VALUE"""),"João Rios")</f>
        <v>João Rios</v>
      </c>
      <c r="B105" s="9"/>
      <c r="C105" s="12">
        <f>IFERROR(__xludf.DUMMYFUNCTION("""COMPUTED_VALUE"""),61.0)</f>
        <v>61</v>
      </c>
      <c r="D105" s="9"/>
      <c r="E105" s="9"/>
      <c r="F105" s="9"/>
      <c r="G105" s="13">
        <f>IFERROR(__xludf.DUMMYFUNCTION("""COMPUTED_VALUE"""),0.5901639344262295)</f>
        <v>0.5901639344</v>
      </c>
      <c r="H105" s="9"/>
      <c r="I105" s="9"/>
      <c r="J105" s="12">
        <f>IFERROR(__xludf.DUMMYFUNCTION("""COMPUTED_VALUE"""),36.0)</f>
        <v>36</v>
      </c>
      <c r="K105" s="9"/>
      <c r="L105" s="9"/>
      <c r="M105" s="9"/>
      <c r="N105" s="13">
        <f>IFERROR(__xludf.DUMMYFUNCTION("""COMPUTED_VALUE"""),0.4444444444444444)</f>
        <v>0.4444444444</v>
      </c>
      <c r="O105" s="9"/>
      <c r="P105" s="9"/>
      <c r="Q105" s="12">
        <f>IFERROR(__xludf.DUMMYFUNCTION("""COMPUTED_VALUE"""),16.0)</f>
        <v>16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IFERROR(__xludf.DUMMYFUNCTION("""COMPUTED_VALUE"""),"Thalita Lopes")</f>
        <v>Thalita Lopes</v>
      </c>
      <c r="B106" s="9"/>
      <c r="C106" s="12">
        <f>IFERROR(__xludf.DUMMYFUNCTION("""COMPUTED_VALUE"""),54.0)</f>
        <v>54</v>
      </c>
      <c r="D106" s="9"/>
      <c r="E106" s="9"/>
      <c r="F106" s="9"/>
      <c r="G106" s="13">
        <f>IFERROR(__xludf.DUMMYFUNCTION("""COMPUTED_VALUE"""),0.5370370370370371)</f>
        <v>0.537037037</v>
      </c>
      <c r="H106" s="9"/>
      <c r="I106" s="9"/>
      <c r="J106" s="12">
        <f>IFERROR(__xludf.DUMMYFUNCTION("""COMPUTED_VALUE"""),29.0)</f>
        <v>29</v>
      </c>
      <c r="K106" s="9"/>
      <c r="L106" s="9"/>
      <c r="M106" s="9"/>
      <c r="N106" s="13">
        <f>IFERROR(__xludf.DUMMYFUNCTION("""COMPUTED_VALUE"""),0.5172413793103449)</f>
        <v>0.5172413793</v>
      </c>
      <c r="O106" s="9"/>
      <c r="P106" s="9"/>
      <c r="Q106" s="12">
        <f>IFERROR(__xludf.DUMMYFUNCTION("""COMPUTED_VALUE"""),15.0)</f>
        <v>15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IFERROR(__xludf.DUMMYFUNCTION("""COMPUTED_VALUE"""),"Ilson Costa Lima")</f>
        <v>Ilson Costa Lima</v>
      </c>
      <c r="B107" s="9"/>
      <c r="C107" s="12">
        <f>IFERROR(__xludf.DUMMYFUNCTION("""COMPUTED_VALUE"""),66.0)</f>
        <v>66</v>
      </c>
      <c r="D107" s="9"/>
      <c r="E107" s="9"/>
      <c r="F107" s="9"/>
      <c r="G107" s="13">
        <f>IFERROR(__xludf.DUMMYFUNCTION("""COMPUTED_VALUE"""),0.5757575757575758)</f>
        <v>0.5757575758</v>
      </c>
      <c r="H107" s="9"/>
      <c r="I107" s="9"/>
      <c r="J107" s="12">
        <f>IFERROR(__xludf.DUMMYFUNCTION("""COMPUTED_VALUE"""),38.0)</f>
        <v>38</v>
      </c>
      <c r="K107" s="9"/>
      <c r="L107" s="9"/>
      <c r="M107" s="9"/>
      <c r="N107" s="13">
        <f>IFERROR(__xludf.DUMMYFUNCTION("""COMPUTED_VALUE"""),0.2894736842105263)</f>
        <v>0.2894736842</v>
      </c>
      <c r="O107" s="9"/>
      <c r="P107" s="9"/>
      <c r="Q107" s="12">
        <f>IFERROR(__xludf.DUMMYFUNCTION("""COMPUTED_VALUE"""),11.0)</f>
        <v>11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IFERROR(__xludf.DUMMYFUNCTION("""COMPUTED_VALUE"""),"Mylena Reis")</f>
        <v>Mylena Reis</v>
      </c>
      <c r="B108" s="9"/>
      <c r="C108" s="12">
        <f>IFERROR(__xludf.DUMMYFUNCTION("""COMPUTED_VALUE"""),31.0)</f>
        <v>31</v>
      </c>
      <c r="D108" s="9"/>
      <c r="E108" s="9"/>
      <c r="F108" s="9"/>
      <c r="G108" s="13">
        <f>IFERROR(__xludf.DUMMYFUNCTION("""COMPUTED_VALUE"""),0.5806451612903226)</f>
        <v>0.5806451613</v>
      </c>
      <c r="H108" s="9"/>
      <c r="I108" s="9"/>
      <c r="J108" s="12">
        <f>IFERROR(__xludf.DUMMYFUNCTION("""COMPUTED_VALUE"""),18.0)</f>
        <v>18</v>
      </c>
      <c r="K108" s="9"/>
      <c r="L108" s="9"/>
      <c r="M108" s="9"/>
      <c r="N108" s="13">
        <f>IFERROR(__xludf.DUMMYFUNCTION("""COMPUTED_VALUE"""),0.3888888888888889)</f>
        <v>0.3888888889</v>
      </c>
      <c r="O108" s="9"/>
      <c r="P108" s="9"/>
      <c r="Q108" s="12">
        <f>IFERROR(__xludf.DUMMYFUNCTION("""COMPUTED_VALUE"""),7.0)</f>
        <v>7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IFERROR(__xludf.DUMMYFUNCTION("""COMPUTED_VALUE"""),"João Vitor Nascimento")</f>
        <v>João Vitor Nascimento</v>
      </c>
      <c r="B109" s="9"/>
      <c r="C109" s="12">
        <f>IFERROR(__xludf.DUMMYFUNCTION("""COMPUTED_VALUE"""),12.0)</f>
        <v>12</v>
      </c>
      <c r="D109" s="9"/>
      <c r="E109" s="9"/>
      <c r="F109" s="9"/>
      <c r="G109" s="13">
        <f>IFERROR(__xludf.DUMMYFUNCTION("""COMPUTED_VALUE"""),0.75)</f>
        <v>0.75</v>
      </c>
      <c r="H109" s="9"/>
      <c r="I109" s="9"/>
      <c r="J109" s="12">
        <f>IFERROR(__xludf.DUMMYFUNCTION("""COMPUTED_VALUE"""),9.0)</f>
        <v>9</v>
      </c>
      <c r="K109" s="9"/>
      <c r="L109" s="9"/>
      <c r="M109" s="9"/>
      <c r="N109" s="13">
        <f>IFERROR(__xludf.DUMMYFUNCTION("""COMPUTED_VALUE"""),0.6666666666666666)</f>
        <v>0.6666666667</v>
      </c>
      <c r="O109" s="9"/>
      <c r="P109" s="9"/>
      <c r="Q109" s="12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2">
        <f>IFERROR(__xludf.DUMMYFUNCTION("""COMPUTED_VALUE"""),1.0)</f>
        <v>1</v>
      </c>
      <c r="D110" s="9"/>
      <c r="E110" s="9"/>
      <c r="F110" s="9"/>
      <c r="G110" s="13">
        <f>IFERROR(__xludf.DUMMYFUNCTION("""COMPUTED_VALUE"""),2.0)</f>
        <v>2</v>
      </c>
      <c r="H110" s="9"/>
      <c r="I110" s="9"/>
      <c r="J110" s="12">
        <f>IFERROR(__xludf.DUMMYFUNCTION("""COMPUTED_VALUE"""),2.0)</f>
        <v>2</v>
      </c>
      <c r="K110" s="9"/>
      <c r="L110" s="9"/>
      <c r="M110" s="9"/>
      <c r="N110" s="13">
        <f>IFERROR(__xludf.DUMMYFUNCTION("""COMPUTED_VALUE"""),1.5)</f>
        <v>1.5</v>
      </c>
      <c r="O110" s="9"/>
      <c r="P110" s="9"/>
      <c r="Q110" s="12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2">
        <f>IFERROR(__xludf.DUMMYFUNCTION("""COMPUTED_VALUE"""),2.0)</f>
        <v>2</v>
      </c>
      <c r="D111" s="9"/>
      <c r="E111" s="9"/>
      <c r="F111" s="9"/>
      <c r="G111" s="13">
        <f>IFERROR(__xludf.DUMMYFUNCTION("""COMPUTED_VALUE"""),1.0)</f>
        <v>1</v>
      </c>
      <c r="H111" s="9"/>
      <c r="I111" s="9"/>
      <c r="J111" s="12">
        <f>IFERROR(__xludf.DUMMYFUNCTION("""COMPUTED_VALUE"""),2.0)</f>
        <v>2</v>
      </c>
      <c r="K111" s="9"/>
      <c r="L111" s="9"/>
      <c r="M111" s="9"/>
      <c r="N111" s="13">
        <f>IFERROR(__xludf.DUMMYFUNCTION("""COMPUTED_VALUE"""),1.0)</f>
        <v>1</v>
      </c>
      <c r="O111" s="9"/>
      <c r="P111" s="9"/>
      <c r="Q111" s="12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2">
        <f>IFERROR(__xludf.DUMMYFUNCTION("""COMPUTED_VALUE"""),2.0)</f>
        <v>2</v>
      </c>
      <c r="D112" s="9"/>
      <c r="E112" s="9"/>
      <c r="F112" s="9"/>
      <c r="G112" s="13">
        <f>IFERROR(__xludf.DUMMYFUNCTION("""COMPUTED_VALUE"""),0.5)</f>
        <v>0.5</v>
      </c>
      <c r="H112" s="9"/>
      <c r="I112" s="9"/>
      <c r="J112" s="12">
        <f>IFERROR(__xludf.DUMMYFUNCTION("""COMPUTED_VALUE"""),1.0)</f>
        <v>1</v>
      </c>
      <c r="K112" s="9"/>
      <c r="L112" s="9"/>
      <c r="M112" s="9"/>
      <c r="N112" s="13">
        <f>IFERROR(__xludf.DUMMYFUNCTION("""COMPUTED_VALUE"""),1.0)</f>
        <v>1</v>
      </c>
      <c r="O112" s="9"/>
      <c r="P112" s="9"/>
      <c r="Q112" s="12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2">
        <f>IFERROR(__xludf.DUMMYFUNCTION("""COMPUTED_VALUE"""),1.0)</f>
        <v>1</v>
      </c>
      <c r="D113" s="9"/>
      <c r="E113" s="9"/>
      <c r="F113" s="9"/>
      <c r="G113" s="13">
        <f>IFERROR(__xludf.DUMMYFUNCTION("""COMPUTED_VALUE"""),1.0)</f>
        <v>1</v>
      </c>
      <c r="H113" s="9"/>
      <c r="I113" s="9"/>
      <c r="J113" s="12">
        <f>IFERROR(__xludf.DUMMYFUNCTION("""COMPUTED_VALUE"""),1.0)</f>
        <v>1</v>
      </c>
      <c r="K113" s="9"/>
      <c r="L113" s="9"/>
      <c r="M113" s="9"/>
      <c r="N113" s="13">
        <f>IFERROR(__xludf.DUMMYFUNCTION("""COMPUTED_VALUE"""),1.0)</f>
        <v>1</v>
      </c>
      <c r="O113" s="9"/>
      <c r="P113" s="9"/>
      <c r="Q113" s="12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2">
        <f>IFERROR(__xludf.DUMMYFUNCTION("""COMPUTED_VALUE"""),1.0)</f>
        <v>1</v>
      </c>
      <c r="D114" s="9"/>
      <c r="E114" s="9"/>
      <c r="F114" s="9"/>
      <c r="G114" s="13">
        <f>IFERROR(__xludf.DUMMYFUNCTION("""COMPUTED_VALUE"""),1.0)</f>
        <v>1</v>
      </c>
      <c r="H114" s="9"/>
      <c r="I114" s="9"/>
      <c r="J114" s="12">
        <f>IFERROR(__xludf.DUMMYFUNCTION("""COMPUTED_VALUE"""),1.0)</f>
        <v>1</v>
      </c>
      <c r="K114" s="9"/>
      <c r="L114" s="9"/>
      <c r="M114" s="9"/>
      <c r="N114" s="13">
        <f>IFERROR(__xludf.DUMMYFUNCTION("""COMPUTED_VALUE"""),1.0)</f>
        <v>1</v>
      </c>
      <c r="O114" s="9"/>
      <c r="P114" s="9"/>
      <c r="Q114" s="12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2">
        <f>IFERROR(__xludf.DUMMYFUNCTION("""COMPUTED_VALUE"""),3.0)</f>
        <v>3</v>
      </c>
      <c r="D115" s="9"/>
      <c r="E115" s="9"/>
      <c r="F115" s="9"/>
      <c r="G115" s="13">
        <f>IFERROR(__xludf.DUMMYFUNCTION("""COMPUTED_VALUE"""),0.6666666666666666)</f>
        <v>0.6666666667</v>
      </c>
      <c r="H115" s="9"/>
      <c r="I115" s="9"/>
      <c r="J115" s="12">
        <f>IFERROR(__xludf.DUMMYFUNCTION("""COMPUTED_VALUE"""),2.0)</f>
        <v>2</v>
      </c>
      <c r="K115" s="9"/>
      <c r="L115" s="9"/>
      <c r="M115" s="9"/>
      <c r="N115" s="13">
        <f>IFERROR(__xludf.DUMMYFUNCTION("""COMPUTED_VALUE"""),0.5)</f>
        <v>0.5</v>
      </c>
      <c r="O115" s="9"/>
      <c r="P115" s="9"/>
      <c r="Q115" s="12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2">
        <f>IFERROR(__xludf.DUMMYFUNCTION("""COMPUTED_VALUE"""),5.0)</f>
        <v>5</v>
      </c>
      <c r="D116" s="9"/>
      <c r="E116" s="9"/>
      <c r="F116" s="9"/>
      <c r="G116" s="13">
        <f>IFERROR(__xludf.DUMMYFUNCTION("""COMPUTED_VALUE"""),0.8)</f>
        <v>0.8</v>
      </c>
      <c r="H116" s="9"/>
      <c r="I116" s="9"/>
      <c r="J116" s="12">
        <f>IFERROR(__xludf.DUMMYFUNCTION("""COMPUTED_VALUE"""),4.0)</f>
        <v>4</v>
      </c>
      <c r="K116" s="9"/>
      <c r="L116" s="9"/>
      <c r="M116" s="9"/>
      <c r="N116" s="13">
        <f>IFERROR(__xludf.DUMMYFUNCTION("""COMPUTED_VALUE"""),0.0)</f>
        <v>0</v>
      </c>
      <c r="O116" s="9"/>
      <c r="P116" s="9"/>
      <c r="Q116" s="12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2">
        <f>IFERROR(__xludf.DUMMYFUNCTION("""COMPUTED_VALUE"""),157.74193548387086)</f>
        <v>157.7419355</v>
      </c>
      <c r="C117" s="12">
        <f>IFERROR(__xludf.DUMMYFUNCTION("""COMPUTED_VALUE"""),103.0)</f>
        <v>103</v>
      </c>
      <c r="D117" s="12">
        <f>IFERROR(__xludf.DUMMYFUNCTION("""COMPUTED_VALUE"""),-54.74193548387086)</f>
        <v>-54.74193548</v>
      </c>
      <c r="E117" s="13">
        <f>IFERROR(__xludf.DUMMYFUNCTION("""COMPUTED_VALUE"""),-0.3470347648261754)</f>
        <v>-0.3470347648</v>
      </c>
      <c r="F117" s="13">
        <f>IFERROR(__xludf.DUMMYFUNCTION("""COMPUTED_VALUE"""),0.8547633194692018)</f>
        <v>0.8547633195</v>
      </c>
      <c r="G117" s="13">
        <f>IFERROR(__xludf.DUMMYFUNCTION("""COMPUTED_VALUE"""),0.8155339805825242)</f>
        <v>0.8155339806</v>
      </c>
      <c r="H117" s="36">
        <f>IFERROR(__xludf.DUMMYFUNCTION("""COMPUTED_VALUE"""),-3.9229338886677567)</f>
        <v>-3.922933889</v>
      </c>
      <c r="I117" s="12">
        <f>IFERROR(__xludf.DUMMYFUNCTION("""COMPUTED_VALUE"""),134.83202039369013)</f>
        <v>134.8320204</v>
      </c>
      <c r="J117" s="12">
        <f>IFERROR(__xludf.DUMMYFUNCTION("""COMPUTED_VALUE"""),84.0)</f>
        <v>84</v>
      </c>
      <c r="K117" s="12">
        <f>IFERROR(__xludf.DUMMYFUNCTION("""COMPUTED_VALUE"""),-50.83202039369013)</f>
        <v>-50.83202039</v>
      </c>
      <c r="L117" s="13">
        <f>IFERROR(__xludf.DUMMYFUNCTION("""COMPUTED_VALUE"""),-0.37700258622000865)</f>
        <v>-0.3770025862</v>
      </c>
      <c r="M117" s="13">
        <f>IFERROR(__xludf.DUMMYFUNCTION("""COMPUTED_VALUE"""),0.32395000000000035)</f>
        <v>0.32395</v>
      </c>
      <c r="N117" s="13">
        <f>IFERROR(__xludf.DUMMYFUNCTION("""COMPUTED_VALUE"""),0.32142857142857145)</f>
        <v>0.3214285714</v>
      </c>
      <c r="O117" s="36">
        <f>IFERROR(__xludf.DUMMYFUNCTION("""COMPUTED_VALUE"""),-0.25214285714288964)</f>
        <v>-0.2521428571</v>
      </c>
      <c r="P117" s="12">
        <f>IFERROR(__xludf.DUMMYFUNCTION("""COMPUTED_VALUE"""),43.67883300653597)</f>
        <v>43.67883301</v>
      </c>
      <c r="Q117" s="12">
        <f>IFERROR(__xludf.DUMMYFUNCTION("""COMPUTED_VALUE"""),27.0)</f>
        <v>27</v>
      </c>
      <c r="R117" s="12">
        <f>IFERROR(__xludf.DUMMYFUNCTION("""COMPUTED_VALUE"""),-16.678833006535967)</f>
        <v>-16.67883301</v>
      </c>
      <c r="S117" s="13">
        <f>IFERROR(__xludf.DUMMYFUNCTION("""COMPUTED_VALUE"""),-0.3818516168698966)</f>
        <v>-0.3818516169</v>
      </c>
      <c r="T117" s="12">
        <f>IFERROR(__xludf.DUMMYFUNCTION("""COMPUTED_VALUE"""),279877.8697042484)</f>
        <v>279877.8697</v>
      </c>
      <c r="U117" s="15">
        <f>IFERROR(__xludf.DUMMYFUNCTION("""COMPUTED_VALUE"""),6500.0)</f>
        <v>6500</v>
      </c>
      <c r="V117" s="15">
        <f>IFERROR(__xludf.DUMMYFUNCTION("""COMPUTED_VALUE"""),-330408.13255898585)</f>
        <v>-330408.1326</v>
      </c>
      <c r="W117" s="13">
        <f>IFERROR(__xludf.DUMMYFUNCTION("""COMPUTED_VALUE"""),-1.180543974084602)</f>
        <v>-1.180543974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2">
        <f>IFERROR(__xludf.DUMMYFUNCTION("""COMPUTED_VALUE"""),11.0)</f>
        <v>11</v>
      </c>
      <c r="D118" s="9"/>
      <c r="E118" s="9"/>
      <c r="F118" s="9"/>
      <c r="G118" s="13">
        <f>IFERROR(__xludf.DUMMYFUNCTION("""COMPUTED_VALUE"""),1.0)</f>
        <v>1</v>
      </c>
      <c r="H118" s="9"/>
      <c r="I118" s="9"/>
      <c r="J118" s="12">
        <f>IFERROR(__xludf.DUMMYFUNCTION("""COMPUTED_VALUE"""),11.0)</f>
        <v>11</v>
      </c>
      <c r="K118" s="9"/>
      <c r="L118" s="9"/>
      <c r="M118" s="9"/>
      <c r="N118" s="13">
        <f>IFERROR(__xludf.DUMMYFUNCTION("""COMPUTED_VALUE"""),0.6363636363636364)</f>
        <v>0.6363636364</v>
      </c>
      <c r="O118" s="9"/>
      <c r="P118" s="9"/>
      <c r="Q118" s="12">
        <f>IFERROR(__xludf.DUMMYFUNCTION("""COMPUTED_VALUE"""),7.0)</f>
        <v>7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IFERROR(__xludf.DUMMYFUNCTION("""COMPUTED_VALUE"""),"Felipe Maximo")</f>
        <v>Felipe Maximo</v>
      </c>
      <c r="B119" s="9"/>
      <c r="C119" s="12">
        <f>IFERROR(__xludf.DUMMYFUNCTION("""COMPUTED_VALUE"""),10.0)</f>
        <v>10</v>
      </c>
      <c r="D119" s="9"/>
      <c r="E119" s="9"/>
      <c r="F119" s="9"/>
      <c r="G119" s="13">
        <f>IFERROR(__xludf.DUMMYFUNCTION("""COMPUTED_VALUE"""),0.8)</f>
        <v>0.8</v>
      </c>
      <c r="H119" s="9"/>
      <c r="I119" s="9"/>
      <c r="J119" s="12">
        <f>IFERROR(__xludf.DUMMYFUNCTION("""COMPUTED_VALUE"""),8.0)</f>
        <v>8</v>
      </c>
      <c r="K119" s="9"/>
      <c r="L119" s="9"/>
      <c r="M119" s="9"/>
      <c r="N119" s="13">
        <f>IFERROR(__xludf.DUMMYFUNCTION("""COMPUTED_VALUE"""),0.625)</f>
        <v>0.625</v>
      </c>
      <c r="O119" s="9"/>
      <c r="P119" s="9"/>
      <c r="Q119" s="12">
        <f>IFERROR(__xludf.DUMMYFUNCTION("""COMPUTED_VALUE"""),5.0)</f>
        <v>5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IFERROR(__xludf.DUMMYFUNCTION("""COMPUTED_VALUE"""),"Ilson Costa Lima")</f>
        <v>Ilson Costa Lima</v>
      </c>
      <c r="B120" s="9"/>
      <c r="C120" s="12">
        <f>IFERROR(__xludf.DUMMYFUNCTION("""COMPUTED_VALUE"""),9.0)</f>
        <v>9</v>
      </c>
      <c r="D120" s="9"/>
      <c r="E120" s="9"/>
      <c r="F120" s="9"/>
      <c r="G120" s="13">
        <f>IFERROR(__xludf.DUMMYFUNCTION("""COMPUTED_VALUE"""),0.8888888888888888)</f>
        <v>0.8888888889</v>
      </c>
      <c r="H120" s="9"/>
      <c r="I120" s="9"/>
      <c r="J120" s="12">
        <f>IFERROR(__xludf.DUMMYFUNCTION("""COMPUTED_VALUE"""),8.0)</f>
        <v>8</v>
      </c>
      <c r="K120" s="9"/>
      <c r="L120" s="9"/>
      <c r="M120" s="9"/>
      <c r="N120" s="13">
        <f>IFERROR(__xludf.DUMMYFUNCTION("""COMPUTED_VALUE"""),0.5)</f>
        <v>0.5</v>
      </c>
      <c r="O120" s="9"/>
      <c r="P120" s="9"/>
      <c r="Q120" s="12">
        <f>IFERROR(__xludf.DUMMYFUNCTION("""COMPUTED_VALUE"""),4.0)</f>
        <v>4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2">
        <f>IFERROR(__xludf.DUMMYFUNCTION("""COMPUTED_VALUE"""),13.0)</f>
        <v>13</v>
      </c>
      <c r="D121" s="9"/>
      <c r="E121" s="9"/>
      <c r="F121" s="9"/>
      <c r="G121" s="13">
        <f>IFERROR(__xludf.DUMMYFUNCTION("""COMPUTED_VALUE"""),0.46153846153846156)</f>
        <v>0.4615384615</v>
      </c>
      <c r="H121" s="9"/>
      <c r="I121" s="9"/>
      <c r="J121" s="12">
        <f>IFERROR(__xludf.DUMMYFUNCTION("""COMPUTED_VALUE"""),6.0)</f>
        <v>6</v>
      </c>
      <c r="K121" s="9"/>
      <c r="L121" s="9"/>
      <c r="M121" s="9"/>
      <c r="N121" s="13">
        <f>IFERROR(__xludf.DUMMYFUNCTION("""COMPUTED_VALUE"""),0.3333333333333333)</f>
        <v>0.3333333333</v>
      </c>
      <c r="O121" s="9"/>
      <c r="P121" s="9"/>
      <c r="Q121" s="12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IFERROR(__xludf.DUMMYFUNCTION("""COMPUTED_VALUE"""),"Mariana Jovenato")</f>
        <v>Mariana Jovenato</v>
      </c>
      <c r="B122" s="9"/>
      <c r="C122" s="12">
        <f>IFERROR(__xludf.DUMMYFUNCTION("""COMPUTED_VALUE"""),11.0)</f>
        <v>11</v>
      </c>
      <c r="D122" s="9"/>
      <c r="E122" s="9"/>
      <c r="F122" s="9"/>
      <c r="G122" s="13">
        <f>IFERROR(__xludf.DUMMYFUNCTION("""COMPUTED_VALUE"""),0.6363636363636364)</f>
        <v>0.6363636364</v>
      </c>
      <c r="H122" s="9"/>
      <c r="I122" s="9"/>
      <c r="J122" s="12">
        <f>IFERROR(__xludf.DUMMYFUNCTION("""COMPUTED_VALUE"""),7.0)</f>
        <v>7</v>
      </c>
      <c r="K122" s="9"/>
      <c r="L122" s="9"/>
      <c r="M122" s="9"/>
      <c r="N122" s="13">
        <f>IFERROR(__xludf.DUMMYFUNCTION("""COMPUTED_VALUE"""),0.2857142857142857)</f>
        <v>0.2857142857</v>
      </c>
      <c r="O122" s="9"/>
      <c r="P122" s="9"/>
      <c r="Q122" s="12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IFERROR(__xludf.DUMMYFUNCTION("""COMPUTED_VALUE"""),"Mylena Reis")</f>
        <v>Mylena Reis</v>
      </c>
      <c r="B123" s="9"/>
      <c r="C123" s="12">
        <f>IFERROR(__xludf.DUMMYFUNCTION("""COMPUTED_VALUE"""),8.0)</f>
        <v>8</v>
      </c>
      <c r="D123" s="9"/>
      <c r="E123" s="9"/>
      <c r="F123" s="9"/>
      <c r="G123" s="13">
        <f>IFERROR(__xludf.DUMMYFUNCTION("""COMPUTED_VALUE"""),1.125)</f>
        <v>1.125</v>
      </c>
      <c r="H123" s="9"/>
      <c r="I123" s="9"/>
      <c r="J123" s="12">
        <f>IFERROR(__xludf.DUMMYFUNCTION("""COMPUTED_VALUE"""),9.0)</f>
        <v>9</v>
      </c>
      <c r="K123" s="9"/>
      <c r="L123" s="9"/>
      <c r="M123" s="9"/>
      <c r="N123" s="13">
        <f>IFERROR(__xludf.DUMMYFUNCTION("""COMPUTED_VALUE"""),0.2222222222222222)</f>
        <v>0.2222222222</v>
      </c>
      <c r="O123" s="9"/>
      <c r="P123" s="9"/>
      <c r="Q123" s="12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IFERROR(__xludf.DUMMYFUNCTION("""COMPUTED_VALUE"""),"João Rios")</f>
        <v>João Rios</v>
      </c>
      <c r="B124" s="9"/>
      <c r="C124" s="12">
        <f>IFERROR(__xludf.DUMMYFUNCTION("""COMPUTED_VALUE"""),13.0)</f>
        <v>13</v>
      </c>
      <c r="D124" s="9"/>
      <c r="E124" s="9"/>
      <c r="F124" s="9"/>
      <c r="G124" s="13">
        <f>IFERROR(__xludf.DUMMYFUNCTION("""COMPUTED_VALUE"""),0.6923076923076923)</f>
        <v>0.6923076923</v>
      </c>
      <c r="H124" s="9"/>
      <c r="I124" s="9"/>
      <c r="J124" s="12">
        <f>IFERROR(__xludf.DUMMYFUNCTION("""COMPUTED_VALUE"""),9.0)</f>
        <v>9</v>
      </c>
      <c r="K124" s="9"/>
      <c r="L124" s="9"/>
      <c r="M124" s="9"/>
      <c r="N124" s="13">
        <f>IFERROR(__xludf.DUMMYFUNCTION("""COMPUTED_VALUE"""),0.2222222222222222)</f>
        <v>0.2222222222</v>
      </c>
      <c r="O124" s="9"/>
      <c r="P124" s="9"/>
      <c r="Q124" s="12">
        <f>IFERROR(__xludf.DUMMYFUNCTION("""COMPUTED_VALUE"""),2.0)</f>
        <v>2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IFERROR(__xludf.DUMMYFUNCTION("""COMPUTED_VALUE"""),"Cauã Andrade")</f>
        <v>Cauã Andrade</v>
      </c>
      <c r="B125" s="9"/>
      <c r="C125" s="12">
        <f>IFERROR(__xludf.DUMMYFUNCTION("""COMPUTED_VALUE"""),11.0)</f>
        <v>11</v>
      </c>
      <c r="D125" s="9"/>
      <c r="E125" s="9"/>
      <c r="F125" s="9"/>
      <c r="G125" s="13">
        <f>IFERROR(__xludf.DUMMYFUNCTION("""COMPUTED_VALUE"""),0.9090909090909091)</f>
        <v>0.9090909091</v>
      </c>
      <c r="H125" s="9"/>
      <c r="I125" s="9"/>
      <c r="J125" s="12">
        <f>IFERROR(__xludf.DUMMYFUNCTION("""COMPUTED_VALUE"""),10.0)</f>
        <v>10</v>
      </c>
      <c r="K125" s="9"/>
      <c r="L125" s="9"/>
      <c r="M125" s="9"/>
      <c r="N125" s="13">
        <f>IFERROR(__xludf.DUMMYFUNCTION("""COMPUTED_VALUE"""),0.2)</f>
        <v>0.2</v>
      </c>
      <c r="O125" s="9"/>
      <c r="P125" s="9"/>
      <c r="Q125" s="12">
        <f>IFERROR(__xludf.DUMMYFUNCTION("""COMPUTED_VALUE"""),2.0)</f>
        <v>2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IFERROR(__xludf.DUMMYFUNCTION("""COMPUTED_VALUE"""),"Marcio Lucas")</f>
        <v>Marcio Lucas</v>
      </c>
      <c r="B126" s="9"/>
      <c r="C126" s="12">
        <f>IFERROR(__xludf.DUMMYFUNCTION("""COMPUTED_VALUE"""),14.0)</f>
        <v>14</v>
      </c>
      <c r="D126" s="9"/>
      <c r="E126" s="9"/>
      <c r="F126" s="9"/>
      <c r="G126" s="13">
        <f>IFERROR(__xludf.DUMMYFUNCTION("""COMPUTED_VALUE"""),0.7857142857142857)</f>
        <v>0.7857142857</v>
      </c>
      <c r="H126" s="9"/>
      <c r="I126" s="9"/>
      <c r="J126" s="12">
        <f>IFERROR(__xludf.DUMMYFUNCTION("""COMPUTED_VALUE"""),11.0)</f>
        <v>11</v>
      </c>
      <c r="K126" s="9"/>
      <c r="L126" s="9"/>
      <c r="M126" s="9"/>
      <c r="N126" s="13">
        <f>IFERROR(__xludf.DUMMYFUNCTION("""COMPUTED_VALUE"""),0.09090909090909091)</f>
        <v>0.09090909091</v>
      </c>
      <c r="O126" s="9"/>
      <c r="P126" s="9"/>
      <c r="Q126" s="12">
        <f>IFERROR(__xludf.DUMMYFUNCTION("""COMPUTED_VALUE"""),1.0)</f>
        <v>1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IFERROR(__xludf.DUMMYFUNCTION("""COMPUTED_VALUE"""),"João Vitor Nascimento")</f>
        <v>João Vitor Nascimento</v>
      </c>
      <c r="B127" s="9"/>
      <c r="C127" s="12">
        <f>IFERROR(__xludf.DUMMYFUNCTION("""COMPUTED_VALUE"""),1.0)</f>
        <v>1</v>
      </c>
      <c r="D127" s="9"/>
      <c r="E127" s="9"/>
      <c r="F127" s="9"/>
      <c r="G127" s="13">
        <f>IFERROR(__xludf.DUMMYFUNCTION("""COMPUTED_VALUE"""),1.0)</f>
        <v>1</v>
      </c>
      <c r="H127" s="9"/>
      <c r="I127" s="9"/>
      <c r="J127" s="12">
        <f>IFERROR(__xludf.DUMMYFUNCTION("""COMPUTED_VALUE"""),1.0)</f>
        <v>1</v>
      </c>
      <c r="K127" s="9"/>
      <c r="L127" s="9"/>
      <c r="M127" s="9"/>
      <c r="N127" s="13">
        <f>IFERROR(__xludf.DUMMYFUNCTION("""COMPUTED_VALUE"""),0.0)</f>
        <v>0</v>
      </c>
      <c r="O127" s="9"/>
      <c r="P127" s="9"/>
      <c r="Q127" s="12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IFERROR(__xludf.DUMMYFUNCTION("""COMPUTED_VALUE"""),"Izabelle Lopes")</f>
        <v>Izabelle Lopes</v>
      </c>
      <c r="B128" s="9"/>
      <c r="C128" s="12">
        <f>IFERROR(__xludf.DUMMYFUNCTION("""COMPUTED_VALUE"""),2.0)</f>
        <v>2</v>
      </c>
      <c r="D128" s="9"/>
      <c r="E128" s="9"/>
      <c r="F128" s="9"/>
      <c r="G128" s="13">
        <f>IFERROR(__xludf.DUMMYFUNCTION("""COMPUTED_VALUE"""),0.5)</f>
        <v>0.5</v>
      </c>
      <c r="H128" s="9"/>
      <c r="I128" s="9"/>
      <c r="J128" s="12">
        <f>IFERROR(__xludf.DUMMYFUNCTION("""COMPUTED_VALUE"""),1.0)</f>
        <v>1</v>
      </c>
      <c r="K128" s="9"/>
      <c r="L128" s="9"/>
      <c r="M128" s="9"/>
      <c r="N128" s="13">
        <f>IFERROR(__xludf.DUMMYFUNCTION("""COMPUTED_VALUE"""),0.0)</f>
        <v>0</v>
      </c>
      <c r="O128" s="9"/>
      <c r="P128" s="9"/>
      <c r="Q128" s="12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2">
        <f>IFERROR(__xludf.DUMMYFUNCTION("""COMPUTED_VALUE"""),51.48387096774191)</f>
        <v>51.48387097</v>
      </c>
      <c r="C129" s="12">
        <f>IFERROR(__xludf.DUMMYFUNCTION("""COMPUTED_VALUE"""),65.0)</f>
        <v>65</v>
      </c>
      <c r="D129" s="12">
        <f>IFERROR(__xludf.DUMMYFUNCTION("""COMPUTED_VALUE"""),13.516129032258092)</f>
        <v>13.51612903</v>
      </c>
      <c r="E129" s="13">
        <f>IFERROR(__xludf.DUMMYFUNCTION("""COMPUTED_VALUE"""),0.26253132832080267)</f>
        <v>0.2625313283</v>
      </c>
      <c r="F129" s="13">
        <f>IFERROR(__xludf.DUMMYFUNCTION("""COMPUTED_VALUE"""),0.7)</f>
        <v>0.7</v>
      </c>
      <c r="G129" s="13">
        <f>IFERROR(__xludf.DUMMYFUNCTION("""COMPUTED_VALUE"""),0.5538461538461539)</f>
        <v>0.5538461538</v>
      </c>
      <c r="H129" s="36">
        <f>IFERROR(__xludf.DUMMYFUNCTION("""COMPUTED_VALUE"""),-14.615384615384608)</f>
        <v>-14.61538462</v>
      </c>
      <c r="I129" s="12">
        <f>IFERROR(__xludf.DUMMYFUNCTION("""COMPUTED_VALUE"""),36.038709677419334)</f>
        <v>36.03870968</v>
      </c>
      <c r="J129" s="12">
        <f>IFERROR(__xludf.DUMMYFUNCTION("""COMPUTED_VALUE"""),36.0)</f>
        <v>36</v>
      </c>
      <c r="K129" s="12">
        <f>IFERROR(__xludf.DUMMYFUNCTION("""COMPUTED_VALUE"""),-0.03870967741933384)</f>
        <v>-0.03870967742</v>
      </c>
      <c r="L129" s="13">
        <f>IFERROR(__xludf.DUMMYFUNCTION("""COMPUTED_VALUE"""),-0.0010741138560681613)</f>
        <v>-0.001074113856</v>
      </c>
      <c r="M129" s="13">
        <f>IFERROR(__xludf.DUMMYFUNCTION("""COMPUTED_VALUE"""),0.2748666666666669)</f>
        <v>0.2748666667</v>
      </c>
      <c r="N129" s="13">
        <f>IFERROR(__xludf.DUMMYFUNCTION("""COMPUTED_VALUE"""),0.3611111111111111)</f>
        <v>0.3611111111</v>
      </c>
      <c r="O129" s="36">
        <f>IFERROR(__xludf.DUMMYFUNCTION("""COMPUTED_VALUE"""),8.624444444444418)</f>
        <v>8.624444444</v>
      </c>
      <c r="P129" s="12">
        <f>IFERROR(__xludf.DUMMYFUNCTION("""COMPUTED_VALUE"""),9.905840000000003)</f>
        <v>9.90584</v>
      </c>
      <c r="Q129" s="12">
        <f>IFERROR(__xludf.DUMMYFUNCTION("""COMPUTED_VALUE"""),13.0)</f>
        <v>13</v>
      </c>
      <c r="R129" s="12">
        <f>IFERROR(__xludf.DUMMYFUNCTION("""COMPUTED_VALUE"""),3.094159999999997)</f>
        <v>3.09416</v>
      </c>
      <c r="S129" s="13">
        <f>IFERROR(__xludf.DUMMYFUNCTION("""COMPUTED_VALUE"""),0.3123571549712085)</f>
        <v>0.312357155</v>
      </c>
      <c r="T129" s="12">
        <f>IFERROR(__xludf.DUMMYFUNCTION("""COMPUTED_VALUE"""),82026.61152)</f>
        <v>82026.61152</v>
      </c>
      <c r="U129" s="15">
        <f>IFERROR(__xludf.DUMMYFUNCTION("""COMPUTED_VALUE"""),8400.0)</f>
        <v>8400</v>
      </c>
      <c r="V129" s="15">
        <f>IFERROR(__xludf.DUMMYFUNCTION("""COMPUTED_VALUE"""),-325.1612903224043)</f>
        <v>-325.1612903</v>
      </c>
      <c r="W129" s="13">
        <f>IFERROR(__xludf.DUMMYFUNCTION("""COMPUTED_VALUE"""),-0.0039640951186082135)</f>
        <v>-0.003964095119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2">
        <f>IFERROR(__xludf.DUMMYFUNCTION("""COMPUTED_VALUE"""),8.0)</f>
        <v>8</v>
      </c>
      <c r="D130" s="9"/>
      <c r="E130" s="9"/>
      <c r="F130" s="9"/>
      <c r="G130" s="13">
        <f>IFERROR(__xludf.DUMMYFUNCTION("""COMPUTED_VALUE"""),0.625)</f>
        <v>0.625</v>
      </c>
      <c r="H130" s="9"/>
      <c r="I130" s="9"/>
      <c r="J130" s="12">
        <f>IFERROR(__xludf.DUMMYFUNCTION("""COMPUTED_VALUE"""),5.0)</f>
        <v>5</v>
      </c>
      <c r="K130" s="9"/>
      <c r="L130" s="9"/>
      <c r="M130" s="9"/>
      <c r="N130" s="13">
        <f>IFERROR(__xludf.DUMMYFUNCTION("""COMPUTED_VALUE"""),0.8)</f>
        <v>0.8</v>
      </c>
      <c r="O130" s="9"/>
      <c r="P130" s="9"/>
      <c r="Q130" s="12">
        <f>IFERROR(__xludf.DUMMYFUNCTION("""COMPUTED_VALUE"""),4.0)</f>
        <v>4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2">
        <f>IFERROR(__xludf.DUMMYFUNCTION("""COMPUTED_VALUE"""),7.0)</f>
        <v>7</v>
      </c>
      <c r="D131" s="9"/>
      <c r="E131" s="9"/>
      <c r="F131" s="9"/>
      <c r="G131" s="13">
        <f>IFERROR(__xludf.DUMMYFUNCTION("""COMPUTED_VALUE"""),1.0)</f>
        <v>1</v>
      </c>
      <c r="H131" s="9"/>
      <c r="I131" s="9"/>
      <c r="J131" s="12">
        <f>IFERROR(__xludf.DUMMYFUNCTION("""COMPUTED_VALUE"""),7.0)</f>
        <v>7</v>
      </c>
      <c r="K131" s="9"/>
      <c r="L131" s="9"/>
      <c r="M131" s="9"/>
      <c r="N131" s="13">
        <f>IFERROR(__xludf.DUMMYFUNCTION("""COMPUTED_VALUE"""),0.2857142857142857)</f>
        <v>0.2857142857</v>
      </c>
      <c r="O131" s="9"/>
      <c r="P131" s="9"/>
      <c r="Q131" s="12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2">
        <f>IFERROR(__xludf.DUMMYFUNCTION("""COMPUTED_VALUE"""),2.0)</f>
        <v>2</v>
      </c>
      <c r="D132" s="9"/>
      <c r="E132" s="9"/>
      <c r="F132" s="9"/>
      <c r="G132" s="13">
        <f>IFERROR(__xludf.DUMMYFUNCTION("""COMPUTED_VALUE"""),0.5)</f>
        <v>0.5</v>
      </c>
      <c r="H132" s="9"/>
      <c r="I132" s="9"/>
      <c r="J132" s="12">
        <f>IFERROR(__xludf.DUMMYFUNCTION("""COMPUTED_VALUE"""),1.0)</f>
        <v>1</v>
      </c>
      <c r="K132" s="9"/>
      <c r="L132" s="9"/>
      <c r="M132" s="9"/>
      <c r="N132" s="13">
        <f>IFERROR(__xludf.DUMMYFUNCTION("""COMPUTED_VALUE"""),1.0)</f>
        <v>1</v>
      </c>
      <c r="O132" s="9"/>
      <c r="P132" s="9"/>
      <c r="Q132" s="12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IFERROR(__xludf.DUMMYFUNCTION("""COMPUTED_VALUE"""),"Mylena Reis")</f>
        <v>Mylena Reis</v>
      </c>
      <c r="B133" s="9"/>
      <c r="C133" s="12">
        <f>IFERROR(__xludf.DUMMYFUNCTION("""COMPUTED_VALUE"""),4.0)</f>
        <v>4</v>
      </c>
      <c r="D133" s="9"/>
      <c r="E133" s="9"/>
      <c r="F133" s="9"/>
      <c r="G133" s="13">
        <f>IFERROR(__xludf.DUMMYFUNCTION("""COMPUTED_VALUE"""),0.5)</f>
        <v>0.5</v>
      </c>
      <c r="H133" s="9"/>
      <c r="I133" s="9"/>
      <c r="J133" s="12">
        <f>IFERROR(__xludf.DUMMYFUNCTION("""COMPUTED_VALUE"""),2.0)</f>
        <v>2</v>
      </c>
      <c r="K133" s="9"/>
      <c r="L133" s="9"/>
      <c r="M133" s="9"/>
      <c r="N133" s="13">
        <f>IFERROR(__xludf.DUMMYFUNCTION("""COMPUTED_VALUE"""),0.5)</f>
        <v>0.5</v>
      </c>
      <c r="O133" s="9"/>
      <c r="P133" s="9"/>
      <c r="Q133" s="12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IFERROR(__xludf.DUMMYFUNCTION("""COMPUTED_VALUE"""),"Felipe Maximo")</f>
        <v>Felipe Maximo</v>
      </c>
      <c r="B134" s="9"/>
      <c r="C134" s="12">
        <f>IFERROR(__xludf.DUMMYFUNCTION("""COMPUTED_VALUE"""),7.0)</f>
        <v>7</v>
      </c>
      <c r="D134" s="9"/>
      <c r="E134" s="9"/>
      <c r="F134" s="9"/>
      <c r="G134" s="13">
        <f>IFERROR(__xludf.DUMMYFUNCTION("""COMPUTED_VALUE"""),0.2857142857142857)</f>
        <v>0.2857142857</v>
      </c>
      <c r="H134" s="9"/>
      <c r="I134" s="9"/>
      <c r="J134" s="12">
        <f>IFERROR(__xludf.DUMMYFUNCTION("""COMPUTED_VALUE"""),2.0)</f>
        <v>2</v>
      </c>
      <c r="K134" s="9"/>
      <c r="L134" s="9"/>
      <c r="M134" s="9"/>
      <c r="N134" s="13">
        <f>IFERROR(__xludf.DUMMYFUNCTION("""COMPUTED_VALUE"""),0.5)</f>
        <v>0.5</v>
      </c>
      <c r="O134" s="9"/>
      <c r="P134" s="9"/>
      <c r="Q134" s="12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IFERROR(__xludf.DUMMYFUNCTION("""COMPUTED_VALUE"""),"Gustavo Pereira")</f>
        <v>Gustavo Pereira</v>
      </c>
      <c r="B135" s="9"/>
      <c r="C135" s="12">
        <f>IFERROR(__xludf.DUMMYFUNCTION("""COMPUTED_VALUE"""),7.0)</f>
        <v>7</v>
      </c>
      <c r="D135" s="9"/>
      <c r="E135" s="9"/>
      <c r="F135" s="9"/>
      <c r="G135" s="13">
        <f>IFERROR(__xludf.DUMMYFUNCTION("""COMPUTED_VALUE"""),0.42857142857142855)</f>
        <v>0.4285714286</v>
      </c>
      <c r="H135" s="9"/>
      <c r="I135" s="9"/>
      <c r="J135" s="12">
        <f>IFERROR(__xludf.DUMMYFUNCTION("""COMPUTED_VALUE"""),3.0)</f>
        <v>3</v>
      </c>
      <c r="K135" s="9"/>
      <c r="L135" s="9"/>
      <c r="M135" s="9"/>
      <c r="N135" s="13">
        <f>IFERROR(__xludf.DUMMYFUNCTION("""COMPUTED_VALUE"""),0.3333333333333333)</f>
        <v>0.3333333333</v>
      </c>
      <c r="O135" s="9"/>
      <c r="P135" s="9"/>
      <c r="Q135" s="12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IFERROR(__xludf.DUMMYFUNCTION("""COMPUTED_VALUE"""),"João Rios")</f>
        <v>João Rios</v>
      </c>
      <c r="B136" s="9"/>
      <c r="C136" s="12">
        <f>IFERROR(__xludf.DUMMYFUNCTION("""COMPUTED_VALUE"""),8.0)</f>
        <v>8</v>
      </c>
      <c r="D136" s="9"/>
      <c r="E136" s="9"/>
      <c r="F136" s="9"/>
      <c r="G136" s="13">
        <f>IFERROR(__xludf.DUMMYFUNCTION("""COMPUTED_VALUE"""),0.5)</f>
        <v>0.5</v>
      </c>
      <c r="H136" s="9"/>
      <c r="I136" s="9"/>
      <c r="J136" s="12">
        <f>IFERROR(__xludf.DUMMYFUNCTION("""COMPUTED_VALUE"""),4.0)</f>
        <v>4</v>
      </c>
      <c r="K136" s="9"/>
      <c r="L136" s="9"/>
      <c r="M136" s="9"/>
      <c r="N136" s="13">
        <f>IFERROR(__xludf.DUMMYFUNCTION("""COMPUTED_VALUE"""),0.25)</f>
        <v>0.25</v>
      </c>
      <c r="O136" s="9"/>
      <c r="P136" s="9"/>
      <c r="Q136" s="12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IFERROR(__xludf.DUMMYFUNCTION("""COMPUTED_VALUE"""),"Ilson Costa Lima")</f>
        <v>Ilson Costa Lima</v>
      </c>
      <c r="B137" s="9"/>
      <c r="C137" s="12">
        <f>IFERROR(__xludf.DUMMYFUNCTION("""COMPUTED_VALUE"""),7.0)</f>
        <v>7</v>
      </c>
      <c r="D137" s="9"/>
      <c r="E137" s="9"/>
      <c r="F137" s="9"/>
      <c r="G137" s="13">
        <f>IFERROR(__xludf.DUMMYFUNCTION("""COMPUTED_VALUE"""),0.5714285714285714)</f>
        <v>0.5714285714</v>
      </c>
      <c r="H137" s="9"/>
      <c r="I137" s="9"/>
      <c r="J137" s="12">
        <f>IFERROR(__xludf.DUMMYFUNCTION("""COMPUTED_VALUE"""),4.0)</f>
        <v>4</v>
      </c>
      <c r="K137" s="9"/>
      <c r="L137" s="9"/>
      <c r="M137" s="9"/>
      <c r="N137" s="13">
        <f>IFERROR(__xludf.DUMMYFUNCTION("""COMPUTED_VALUE"""),0.25)</f>
        <v>0.25</v>
      </c>
      <c r="O137" s="9"/>
      <c r="P137" s="9"/>
      <c r="Q137" s="12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2">
        <f>IFERROR(__xludf.DUMMYFUNCTION("""COMPUTED_VALUE"""),7.0)</f>
        <v>7</v>
      </c>
      <c r="D138" s="9"/>
      <c r="E138" s="9"/>
      <c r="F138" s="9"/>
      <c r="G138" s="13">
        <f>IFERROR(__xludf.DUMMYFUNCTION("""COMPUTED_VALUE"""),0.7142857142857143)</f>
        <v>0.7142857143</v>
      </c>
      <c r="H138" s="9"/>
      <c r="I138" s="9"/>
      <c r="J138" s="12">
        <f>IFERROR(__xludf.DUMMYFUNCTION("""COMPUTED_VALUE"""),5.0)</f>
        <v>5</v>
      </c>
      <c r="K138" s="9"/>
      <c r="L138" s="9"/>
      <c r="M138" s="9"/>
      <c r="N138" s="13">
        <f>IFERROR(__xludf.DUMMYFUNCTION("""COMPUTED_VALUE"""),0.2)</f>
        <v>0.2</v>
      </c>
      <c r="O138" s="9"/>
      <c r="P138" s="9"/>
      <c r="Q138" s="12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2">
        <f>IFERROR(__xludf.DUMMYFUNCTION("""COMPUTED_VALUE"""),8.0)</f>
        <v>8</v>
      </c>
      <c r="D139" s="9"/>
      <c r="E139" s="9"/>
      <c r="F139" s="9"/>
      <c r="G139" s="13">
        <f>IFERROR(__xludf.DUMMYFUNCTION("""COMPUTED_VALUE"""),0.25)</f>
        <v>0.25</v>
      </c>
      <c r="H139" s="9"/>
      <c r="I139" s="9"/>
      <c r="J139" s="12">
        <f>IFERROR(__xludf.DUMMYFUNCTION("""COMPUTED_VALUE"""),2.0)</f>
        <v>2</v>
      </c>
      <c r="K139" s="9"/>
      <c r="L139" s="9"/>
      <c r="M139" s="9"/>
      <c r="N139" s="13">
        <f>IFERROR(__xludf.DUMMYFUNCTION("""COMPUTED_VALUE"""),0.0)</f>
        <v>0</v>
      </c>
      <c r="O139" s="9"/>
      <c r="P139" s="9"/>
      <c r="Q139" s="12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2">
        <f>IFERROR(__xludf.DUMMYFUNCTION("""COMPUTED_VALUE"""),750.0)</f>
        <v>750</v>
      </c>
      <c r="C226" s="35">
        <f>IFERROR(__xludf.DUMMYFUNCTION("""COMPUTED_VALUE"""),623.0)</f>
        <v>623</v>
      </c>
      <c r="D226" s="35">
        <f>IFERROR(__xludf.DUMMYFUNCTION("""COMPUTED_VALUE"""),168.0)</f>
        <v>168</v>
      </c>
      <c r="E226" s="35">
        <f>IFERROR(__xludf.DUMMYFUNCTION("""COMPUTED_VALUE"""),725.8064516129027)</f>
        <v>725.8064516</v>
      </c>
      <c r="F226" s="35">
        <f>IFERROR(__xludf.DUMMYFUNCTION("""COMPUTED_VALUE"""),602.9032258064512)</f>
        <v>602.9032258</v>
      </c>
      <c r="G226" s="35">
        <f>IFERROR(__xludf.DUMMYFUNCTION("""COMPUTED_VALUE"""),159.60000000000005)</f>
        <v>159.6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2">
        <f>IFERROR(__xludf.DUMMYFUNCTION("""COMPUTED_VALUE"""),31.0)</f>
        <v>31</v>
      </c>
      <c r="C227" s="35">
        <f>IFERROR(__xludf.DUMMYFUNCTION("""COMPUTED_VALUE"""),31.0)</f>
        <v>31</v>
      </c>
      <c r="D227" s="35">
        <f>IFERROR(__xludf.DUMMYFUNCTION("""COMPUTED_VALUE"""),11.0)</f>
        <v>11</v>
      </c>
      <c r="E227" s="35">
        <f>IFERROR(__xludf.DUMMYFUNCTION("""COMPUTED_VALUE"""),29.99999999999998)</f>
        <v>30</v>
      </c>
      <c r="F227" s="35">
        <f>IFERROR(__xludf.DUMMYFUNCTION("""COMPUTED_VALUE"""),29.99999999999998)</f>
        <v>30</v>
      </c>
      <c r="G227" s="35">
        <f>IFERROR(__xludf.DUMMYFUNCTION("""COMPUTED_VALUE"""),10.450000000000003)</f>
        <v>10.45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2">
        <f>IFERROR(__xludf.DUMMYFUNCTION("""COMPUTED_VALUE"""),1975.0)</f>
        <v>1975</v>
      </c>
      <c r="C228" s="35">
        <f>IFERROR(__xludf.DUMMYFUNCTION("""COMPUTED_VALUE"""),1514.0)</f>
        <v>1514</v>
      </c>
      <c r="D228" s="35">
        <f>IFERROR(__xludf.DUMMYFUNCTION("""COMPUTED_VALUE"""),529.0)</f>
        <v>529</v>
      </c>
      <c r="E228" s="35">
        <f>IFERROR(__xludf.DUMMYFUNCTION("""COMPUTED_VALUE"""),1911.290322580644)</f>
        <v>1911.290323</v>
      </c>
      <c r="F228" s="35">
        <f>IFERROR(__xludf.DUMMYFUNCTION("""COMPUTED_VALUE"""),1465.1612903225796)</f>
        <v>1465.16129</v>
      </c>
      <c r="G228" s="35">
        <f>IFERROR(__xludf.DUMMYFUNCTION("""COMPUTED_VALUE"""),502.5500000000001)</f>
        <v>502.55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2">
        <f>IFERROR(__xludf.DUMMYFUNCTION("""COMPUTED_VALUE"""),1237.0)</f>
        <v>1237</v>
      </c>
      <c r="C229" s="35">
        <f>IFERROR(__xludf.DUMMYFUNCTION("""COMPUTED_VALUE"""),970.0)</f>
        <v>970</v>
      </c>
      <c r="D229" s="35">
        <f>IFERROR(__xludf.DUMMYFUNCTION("""COMPUTED_VALUE"""),344.0)</f>
        <v>344</v>
      </c>
      <c r="E229" s="35">
        <f>IFERROR(__xludf.DUMMYFUNCTION("""COMPUTED_VALUE"""),1197.0967741935476)</f>
        <v>1197.096774</v>
      </c>
      <c r="F229" s="35">
        <f>IFERROR(__xludf.DUMMYFUNCTION("""COMPUTED_VALUE"""),938.7096774193542)</f>
        <v>938.7096774</v>
      </c>
      <c r="G229" s="35">
        <f>IFERROR(__xludf.DUMMYFUNCTION("""COMPUTED_VALUE"""),326.8000000000001)</f>
        <v>326.8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2">
        <f>IFERROR(__xludf.DUMMYFUNCTION("""COMPUTED_VALUE"""),362.0)</f>
        <v>362</v>
      </c>
      <c r="C230" s="35">
        <f>IFERROR(__xludf.DUMMYFUNCTION("""COMPUTED_VALUE"""),276.0)</f>
        <v>276</v>
      </c>
      <c r="D230" s="35">
        <f>IFERROR(__xludf.DUMMYFUNCTION("""COMPUTED_VALUE"""),85.0)</f>
        <v>85</v>
      </c>
      <c r="E230" s="35">
        <f>IFERROR(__xludf.DUMMYFUNCTION("""COMPUTED_VALUE"""),350.32258064516105)</f>
        <v>350.3225806</v>
      </c>
      <c r="F230" s="35">
        <f>IFERROR(__xludf.DUMMYFUNCTION("""COMPUTED_VALUE"""),267.0967741935482)</f>
        <v>267.0967742</v>
      </c>
      <c r="G230" s="35">
        <f>IFERROR(__xludf.DUMMYFUNCTION("""COMPUTED_VALUE"""),80.75000000000003)</f>
        <v>80.75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2">
        <f>IFERROR(__xludf.DUMMYFUNCTION("""COMPUTED_VALUE"""),280.0)</f>
        <v>280</v>
      </c>
      <c r="C231" s="35">
        <f>IFERROR(__xludf.DUMMYFUNCTION("""COMPUTED_VALUE"""),205.0)</f>
        <v>205</v>
      </c>
      <c r="D231" s="35">
        <f>IFERROR(__xludf.DUMMYFUNCTION("""COMPUTED_VALUE"""),80.0)</f>
        <v>80</v>
      </c>
      <c r="E231" s="35">
        <f>IFERROR(__xludf.DUMMYFUNCTION("""COMPUTED_VALUE"""),270.9677419354837)</f>
        <v>270.9677419</v>
      </c>
      <c r="F231" s="35">
        <f>IFERROR(__xludf.DUMMYFUNCTION("""COMPUTED_VALUE"""),198.38709677419342)</f>
        <v>198.3870968</v>
      </c>
      <c r="G231" s="35">
        <f>IFERROR(__xludf.DUMMYFUNCTION("""COMPUTED_VALUE"""),76.00000000000003)</f>
        <v>76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2">
        <f>IFERROR(__xludf.DUMMYFUNCTION("""COMPUTED_VALUE"""),96.0)</f>
        <v>96</v>
      </c>
      <c r="C232" s="35">
        <f>IFERROR(__xludf.DUMMYFUNCTION("""COMPUTED_VALUE"""),63.0)</f>
        <v>63</v>
      </c>
      <c r="D232" s="35">
        <f>IFERROR(__xludf.DUMMYFUNCTION("""COMPUTED_VALUE"""),20.0)</f>
        <v>20</v>
      </c>
      <c r="E232" s="35">
        <f>IFERROR(__xludf.DUMMYFUNCTION("""COMPUTED_VALUE"""),92.90322580645156)</f>
        <v>92.90322581</v>
      </c>
      <c r="F232" s="35">
        <f>IFERROR(__xludf.DUMMYFUNCTION("""COMPUTED_VALUE"""),60.96774193548383)</f>
        <v>60.96774194</v>
      </c>
      <c r="G232" s="35">
        <f>IFERROR(__xludf.DUMMYFUNCTION("""COMPUTED_VALUE"""),19.000000000000007)</f>
        <v>19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2">
        <f>IFERROR(__xludf.DUMMYFUNCTION("""COMPUTED_VALUE"""),2456.0)</f>
        <v>2456</v>
      </c>
      <c r="C233" s="35">
        <f>IFERROR(__xludf.DUMMYFUNCTION("""COMPUTED_VALUE"""),1647.0)</f>
        <v>1647</v>
      </c>
      <c r="D233" s="35">
        <f>IFERROR(__xludf.DUMMYFUNCTION("""COMPUTED_VALUE"""),564.0)</f>
        <v>564</v>
      </c>
      <c r="E233" s="35">
        <f>IFERROR(__xludf.DUMMYFUNCTION("""COMPUTED_VALUE"""),2376.7741935483855)</f>
        <v>2376.774194</v>
      </c>
      <c r="F233" s="35">
        <f>IFERROR(__xludf.DUMMYFUNCTION("""COMPUTED_VALUE"""),1593.8709677419345)</f>
        <v>1593.870968</v>
      </c>
      <c r="G233" s="35">
        <f>IFERROR(__xludf.DUMMYFUNCTION("""COMPUTED_VALUE"""),535.8000000000002)</f>
        <v>535.8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2">
        <f>IFERROR(__xludf.DUMMYFUNCTION("""COMPUTED_VALUE"""),371.0)</f>
        <v>371</v>
      </c>
      <c r="C234" s="35">
        <f>IFERROR(__xludf.DUMMYFUNCTION("""COMPUTED_VALUE"""),299.0)</f>
        <v>299</v>
      </c>
      <c r="D234" s="35">
        <f>IFERROR(__xludf.DUMMYFUNCTION("""COMPUTED_VALUE"""),102.0)</f>
        <v>102</v>
      </c>
      <c r="E234" s="35">
        <f>IFERROR(__xludf.DUMMYFUNCTION("""COMPUTED_VALUE"""),359.0322580645159)</f>
        <v>359.0322581</v>
      </c>
      <c r="F234" s="35">
        <f>IFERROR(__xludf.DUMMYFUNCTION("""COMPUTED_VALUE"""),289.3548387096772)</f>
        <v>289.3548387</v>
      </c>
      <c r="G234" s="35">
        <f>IFERROR(__xludf.DUMMYFUNCTION("""COMPUTED_VALUE"""),96.90000000000003)</f>
        <v>96.9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2">
        <f>IFERROR(__xludf.DUMMYFUNCTION("""COMPUTED_VALUE"""),360.0)</f>
        <v>360</v>
      </c>
      <c r="C235" s="35">
        <f>IFERROR(__xludf.DUMMYFUNCTION("""COMPUTED_VALUE"""),254.0)</f>
        <v>254</v>
      </c>
      <c r="D235" s="35">
        <f>IFERROR(__xludf.DUMMYFUNCTION("""COMPUTED_VALUE"""),58.0)</f>
        <v>58</v>
      </c>
      <c r="E235" s="35">
        <f>IFERROR(__xludf.DUMMYFUNCTION("""COMPUTED_VALUE"""),348.3870967741933)</f>
        <v>348.3870968</v>
      </c>
      <c r="F235" s="35">
        <f>IFERROR(__xludf.DUMMYFUNCTION("""COMPUTED_VALUE"""),245.80645161290306)</f>
        <v>245.8064516</v>
      </c>
      <c r="G235" s="35">
        <f>IFERROR(__xludf.DUMMYFUNCTION("""COMPUTED_VALUE"""),55.100000000000016)</f>
        <v>55.1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2">
        <f>IFERROR(__xludf.DUMMYFUNCTION("""COMPUTED_VALUE"""),221.0)</f>
        <v>221</v>
      </c>
      <c r="C236" s="35">
        <f>IFERROR(__xludf.DUMMYFUNCTION("""COMPUTED_VALUE"""),118.0)</f>
        <v>118</v>
      </c>
      <c r="D236" s="35">
        <f>IFERROR(__xludf.DUMMYFUNCTION("""COMPUTED_VALUE"""),36.0)</f>
        <v>36</v>
      </c>
      <c r="E236" s="35">
        <f>IFERROR(__xludf.DUMMYFUNCTION("""COMPUTED_VALUE"""),213.87096774193535)</f>
        <v>213.8709677</v>
      </c>
      <c r="F236" s="35">
        <f>IFERROR(__xludf.DUMMYFUNCTION("""COMPUTED_VALUE"""),114.1935483870967)</f>
        <v>114.1935484</v>
      </c>
      <c r="G236" s="35">
        <f>IFERROR(__xludf.DUMMYFUNCTION("""COMPUTED_VALUE"""),34.20000000000001)</f>
        <v>34.2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2">
        <f>IFERROR(__xludf.DUMMYFUNCTION("""COMPUTED_VALUE"""),1440.0)</f>
        <v>1440</v>
      </c>
      <c r="C237" s="35">
        <f>IFERROR(__xludf.DUMMYFUNCTION("""COMPUTED_VALUE"""),934.0)</f>
        <v>934</v>
      </c>
      <c r="D237" s="35">
        <f>IFERROR(__xludf.DUMMYFUNCTION("""COMPUTED_VALUE"""),355.0)</f>
        <v>355</v>
      </c>
      <c r="E237" s="35">
        <f>IFERROR(__xludf.DUMMYFUNCTION("""COMPUTED_VALUE"""),1393.5483870967732)</f>
        <v>1393.548387</v>
      </c>
      <c r="F237" s="35">
        <f>IFERROR(__xludf.DUMMYFUNCTION("""COMPUTED_VALUE"""),903.8709677419349)</f>
        <v>903.8709677</v>
      </c>
      <c r="G237" s="35">
        <f>IFERROR(__xludf.DUMMYFUNCTION("""COMPUTED_VALUE"""),337.2500000000001)</f>
        <v>337.25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2">
        <f>IFERROR(__xludf.DUMMYFUNCTION("""COMPUTED_VALUE"""),64.0)</f>
        <v>64</v>
      </c>
      <c r="C238" s="35">
        <f>IFERROR(__xludf.DUMMYFUNCTION("""COMPUTED_VALUE"""),42.0)</f>
        <v>42</v>
      </c>
      <c r="D238" s="35">
        <f>IFERROR(__xludf.DUMMYFUNCTION("""COMPUTED_VALUE"""),13.0)</f>
        <v>13</v>
      </c>
      <c r="E238" s="35">
        <f>IFERROR(__xludf.DUMMYFUNCTION("""COMPUTED_VALUE"""),61.9354838709677)</f>
        <v>61.93548387</v>
      </c>
      <c r="F238" s="35">
        <f>IFERROR(__xludf.DUMMYFUNCTION("""COMPUTED_VALUE"""),40.645161290322555)</f>
        <v>40.64516129</v>
      </c>
      <c r="G238" s="35">
        <f>IFERROR(__xludf.DUMMYFUNCTION("""COMPUTED_VALUE"""),12.350000000000003)</f>
        <v>12.35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