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<sst xmlns="http://schemas.openxmlformats.org/spreadsheetml/2006/main" count="682" uniqueCount="394">
  <si>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</si>
  <si>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</si>
  <si>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</si>
  <si>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</si>
  <si>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</si>
  <si>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</si>
  <si>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</si>
  <si>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</si>
  <si>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</si>
  <si>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</si>
  <si>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</si>
  <si>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</si>
  <si>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</si>
  <si>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</si>
  <si>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</si>
  <si>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</si>
  <si>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</si>
  <si>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</si>
  <si>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</si>
  <si>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</si>
  <si>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</si>
  <si>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</si>
  <si>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</si>
  <si>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</si>
  <si>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</si>
  <si>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</si>
  <si>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</si>
  <si>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</si>
  <si>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</si>
  <si>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</si>
  <si>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</si>
  <si>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</si>
  <si>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</si>
  <si>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</si>
  <si>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</si>
  <si>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</si>
  <si>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</si>
  <si>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</si>
  <si>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</si>
  <si>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</si>
  <si>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</si>
  <si>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</si>
  <si>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</si>
  <si>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</si>
  <si>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</si>
  <si>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</si>
  <si>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</si>
  <si>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</si>
  <si>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</si>
  <si>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</si>
  <si>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</si>
  <si>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</si>
  <si>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</si>
  <si>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</si>
  <si>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</si>
  <si>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</si>
  <si>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</si>
  <si>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</si>
  <si>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</si>
  <si>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</si>
  <si>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</si>
  <si>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</si>
  <si>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</si>
  <si>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</si>
  <si>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</si>
  <si>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</si>
  <si>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</si>
  <si>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</si>
  <si>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</si>
  <si>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</si>
  <si>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</si>
  <si>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</si>
  <si>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</si>
  <si>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</si>
  <si>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</si>
  <si>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</si>
  <si>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</si>
  <si>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</si>
  <si>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</si>
  <si>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</si>
  <si>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</si>
  <si>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</si>
  <si>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</si>
  <si>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</si>
  <si>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</si>
  <si>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</si>
  <si>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</si>
  <si>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</si>
  <si>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</si>
  <si>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</si>
  <si>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</si>
  <si>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</si>
  <si>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</si>
  <si>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</si>
  <si>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</si>
  <si>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</si>
  <si>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</si>
  <si>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Tai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</si>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</sst>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Comercial!AE4:AF4"")"),7900099.20115485)</f>
        <v>7900099.201</v>
      </c>
      <c r="B2" s="3">
        <f>IFERROR(__xludf.DUMMYFUNCTION("""COMPUTED_VALUE"""),6358974.047973633)</f>
        <v>6358974.048</v>
      </c>
      <c r="C2" s="3">
        <f>B2-A2</f>
        <v>-1541125.153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IFERROR(__xludf.DUMMYFUNCTION("""COMPUTED_VALUE"""),-0.8454040575767878)</f>
        <v>-0.8454040576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IFERROR(__xludf.DUMMYFUNCTION("""COMPUTED_VALUE"""),-0.8623351779736285)</f>
        <v>-0.862335178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"),"[ON] Chat")</f>
        <v>[ON] Chat</v>
      </c>
      <c r="M2" s="6">
        <f>IFERROR(__xludf.DUMMYFUNCTION("""COMPUTED_VALUE"""),-23.561538461538458)</f>
        <v>-23.56153846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"),0.3157894736842105)</f>
        <v>0.3157894737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IFERROR(__xludf.DUMMYFUNCTION("""COMPUTED_VALUE"""),-0.8210848468909788)</f>
        <v>-0.8210848469</v>
      </c>
      <c r="AC2" s="3">
        <f>IFERROR(__xludf.DUMMYFUNCTION("""COMPUTED_VALUE"""),-1951.7555178268249)</f>
        <v>-1951.755518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IFERROR(__xludf.DUMMYFUNCTION("""COMPUTED_VALUE"""),4.630142071437746)</f>
        <v>4.630142071</v>
      </c>
      <c r="AF2" s="3">
        <f>IFERROR(__xludf.DUMMYFUNCTION("""COMPUTED_VALUE"""),24332.464285714286)</f>
        <v>24332.46429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Comercial!AE2"")"),2.312611397474293E7)</f>
        <v>23126113.97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IFERROR(__xludf.DUMMYFUNCTION("""COMPUTED_VALUE"""),-0.8139255702280912)</f>
        <v>-0.8139255702</v>
      </c>
      <c r="H3" s="4" t="str">
        <f>IFERROR(__xludf.DUMMYFUNCTION("""COMPUTED_VALUE"""),"[SKL] Outros")</f>
        <v>[SKL] Outros</v>
      </c>
      <c r="I3" s="5">
        <f>IFERROR(__xludf.DUMMYFUNCTION("""COMPUTED_VALUE"""),-0.7153823593170195)</f>
        <v>-0.7153823593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IFERROR(__xludf.DUMMYFUNCTION("""COMPUTED_VALUE"""),-9.61538461538462)</f>
        <v>-9.615384615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IFERROR(__xludf.DUMMYFUNCTION("""COMPUTED_VALUE"""),"[IM] Form G4 Facebook Ads - K")</f>
        <v>[IM] Form G4 Facebook Ads - K</v>
      </c>
      <c r="O3" s="5">
        <f>IFERROR(__xludf.DUMMYFUNCTION("""COMPUTED_VALUE"""),-0.7747483903958348)</f>
        <v>-0.7747483904</v>
      </c>
      <c r="P3" s="3">
        <f>IFERROR(__xludf.DUMMYFUNCTION("""COMPUTED_VALUE"""),-11110.666666666666)</f>
        <v>-11110.66667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IFERROR(__xludf.DUMMYFUNCTION("""COMPUTED_VALUE"""),-0.740683110443461)</f>
        <v>-0.7406831104</v>
      </c>
      <c r="AC3" s="3">
        <f>IFERROR(__xludf.DUMMYFUNCTION("""COMPUTED_VALUE"""),-5727.907563025209)</f>
        <v>-5727.907563</v>
      </c>
      <c r="AD3" s="4" t="str">
        <f>IFERROR(__xludf.DUMMYFUNCTION("""COMPUTED_VALUE"""),"[IM] Chat")</f>
        <v>[IM] Chat</v>
      </c>
      <c r="AE3" s="5">
        <f>IFERROR(__xludf.DUMMYFUNCTION("""COMPUTED_VALUE"""),1.006131463439425)</f>
        <v>1.006131463</v>
      </c>
      <c r="AF3" s="3">
        <f>IFERROR(__xludf.DUMMYFUNCTION("""COMPUTED_VALUE"""),2628.263861387275)</f>
        <v>2628.263861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IFERROR(__xludf.DUMMYFUNCTION("""COMPUTED_VALUE"""),-0.7261282485459765)</f>
        <v>-0.7261282485</v>
      </c>
      <c r="H4" s="4" t="str">
        <f>IFERROR(__xludf.DUMMYFUNCTION("""COMPUTED_VALUE"""),"[SKL] CRM - Email")</f>
        <v>[SKL] CRM - Email</v>
      </c>
      <c r="I4" s="5">
        <f>IFERROR(__xludf.DUMMYFUNCTION("""COMPUTED_VALUE"""),-0.6857428633217991)</f>
        <v>-0.6857428633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IFERROR(__xludf.DUMMYFUNCTION("""COMPUTED_VALUE"""),-8.850000000000001)</f>
        <v>-8.85</v>
      </c>
      <c r="L4" s="4" t="str">
        <f>IFERROR(__xludf.DUMMYFUNCTION("""COMPUTED_VALUE"""),"[ON] Outros")</f>
        <v>[ON] Outros</v>
      </c>
      <c r="M4" s="6">
        <f>IFERROR(__xludf.DUMMYFUNCTION("""COMPUTED_VALUE"""),-20.91942148760331)</f>
        <v>-20.91942149</v>
      </c>
      <c r="N4" s="4" t="str">
        <f>IFERROR(__xludf.DUMMYFUNCTION("""COMPUTED_VALUE"""),"[SKL] Social")</f>
        <v>[SKL] Social</v>
      </c>
      <c r="O4" s="5">
        <f>IFERROR(__xludf.DUMMYFUNCTION("""COMPUTED_VALUE"""),-0.7324411764705883)</f>
        <v>-0.7324411765</v>
      </c>
      <c r="P4" s="3">
        <f>IFERROR(__xludf.DUMMYFUNCTION("""COMPUTED_VALUE"""),-12451.5)</f>
        <v>-12451.5</v>
      </c>
      <c r="S4" s="4"/>
      <c r="T4" s="4"/>
      <c r="AA4" s="4" t="str">
        <f>IFERROR(__xludf.DUMMYFUNCTION("""COMPUTED_VALUE"""),"[SKL] Midia Paga - Quente")</f>
        <v>[SKL] Midia Paga - Quente</v>
      </c>
      <c r="AB4" s="5">
        <f>IFERROR(__xludf.DUMMYFUNCTION("""COMPUTED_VALUE"""),-0.735568615576167)</f>
        <v>-0.7355686156</v>
      </c>
      <c r="AC4" s="3">
        <f>IFERROR(__xludf.DUMMYFUNCTION("""COMPUTED_VALUE"""),-2615.667741935484)</f>
        <v>-2615.667742</v>
      </c>
      <c r="AD4" s="4" t="str">
        <f>IFERROR(__xludf.DUMMYFUNCTION("""COMPUTED_VALUE"""),"[IM] Link de Indicação")</f>
        <v>[IM] Link de Indicação</v>
      </c>
      <c r="AE4" s="5">
        <f>IFERROR(__xludf.DUMMYFUNCTION("""COMPUTED_VALUE"""),0.8814597855634381)</f>
        <v>0.8814597856</v>
      </c>
      <c r="AF4" s="3">
        <f>IFERROR(__xludf.DUMMYFUNCTION("""COMPUTED_VALUE"""),2062.736347826087)</f>
        <v>2062.736348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IFERROR(__xludf.DUMMYFUNCTION("""COMPUTED_VALUE"""),-0.6779786083231245)</f>
        <v>-0.6779786083</v>
      </c>
      <c r="H5" s="4" t="str">
        <f>IFERROR(__xludf.DUMMYFUNCTION("""COMPUTED_VALUE"""),"Aplicativo G4 - Indicação")</f>
        <v>Aplicativo G4 - Indicação</v>
      </c>
      <c r="I5" s="5">
        <f>IFERROR(__xludf.DUMMYFUNCTION("""COMPUTED_VALUE"""),-0.6498023077543773)</f>
        <v>-0.6498023078</v>
      </c>
      <c r="J5" s="4" t="str">
        <f>IFERROR(__xludf.DUMMYFUNCTION("""COMPUTED_VALUE"""),"[ON] Abandono de carrinho")</f>
        <v>[ON] Abandono de carrinho</v>
      </c>
      <c r="K5" s="6">
        <f>IFERROR(__xludf.DUMMYFUNCTION("""COMPUTED_VALUE"""),-8.256521739130434)</f>
        <v>-8.256521739</v>
      </c>
      <c r="L5" s="4" t="str">
        <f>IFERROR(__xludf.DUMMYFUNCTION("""COMPUTED_VALUE"""),"[CM] Form G4 - Instagram")</f>
        <v>[CM] Form G4 - Instagram</v>
      </c>
      <c r="M5" s="6">
        <f>IFERROR(__xludf.DUMMYFUNCTION("""COMPUTED_VALUE"""),-17.85714285714286)</f>
        <v>-17.85714286</v>
      </c>
      <c r="N5" s="4" t="str">
        <f>IFERROR(__xludf.DUMMYFUNCTION("""COMPUTED_VALUE"""),"[IM] Outros")</f>
        <v>[IM] Outros</v>
      </c>
      <c r="O5" s="5">
        <f>IFERROR(__xludf.DUMMYFUNCTION("""COMPUTED_VALUE"""),-0.4781749128557307)</f>
        <v>-0.4781749129</v>
      </c>
      <c r="P5" s="3">
        <f>IFERROR(__xludf.DUMMYFUNCTION("""COMPUTED_VALUE"""),-9191.0)</f>
        <v>-9191</v>
      </c>
      <c r="S5" s="4"/>
      <c r="T5" s="4"/>
      <c r="AA5" s="4" t="str">
        <f>IFERROR(__xludf.DUMMYFUNCTION("""COMPUTED_VALUE"""),"[SKL] CRM - WhatsApp")</f>
        <v>[SKL] CRM - WhatsApp</v>
      </c>
      <c r="AB5" s="5">
        <f>IFERROR(__xludf.DUMMYFUNCTION("""COMPUTED_VALUE"""),-0.7175481225456248)</f>
        <v>-0.7175481225</v>
      </c>
      <c r="AC5" s="3">
        <f>IFERROR(__xludf.DUMMYFUNCTION("""COMPUTED_VALUE"""),-1650.5744680851062)</f>
        <v>-1650.574468</v>
      </c>
      <c r="AD5" s="4" t="str">
        <f>IFERROR(__xludf.DUMMYFUNCTION("""COMPUTED_VALUE"""),"Aplicativo G4 - Indicação")</f>
        <v>Aplicativo G4 - Indicação</v>
      </c>
      <c r="AE5" s="5">
        <f>IFERROR(__xludf.DUMMYFUNCTION("""COMPUTED_VALUE"""),0.7032508591122464)</f>
        <v>0.7032508591</v>
      </c>
      <c r="AF5" s="3">
        <f>IFERROR(__xludf.DUMMYFUNCTION("""COMPUTED_VALUE"""),1369.5804195804194)</f>
        <v>1369.58042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IFERROR(__xludf.DUMMYFUNCTION("""COMPUTED_VALUE"""),-0.6580882352941175)</f>
        <v>-0.6580882353</v>
      </c>
      <c r="H6" s="4" t="str">
        <f>IFERROR(__xludf.DUMMYFUNCTION("""COMPUTED_VALUE"""),"[SKL] Social")</f>
        <v>[SKL] Social</v>
      </c>
      <c r="I6" s="5">
        <f>IFERROR(__xludf.DUMMYFUNCTION("""COMPUTED_VALUE"""),-0.6386440518699491)</f>
        <v>-0.6386440519</v>
      </c>
      <c r="J6" s="4" t="str">
        <f>IFERROR(__xludf.DUMMYFUNCTION("""COMPUTED_VALUE"""),"[IM] Form Facebook Ads")</f>
        <v>[IM] Form Facebook Ads</v>
      </c>
      <c r="K6" s="6">
        <f>IFERROR(__xludf.DUMMYFUNCTION("""COMPUTED_VALUE"""),-7.566084788029926)</f>
        <v>-7.566084788</v>
      </c>
      <c r="L6" s="4" t="str">
        <f>IFERROR(__xludf.DUMMYFUNCTION("""COMPUTED_VALUE"""),"Indicação - Outros")</f>
        <v>Indicação - Outros</v>
      </c>
      <c r="M6" s="6">
        <f>IFERROR(__xludf.DUMMYFUNCTION("""COMPUTED_VALUE"""),-13.636363636363647)</f>
        <v>-13.63636364</v>
      </c>
      <c r="N6" s="4" t="str">
        <f>IFERROR(__xludf.DUMMYFUNCTION("""COMPUTED_VALUE"""),"[SKL] Midia Paga - Quente")</f>
        <v>[SKL] Midia Paga - Quente</v>
      </c>
      <c r="O6" s="5">
        <f>IFERROR(__xludf.DUMMYFUNCTION("""COMPUTED_VALUE"""),-0.36746089708477875)</f>
        <v>-0.3674608971</v>
      </c>
      <c r="P6" s="3">
        <f>IFERROR(__xludf.DUMMYFUNCTION("""COMPUTED_VALUE"""),-6037.75)</f>
        <v>-6037.75</v>
      </c>
      <c r="Q6" s="7"/>
      <c r="S6" s="4"/>
      <c r="T6" s="4"/>
      <c r="AA6" s="4" t="str">
        <f>IFERROR(__xludf.DUMMYFUNCTION("""COMPUTED_VALUE"""),"[SKL] Social")</f>
        <v>[SKL] Social</v>
      </c>
      <c r="AB6" s="5">
        <f>IFERROR(__xludf.DUMMYFUNCTION("""COMPUTED_VALUE"""),-0.6351984014918409)</f>
        <v>-0.6351984015</v>
      </c>
      <c r="AC6" s="3">
        <f>IFERROR(__xludf.DUMMYFUNCTION("""COMPUTED_VALUE"""),-1451.2394801980197)</f>
        <v>-1451.23948</v>
      </c>
      <c r="AD6" s="4" t="str">
        <f>IFERROR(__xludf.DUMMYFUNCTION("""COMPUTED_VALUE"""),"Form G4 Outros - Orgânico")</f>
        <v>Form G4 Outros - Orgânico</v>
      </c>
      <c r="AE6" s="5">
        <f>IFERROR(__xludf.DUMMYFUNCTION("""COMPUTED_VALUE"""),0.41235133766210796)</f>
        <v>0.4123513377</v>
      </c>
      <c r="AF6" s="3">
        <f>IFERROR(__xludf.DUMMYFUNCTION("""COMPUTED_VALUE"""),483.777729986391)</f>
        <v>483.77773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IFERROR(__xludf.DUMMYFUNCTION("""COMPUTED_VALUE"""),"Form G4 Instagram Outros")</f>
        <v>Form G4 Instagram Outros</v>
      </c>
      <c r="G7" s="5">
        <f>IFERROR(__xludf.DUMMYFUNCTION("""COMPUTED_VALUE"""),-0.4746498599439773)</f>
        <v>-0.4746498599</v>
      </c>
      <c r="H7" s="4" t="str">
        <f>IFERROR(__xludf.DUMMYFUNCTION("""COMPUTED_VALUE"""),"Indicação - Outros")</f>
        <v>Indicação - Outros</v>
      </c>
      <c r="I7" s="5">
        <f>IFERROR(__xludf.DUMMYFUNCTION("""COMPUTED_VALUE"""),-0.4768991934123043)</f>
        <v>-0.4768991934</v>
      </c>
      <c r="J7" s="4" t="str">
        <f>IFERROR(__xludf.DUMMYFUNCTION("""COMPUTED_VALUE"""),"[IM] Chat")</f>
        <v>[IM] Chat</v>
      </c>
      <c r="K7" s="6">
        <f>IFERROR(__xludf.DUMMYFUNCTION("""COMPUTED_VALUE"""),-5.874363327674023)</f>
        <v>-5.874363328</v>
      </c>
      <c r="L7" s="4" t="str">
        <f>IFERROR(__xludf.DUMMYFUNCTION("""COMPUTED_VALUE"""),"[SKL] Midia Paga - Quente")</f>
        <v>[SKL] Midia Paga - Quente</v>
      </c>
      <c r="M7" s="6">
        <f>IFERROR(__xludf.DUMMYFUNCTION("""COMPUTED_VALUE"""),-13.548387096774196)</f>
        <v>-13.5483871</v>
      </c>
      <c r="N7" s="4" t="str">
        <f>IFERROR(__xludf.DUMMYFUNCTION("""COMPUTED_VALUE"""),"[SKL] Site")</f>
        <v>[SKL] Site</v>
      </c>
      <c r="O7" s="5">
        <f>IFERROR(__xludf.DUMMYFUNCTION("""COMPUTED_VALUE"""),-0.3590714896041014)</f>
        <v>-0.3590714896</v>
      </c>
      <c r="P7" s="3">
        <f>IFERROR(__xludf.DUMMYFUNCTION("""COMPUTED_VALUE"""),-6303.5)</f>
        <v>-6303.5</v>
      </c>
      <c r="S7" s="4"/>
      <c r="T7" s="4"/>
      <c r="AA7" s="4" t="str">
        <f>IFERROR(__xludf.DUMMYFUNCTION("""COMPUTED_VALUE"""),"Form G4 Outros - Não Orgânico")</f>
        <v>Form G4 Outros - Não Orgânico</v>
      </c>
      <c r="AB7" s="5">
        <f>IFERROR(__xludf.DUMMYFUNCTION("""COMPUTED_VALUE"""),-0.6252749885597209)</f>
        <v>-0.6252749886</v>
      </c>
      <c r="AC7" s="3">
        <f>IFERROR(__xludf.DUMMYFUNCTION("""COMPUTED_VALUE"""),-3589.2571428571428)</f>
        <v>-3589.257143</v>
      </c>
      <c r="AD7" s="4" t="str">
        <f>IFERROR(__xludf.DUMMYFUNCTION("""COMPUTED_VALUE"""),"Form G4 - K Outros")</f>
        <v>Form G4 - K Outros</v>
      </c>
      <c r="AE7" s="5">
        <f>IFERROR(__xludf.DUMMYFUNCTION("""COMPUTED_VALUE"""),0.37760536253984434)</f>
        <v>0.3776053625</v>
      </c>
      <c r="AF7" s="3">
        <f>IFERROR(__xludf.DUMMYFUNCTION("""COMPUTED_VALUE"""),100.76243902439069)</f>
        <v>100.762439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IFERROR(__xludf.DUMMYFUNCTION("""COMPUTED_VALUE"""),"Indicação - Outros")</f>
        <v>Indicação - Outros</v>
      </c>
      <c r="G8" s="5">
        <f>IFERROR(__xludf.DUMMYFUNCTION("""COMPUTED_VALUE"""),-0.4507441530829196)</f>
        <v>-0.4507441531</v>
      </c>
      <c r="H8" s="4" t="str">
        <f>IFERROR(__xludf.DUMMYFUNCTION("""COMPUTED_VALUE"""),"Form G4 Instagram Outros")</f>
        <v>Form G4 Instagram Outros</v>
      </c>
      <c r="I8" s="5">
        <f>IFERROR(__xludf.DUMMYFUNCTION("""COMPUTED_VALUE"""),-0.4532627865961198)</f>
        <v>-0.4532627866</v>
      </c>
      <c r="J8" s="4" t="str">
        <f>IFERROR(__xludf.DUMMYFUNCTION("""COMPUTED_VALUE"""),"[IM] Form G4 Facebook Ads - K")</f>
        <v>[IM] Form G4 Facebook Ads - K</v>
      </c>
      <c r="K8" s="6">
        <f>IFERROR(__xludf.DUMMYFUNCTION("""COMPUTED_VALUE"""),-5.419866201279816)</f>
        <v>-5.419866201</v>
      </c>
      <c r="L8" s="4" t="str">
        <f>IFERROR(__xludf.DUMMYFUNCTION("""COMPUTED_VALUE"""),"Form G4 Google")</f>
        <v>Form G4 Google</v>
      </c>
      <c r="M8" s="6">
        <f>IFERROR(__xludf.DUMMYFUNCTION("""COMPUTED_VALUE"""),-12.476190476190476)</f>
        <v>-12.47619048</v>
      </c>
      <c r="N8" s="4" t="str">
        <f>IFERROR(__xludf.DUMMYFUNCTION("""COMPUTED_VALUE"""),"[ON] Abandono de carrinho")</f>
        <v>[ON] Abandono de carrinho</v>
      </c>
      <c r="O8" s="5">
        <f>IFERROR(__xludf.DUMMYFUNCTION("""COMPUTED_VALUE"""),-0.34860062176509665)</f>
        <v>-0.3486006218</v>
      </c>
      <c r="P8" s="3">
        <f>IFERROR(__xludf.DUMMYFUNCTION("""COMPUTED_VALUE"""),-1061.8374938964844)</f>
        <v>-1061.837494</v>
      </c>
      <c r="Q8" s="4"/>
      <c r="S8" s="4"/>
      <c r="T8" s="4"/>
      <c r="AA8" s="4" t="str">
        <f>IFERROR(__xludf.DUMMYFUNCTION("""COMPUTED_VALUE"""),"Form G4 - K Instagram")</f>
        <v>Form G4 - K Instagram</v>
      </c>
      <c r="AB8" s="5">
        <f>IFERROR(__xludf.DUMMYFUNCTION("""COMPUTED_VALUE"""),-0.6122966502009406)</f>
        <v>-0.6122966502</v>
      </c>
      <c r="AC8" s="3">
        <f>IFERROR(__xludf.DUMMYFUNCTION("""COMPUTED_VALUE"""),-754.297619047619)</f>
        <v>-754.297619</v>
      </c>
      <c r="AD8" s="4" t="str">
        <f>IFERROR(__xludf.DUMMYFUNCTION("""COMPUTED_VALUE"""),"[ON] Outros")</f>
        <v>[ON] Outros</v>
      </c>
      <c r="AE8" s="5">
        <f>IFERROR(__xludf.DUMMYFUNCTION("""COMPUTED_VALUE"""),0.2760835298806552)</f>
        <v>0.2760835299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Outros - Não Orgânico")</f>
        <v>Form G4 Outros - Não Orgânico</v>
      </c>
      <c r="G9" s="5">
        <f>IFERROR(__xludf.DUMMYFUNCTION("""COMPUTED_VALUE"""),-0.41721385172874126)</f>
        <v>-0.4172138517</v>
      </c>
      <c r="H9" s="4" t="str">
        <f>IFERROR(__xludf.DUMMYFUNCTION("""COMPUTED_VALUE"""),"Form G4 Outros - Não Orgânico")</f>
        <v>Form G4 Outros - Não Orgânico</v>
      </c>
      <c r="I9" s="5">
        <f>IFERROR(__xludf.DUMMYFUNCTION("""COMPUTED_VALUE"""),-0.3870489372219472)</f>
        <v>-0.3870489372</v>
      </c>
      <c r="J9" s="4" t="str">
        <f>IFERROR(__xludf.DUMMYFUNCTION("""COMPUTED_VALUE"""),"Form G4 Instagram G4")</f>
        <v>Form G4 Instagram G4</v>
      </c>
      <c r="K9" s="6">
        <f>IFERROR(__xludf.DUMMYFUNCTION("""COMPUTED_VALUE"""),-5.18007305842863)</f>
        <v>-5.180073058</v>
      </c>
      <c r="L9" s="4" t="str">
        <f>IFERROR(__xludf.DUMMYFUNCTION("""COMPUTED_VALUE"""),"[SKL] CRM - WhatsApp")</f>
        <v>[SKL] CRM - WhatsApp</v>
      </c>
      <c r="M9" s="6">
        <f>IFERROR(__xludf.DUMMYFUNCTION("""COMPUTED_VALUE"""),-11.560283687943262)</f>
        <v>-11.56028369</v>
      </c>
      <c r="N9" s="9" t="str">
        <f>IFERROR(__xludf.DUMMYFUNCTION("""COMPUTED_VALUE"""),"[IM] Social DM")</f>
        <v>[IM] Social DM</v>
      </c>
      <c r="O9" s="5">
        <f>IFERROR(__xludf.DUMMYFUNCTION("""COMPUTED_VALUE"""),-0.30934989114816264)</f>
        <v>-0.3093498911</v>
      </c>
      <c r="P9" s="3">
        <f>IFERROR(__xludf.DUMMYFUNCTION("""COMPUTED_VALUE"""),-12243.44999186198)</f>
        <v>-12243.44999</v>
      </c>
      <c r="S9" s="4"/>
      <c r="T9" s="4"/>
      <c r="AA9" s="4" t="str">
        <f>IFERROR(__xludf.DUMMYFUNCTION("""COMPUTED_VALUE"""),"[IM] Form Facebook Ads")</f>
        <v>[IM] Form Facebook Ads</v>
      </c>
      <c r="AB9" s="5">
        <f>IFERROR(__xludf.DUMMYFUNCTION("""COMPUTED_VALUE"""),-0.4786568542247558)</f>
        <v>-0.4786568542</v>
      </c>
      <c r="AC9" s="3">
        <f>IFERROR(__xludf.DUMMYFUNCTION("""COMPUTED_VALUE"""),-2773.3867924528304)</f>
        <v>-2773.386792</v>
      </c>
      <c r="AD9" s="4" t="str">
        <f>IFERROR(__xludf.DUMMYFUNCTION("""COMPUTED_VALUE"""),"Indicação - Outros")</f>
        <v>Indicação - Outros</v>
      </c>
      <c r="AE9" s="5">
        <f>IFERROR(__xludf.DUMMYFUNCTION("""COMPUTED_VALUE"""),0.24199526207377708)</f>
        <v>0.2419952621</v>
      </c>
      <c r="AF9" s="3">
        <f>IFERROR(__xludf.DUMMYFUNCTION("""COMPUTED_VALUE"""),-731.0909090909117)</f>
        <v>-731.0909091</v>
      </c>
    </row>
    <row r="10">
      <c r="F10" s="4" t="str">
        <f>IFERROR(__xludf.DUMMYFUNCTION("""COMPUTED_VALUE"""),"Form G4 Instagram Tallis")</f>
        <v>Form G4 Instagram Tallis</v>
      </c>
      <c r="G10" s="5">
        <f>IFERROR(__xludf.DUMMYFUNCTION("""COMPUTED_VALUE"""),-0.4119117647058821)</f>
        <v>-0.4119117647</v>
      </c>
      <c r="H10" s="4" t="str">
        <f>IFERROR(__xludf.DUMMYFUNCTION("""COMPUTED_VALUE"""),"Form G4 - K Instagram")</f>
        <v>Form G4 - K Instagram</v>
      </c>
      <c r="I10" s="5">
        <f>IFERROR(__xludf.DUMMYFUNCTION("""COMPUTED_VALUE"""),-0.37382124164406777)</f>
        <v>-0.3738212416</v>
      </c>
      <c r="J10" s="4" t="str">
        <f>IFERROR(__xludf.DUMMYFUNCTION("""COMPUTED_VALUE"""),"[IM] Social DM")</f>
        <v>[IM] Social DM</v>
      </c>
      <c r="K10" s="6">
        <f>IFERROR(__xludf.DUMMYFUNCTION("""COMPUTED_VALUE"""),-5.178571428571427)</f>
        <v>-5.178571429</v>
      </c>
      <c r="L10" s="4" t="str">
        <f>IFERROR(__xludf.DUMMYFUNCTION("""COMPUTED_VALUE"""),"Form G4 - K Instagram")</f>
        <v>Form G4 - K Instagram</v>
      </c>
      <c r="M10" s="6">
        <f>IFERROR(__xludf.DUMMYFUNCTION("""COMPUTED_VALUE"""),-10.714285714285714)</f>
        <v>-10.71428571</v>
      </c>
      <c r="N10" s="9" t="str">
        <f>IFERROR(__xludf.DUMMYFUNCTION("""COMPUTED_VALUE"""),"Form G4 Outros - Não Orgânico")</f>
        <v>Form G4 Outros - Não Orgânico</v>
      </c>
      <c r="O10" s="5">
        <f>IFERROR(__xludf.DUMMYFUNCTION("""COMPUTED_VALUE"""),-0.2564677123650438)</f>
        <v>-0.2564677124</v>
      </c>
      <c r="P10" s="3">
        <f>IFERROR(__xludf.DUMMYFUNCTION("""COMPUTED_VALUE"""),-7554.0)</f>
        <v>-7554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IFERROR(__xludf.DUMMYFUNCTION("""COMPUTED_VALUE"""),-0.45171572142769345)</f>
        <v>-0.4517157214</v>
      </c>
      <c r="AC10" s="3">
        <f>IFERROR(__xludf.DUMMYFUNCTION("""COMPUTED_VALUE"""),-3980.775)</f>
        <v>-3980.775</v>
      </c>
    </row>
    <row r="11">
      <c r="F11" s="4" t="str">
        <f>IFERROR(__xludf.DUMMYFUNCTION("""COMPUTED_VALUE"""),"[ON] Chat")</f>
        <v>[ON] Chat</v>
      </c>
      <c r="G11" s="5">
        <f>IFERROR(__xludf.DUMMYFUNCTION("""COMPUTED_VALUE"""),-0.3799999999999997)</f>
        <v>-0.38</v>
      </c>
      <c r="H11" s="4" t="str">
        <f>IFERROR(__xludf.DUMMYFUNCTION("""COMPUTED_VALUE"""),"Form G4 Instagram Tallis")</f>
        <v>Form G4 Instagram Tallis</v>
      </c>
      <c r="I11" s="5">
        <f>IFERROR(__xludf.DUMMYFUNCTION("""COMPUTED_VALUE"""),-0.3517575322812049)</f>
        <v>-0.3517575323</v>
      </c>
      <c r="J11" s="4" t="str">
        <f>IFERROR(__xludf.DUMMYFUNCTION("""COMPUTED_VALUE"""),"[SKL] Site")</f>
        <v>[SKL] Site</v>
      </c>
      <c r="K11" s="6">
        <f>IFERROR(__xludf.DUMMYFUNCTION("""COMPUTED_VALUE"""),-4.509917942753764)</f>
        <v>-4.509917943</v>
      </c>
      <c r="L11" s="4" t="str">
        <f>IFERROR(__xludf.DUMMYFUNCTION("""COMPUTED_VALUE"""),"Form G4 Instagram Outros")</f>
        <v>Form G4 Instagram Outros</v>
      </c>
      <c r="M11" s="6">
        <f>IFERROR(__xludf.DUMMYFUNCTION("""COMPUTED_VALUE"""),-10.500000000000002)</f>
        <v>-10.5</v>
      </c>
      <c r="N11" s="9" t="str">
        <f>IFERROR(__xludf.DUMMYFUNCTION("""COMPUTED_VALUE"""),"[ON] Time de vendas")</f>
        <v>[ON] Time de vendas</v>
      </c>
      <c r="O11" s="5">
        <f>IFERROR(__xludf.DUMMYFUNCTION("""COMPUTED_VALUE"""),-0.23719250250332954)</f>
        <v>-0.2371925025</v>
      </c>
      <c r="P11" s="3">
        <f>IFERROR(__xludf.DUMMYFUNCTION("""COMPUTED_VALUE"""),-5876.893334196018)</f>
        <v>-5876.893334</v>
      </c>
      <c r="AA11" s="4" t="str">
        <f>IFERROR(__xludf.DUMMYFUNCTION("""COMPUTED_VALUE"""),"[IM] Social DM")</f>
        <v>[IM] Social DM</v>
      </c>
      <c r="AB11" s="5">
        <f>IFERROR(__xludf.DUMMYFUNCTION("""COMPUTED_VALUE"""),-0.3583899008703655)</f>
        <v>-0.3583899009</v>
      </c>
      <c r="AC11" s="3">
        <f>IFERROR(__xludf.DUMMYFUNCTION("""COMPUTED_VALUE"""),-6194.835553747105)</f>
        <v>-6194.835554</v>
      </c>
    </row>
    <row r="12">
      <c r="F12" s="4" t="str">
        <f>IFERROR(__xludf.DUMMYFUNCTION("""COMPUTED_VALUE"""),"Form G4 - K Instagram")</f>
        <v>Form G4 - K Instagram</v>
      </c>
      <c r="G12" s="5">
        <f>IFERROR(__xludf.DUMMYFUNCTION("""COMPUTED_VALUE"""),-0.3652813900724915)</f>
        <v>-0.3652813901</v>
      </c>
      <c r="H12" s="4" t="str">
        <f>IFERROR(__xludf.DUMMYFUNCTION("""COMPUTED_VALUE"""),"Form G4 - K Outros")</f>
        <v>Form G4 - K Outros</v>
      </c>
      <c r="I12" s="5">
        <f>IFERROR(__xludf.DUMMYFUNCTION("""COMPUTED_VALUE"""),-0.2673136594705219)</f>
        <v>-0.2673136595</v>
      </c>
      <c r="J12" s="4" t="str">
        <f>IFERROR(__xludf.DUMMYFUNCTION("""COMPUTED_VALUE"""),"[SKL] CRM - WhatsApp")</f>
        <v>[SKL] CRM - WhatsApp</v>
      </c>
      <c r="K12" s="6">
        <f>IFERROR(__xludf.DUMMYFUNCTION("""COMPUTED_VALUE"""),-4.269841269841268)</f>
        <v>-4.26984127</v>
      </c>
      <c r="L12" s="4" t="str">
        <f>IFERROR(__xludf.DUMMYFUNCTION("""COMPUTED_VALUE"""),"Form G4 Outros - Não Orgânico")</f>
        <v>Form G4 Outros - Não Orgânico</v>
      </c>
      <c r="M12" s="6">
        <f>IFERROR(__xludf.DUMMYFUNCTION("""COMPUTED_VALUE"""),-10.476190476190476)</f>
        <v>-10.47619048</v>
      </c>
      <c r="N12" s="9" t="str">
        <f>IFERROR(__xludf.DUMMYFUNCTION("""COMPUTED_VALUE"""),"Form G4 Incompleto Instagram")</f>
        <v>Form G4 Incompleto Instagram</v>
      </c>
      <c r="O12" s="5">
        <f>IFERROR(__xludf.DUMMYFUNCTION("""COMPUTED_VALUE"""),-0.22307843137254907)</f>
        <v>-0.2230784314</v>
      </c>
      <c r="P12" s="3">
        <f>IFERROR(__xludf.DUMMYFUNCTION("""COMPUTED_VALUE"""),-3792.333333333334)</f>
        <v>-3792.333333</v>
      </c>
      <c r="AA12" s="4" t="str">
        <f>IFERROR(__xludf.DUMMYFUNCTION("""COMPUTED_VALUE"""),"Form G4 Google")</f>
        <v>Form G4 Google</v>
      </c>
      <c r="AB12" s="5">
        <f>IFERROR(__xludf.DUMMYFUNCTION("""COMPUTED_VALUE"""),-0.31560705394022115)</f>
        <v>-0.3156070539</v>
      </c>
      <c r="AC12" s="3">
        <f>IFERROR(__xludf.DUMMYFUNCTION("""COMPUTED_VALUE"""),-2297.3764279901416)</f>
        <v>-2297.376428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IFERROR(__xludf.DUMMYFUNCTION("""COMPUTED_VALUE"""),-0.2598946986201885)</f>
        <v>-0.2598946986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IFERROR(__xludf.DUMMYFUNCTION("""COMPUTED_VALUE"""),-0.257948446868459)</f>
        <v>-0.2579484469</v>
      </c>
      <c r="J13" s="4" t="str">
        <f>IFERROR(__xludf.DUMMYFUNCTION("""COMPUTED_VALUE"""),"[IM] Link de Indicação")</f>
        <v>[IM] Link de Indicação</v>
      </c>
      <c r="K13" s="6">
        <f>IFERROR(__xludf.DUMMYFUNCTION("""COMPUTED_VALUE"""),-2.72045028142589)</f>
        <v>-2.720450281</v>
      </c>
      <c r="L13" s="4" t="str">
        <f>IFERROR(__xludf.DUMMYFUNCTION("""COMPUTED_VALUE"""),"[IM] Form Facebook Ads")</f>
        <v>[IM] Form Facebook Ads</v>
      </c>
      <c r="M13" s="6">
        <f>IFERROR(__xludf.DUMMYFUNCTION("""COMPUTED_VALUE"""),-10.339622641509434)</f>
        <v>-10.33962264</v>
      </c>
      <c r="N13" s="9" t="str">
        <f>IFERROR(__xludf.DUMMYFUNCTION("""COMPUTED_VALUE"""),"Form G4 Instagram Outros")</f>
        <v>Form G4 Instagram Outros</v>
      </c>
      <c r="O13" s="5">
        <f>IFERROR(__xludf.DUMMYFUNCTION("""COMPUTED_VALUE"""),-0.22154000000000001)</f>
        <v>-0.22154</v>
      </c>
      <c r="P13" s="3">
        <f>IFERROR(__xludf.DUMMYFUNCTION("""COMPUTED_VALUE"""),-6646.200000000001)</f>
        <v>-6646.2</v>
      </c>
      <c r="AA13" s="4" t="str">
        <f>IFERROR(__xludf.DUMMYFUNCTION("""COMPUTED_VALUE"""),"Form G4 Incompleto Instagram")</f>
        <v>Form G4 Incompleto Instagram</v>
      </c>
      <c r="AB13" s="5">
        <f>IFERROR(__xludf.DUMMYFUNCTION("""COMPUTED_VALUE"""),-0.30079906478247387)</f>
        <v>-0.3007990648</v>
      </c>
      <c r="AC13" s="3">
        <f>IFERROR(__xludf.DUMMYFUNCTION("""COMPUTED_VALUE"""),-939.3611111111111)</f>
        <v>-939.3611111</v>
      </c>
    </row>
    <row r="14">
      <c r="F14" s="4" t="str">
        <f>IFERROR(__xludf.DUMMYFUNCTION("""COMPUTED_VALUE"""),"Form G4 Incompleto Outros")</f>
        <v>Form G4 Incompleto Outros</v>
      </c>
      <c r="G14" s="5">
        <f>IFERROR(__xludf.DUMMYFUNCTION("""COMPUTED_VALUE"""),-0.20806722689075596)</f>
        <v>-0.2080672269</v>
      </c>
      <c r="H14" s="4" t="str">
        <f>IFERROR(__xludf.DUMMYFUNCTION("""COMPUTED_VALUE"""),"[SKL] CRM - WhatsApp")</f>
        <v>[SKL] CRM - WhatsApp</v>
      </c>
      <c r="I14" s="5">
        <f>IFERROR(__xludf.DUMMYFUNCTION("""COMPUTED_VALUE"""),-0.1794117647058819)</f>
        <v>-0.1794117647</v>
      </c>
      <c r="J14" s="4" t="str">
        <f>IFERROR(__xludf.DUMMYFUNCTION("""COMPUTED_VALUE"""),"[CM] Form G4 - Outros")</f>
        <v>[CM] Form G4 - Outros</v>
      </c>
      <c r="K14" s="6">
        <f>IFERROR(__xludf.DUMMYFUNCTION("""COMPUTED_VALUE"""),-2.6000000000000023)</f>
        <v>-2.6</v>
      </c>
      <c r="L14" s="4" t="str">
        <f>IFERROR(__xludf.DUMMYFUNCTION("""COMPUTED_VALUE"""),"[SKL] CRM - Email")</f>
        <v>[SKL] CRM - Email</v>
      </c>
      <c r="M14" s="6">
        <f>IFERROR(__xludf.DUMMYFUNCTION("""COMPUTED_VALUE"""),-10.307692307692307)</f>
        <v>-10.30769231</v>
      </c>
      <c r="N14" s="9" t="str">
        <f>IFERROR(__xludf.DUMMYFUNCTION("""COMPUTED_VALUE"""),"[IM] Time de vendas")</f>
        <v>[IM] Time de vendas</v>
      </c>
      <c r="O14" s="5">
        <f>IFERROR(__xludf.DUMMYFUNCTION("""COMPUTED_VALUE"""),-0.09019075995161335)</f>
        <v>-0.09019075995</v>
      </c>
      <c r="P14" s="3">
        <f>IFERROR(__xludf.DUMMYFUNCTION("""COMPUTED_VALUE"""),-2900.778116337424)</f>
        <v>-2900.778116</v>
      </c>
      <c r="AA14" s="4" t="str">
        <f>IFERROR(__xludf.DUMMYFUNCTION("""COMPUTED_VALUE"""),"Form G4 Facebook")</f>
        <v>Form G4 Facebook</v>
      </c>
      <c r="AB14" s="5">
        <f>IFERROR(__xludf.DUMMYFUNCTION("""COMPUTED_VALUE"""),-0.2972243888710363)</f>
        <v>-0.2972243889</v>
      </c>
      <c r="AC14" s="3">
        <f>IFERROR(__xludf.DUMMYFUNCTION("""COMPUTED_VALUE"""),-1624.4578754578747)</f>
        <v>-1624.457875</v>
      </c>
    </row>
    <row r="15">
      <c r="F15" s="4" t="str">
        <f>IFERROR(__xludf.DUMMYFUNCTION("""COMPUTED_VALUE"""),"[SKL] CRM - WhatsApp")</f>
        <v>[SKL] CRM - WhatsApp</v>
      </c>
      <c r="G15" s="5">
        <f>IFERROR(__xludf.DUMMYFUNCTION("""COMPUTED_VALUE"""),-0.19253310180160574)</f>
        <v>-0.1925331018</v>
      </c>
      <c r="H15" s="4" t="str">
        <f>IFERROR(__xludf.DUMMYFUNCTION("""COMPUTED_VALUE"""),"[SKL] Site")</f>
        <v>[SKL] Site</v>
      </c>
      <c r="I15" s="5">
        <f>IFERROR(__xludf.DUMMYFUNCTION("""COMPUTED_VALUE"""),-0.1610523235217099)</f>
        <v>-0.1610523235</v>
      </c>
      <c r="J15" s="4" t="str">
        <f>IFERROR(__xludf.DUMMYFUNCTION("""COMPUTED_VALUE"""),"Form G4 Incompleto Instagram")</f>
        <v>Form G4 Incompleto Instagram</v>
      </c>
      <c r="K15" s="6">
        <f>IFERROR(__xludf.DUMMYFUNCTION("""COMPUTED_VALUE"""),-2.210526315789474)</f>
        <v>-2.210526316</v>
      </c>
      <c r="L15" s="9" t="str">
        <f>IFERROR(__xludf.DUMMYFUNCTION("""COMPUTED_VALUE"""),"Form G4 Instagram Tallis")</f>
        <v>Form G4 Instagram Tallis</v>
      </c>
      <c r="M15" s="6">
        <f>IFERROR(__xludf.DUMMYFUNCTION("""COMPUTED_VALUE"""),-9.254175245939143)</f>
        <v>-9.254175246</v>
      </c>
      <c r="N15" s="9" t="str">
        <f>IFERROR(__xludf.DUMMYFUNCTION("""COMPUTED_VALUE"""),"[SKL] CRM - WhatsApp")</f>
        <v>[SKL] CRM - WhatsApp</v>
      </c>
      <c r="O15" s="5">
        <f>IFERROR(__xludf.DUMMYFUNCTION("""COMPUTED_VALUE"""),-0.026180227224613647)</f>
        <v>-0.02618022722</v>
      </c>
      <c r="P15" s="3">
        <f>IFERROR(__xludf.DUMMYFUNCTION("""COMPUTED_VALUE"""),-371.0)</f>
        <v>-371</v>
      </c>
      <c r="AA15" s="4" t="str">
        <f>IFERROR(__xludf.DUMMYFUNCTION("""COMPUTED_VALUE"""),"Form G4 Instagram Tallis")</f>
        <v>Form G4 Instagram Tallis</v>
      </c>
      <c r="AB15" s="5">
        <f>IFERROR(__xludf.DUMMYFUNCTION("""COMPUTED_VALUE"""),-0.2249329134496486)</f>
        <v>-0.2249329134</v>
      </c>
      <c r="AC15" s="3">
        <f>IFERROR(__xludf.DUMMYFUNCTION("""COMPUTED_VALUE"""),-2084.9559597346147)</f>
        <v>-2084.95596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IFERROR(__xludf.DUMMYFUNCTION("""COMPUTED_VALUE"""),-0.1839143064633257)</f>
        <v>-0.1839143065</v>
      </c>
      <c r="H16" s="4" t="str">
        <f>IFERROR(__xludf.DUMMYFUNCTION("""COMPUTED_VALUE"""),"Form G4 Incompleto Instagram")</f>
        <v>Form G4 Incompleto Instagram</v>
      </c>
      <c r="I16" s="5">
        <f>IFERROR(__xludf.DUMMYFUNCTION("""COMPUTED_VALUE"""),-0.15150060024009562)</f>
        <v>-0.1515006002</v>
      </c>
      <c r="J16" s="4" t="str">
        <f>IFERROR(__xludf.DUMMYFUNCTION("""COMPUTED_VALUE"""),"[SKL] Midia Paga - Quente")</f>
        <v>[SKL] Midia Paga - Quente</v>
      </c>
      <c r="K16" s="6">
        <f>IFERROR(__xludf.DUMMYFUNCTION("""COMPUTED_VALUE"""),-1.4252696456086316)</f>
        <v>-1.425269646</v>
      </c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O16" s="4"/>
      <c r="P16" s="4"/>
      <c r="AA16" s="4" t="str">
        <f>IFERROR(__xludf.DUMMYFUNCTION("""COMPUTED_VALUE"""),"[ON] Abandono de carrinho")</f>
        <v>[ON] Abandono de carrinho</v>
      </c>
      <c r="AB16" s="5">
        <f>IFERROR(__xludf.DUMMYFUNCTION("""COMPUTED_VALUE"""),-0.21617528962359045)</f>
        <v>-0.2161752896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IFERROR(__xludf.DUMMYFUNCTION("""COMPUTED_VALUE"""),"Form G4 Incompleto Instagram")</f>
        <v>Form G4 Incompleto Instagram</v>
      </c>
      <c r="G17" s="5">
        <f>IFERROR(__xludf.DUMMYFUNCTION("""COMPUTED_VALUE"""),-0.14033613445378113)</f>
        <v>-0.1403361345</v>
      </c>
      <c r="H17" s="4" t="str">
        <f>IFERROR(__xludf.DUMMYFUNCTION("""COMPUTED_VALUE"""),"Form G4 Google")</f>
        <v>Form G4 Google</v>
      </c>
      <c r="I17" s="5">
        <f>IFERROR(__xludf.DUMMYFUNCTION("""COMPUTED_VALUE"""),-0.14832978149793274)</f>
        <v>-0.1483297815</v>
      </c>
      <c r="J17" s="4" t="str">
        <f>IFERROR(__xludf.DUMMYFUNCTION("""COMPUTED_VALUE"""),"Form G4 Instagram Tallis")</f>
        <v>Form G4 Instagram Tallis</v>
      </c>
      <c r="K17" s="6">
        <f>IFERROR(__xludf.DUMMYFUNCTION("""COMPUTED_VALUE"""),-1.0262310170271516)</f>
        <v>-1.026231017</v>
      </c>
      <c r="L17" s="9" t="str">
        <f>IFERROR(__xludf.DUMMYFUNCTION("""COMPUTED_VALUE"""),"Form G4 Instagram G4")</f>
        <v>Form G4 Instagram G4</v>
      </c>
      <c r="M17" s="6">
        <f>IFERROR(__xludf.DUMMYFUNCTION("""COMPUTED_VALUE"""),-7.7560975609756095)</f>
        <v>-7.756097561</v>
      </c>
      <c r="O17" s="4"/>
      <c r="P17" s="4"/>
      <c r="AA17" s="4" t="str">
        <f>IFERROR(__xludf.DUMMYFUNCTION("""COMPUTED_VALUE"""),"[SKL] CRM - Email")</f>
        <v>[SKL] CRM - Email</v>
      </c>
      <c r="AB17" s="5">
        <f>IFERROR(__xludf.DUMMYFUNCTION("""COMPUTED_VALUE"""),-0.18979714102476108)</f>
        <v>-0.189797141</v>
      </c>
      <c r="AC17" s="3">
        <f>IFERROR(__xludf.DUMMYFUNCTION("""COMPUTED_VALUE"""),-1009.9846153846149)</f>
        <v>-1009.984615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IFERROR(__xludf.DUMMYFUNCTION("""COMPUTED_VALUE"""),-0.10081135902636867)</f>
        <v>-0.100811359</v>
      </c>
      <c r="H18" s="4" t="str">
        <f>IFERROR(__xludf.DUMMYFUNCTION("""COMPUTED_VALUE"""),"Form G4 Incompleto Outros")</f>
        <v>Form G4 Incompleto Outros</v>
      </c>
      <c r="I18" s="5">
        <f>IFERROR(__xludf.DUMMYFUNCTION("""COMPUTED_VALUE"""),-0.11274669217280368)</f>
        <v>-0.1127466922</v>
      </c>
      <c r="J18" s="4" t="str">
        <f>IFERROR(__xludf.DUMMYFUNCTION("""COMPUTED_VALUE"""),"Form G4 Incompleto Outros")</f>
        <v>Form G4 Incompleto Outros</v>
      </c>
      <c r="K18" s="6">
        <f>IFERROR(__xludf.DUMMYFUNCTION("""COMPUTED_VALUE"""),-0.9700288974966526)</f>
        <v>-0.9700288975</v>
      </c>
      <c r="L18" s="9" t="str">
        <f>IFERROR(__xludf.DUMMYFUNCTION("""COMPUTED_VALUE"""),"Form G4 Facebook")</f>
        <v>Form G4 Facebook</v>
      </c>
      <c r="M18" s="6">
        <f>IFERROR(__xludf.DUMMYFUNCTION("""COMPUTED_VALUE"""),-7.4481074481074465)</f>
        <v>-7.448107448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IFERROR(__xludf.DUMMYFUNCTION("""COMPUTED_VALUE"""),-0.14790793029568272)</f>
        <v>-0.1479079303</v>
      </c>
      <c r="AC18" s="3">
        <f>IFERROR(__xludf.DUMMYFUNCTION("""COMPUTED_VALUE"""),-1726.1736602038873)</f>
        <v>-1726.17366</v>
      </c>
    </row>
    <row r="19">
      <c r="F19" s="4" t="str">
        <f>IFERROR(__xludf.DUMMYFUNCTION("""COMPUTED_VALUE"""),"[SKL] Midia Paga - Quente")</f>
        <v>[SKL] Midia Paga - Quente</v>
      </c>
      <c r="G19" s="5">
        <f>IFERROR(__xludf.DUMMYFUNCTION("""COMPUTED_VALUE"""),-0.07763337893296811)</f>
        <v>-0.07763337893</v>
      </c>
      <c r="H19" s="4" t="str">
        <f>IFERROR(__xludf.DUMMYFUNCTION("""COMPUTED_VALUE"""),"[ON] Chat")</f>
        <v>[ON] Chat</v>
      </c>
      <c r="I19" s="5">
        <f>IFERROR(__xludf.DUMMYFUNCTION("""COMPUTED_VALUE"""),-0.10300888068231753)</f>
        <v>-0.1030088807</v>
      </c>
      <c r="J19" s="4" t="str">
        <f>IFERROR(__xludf.DUMMYFUNCTION("""COMPUTED_VALUE"""),"Form G4 - K Instagram")</f>
        <v>Form G4 - K Instagram</v>
      </c>
      <c r="K19" s="6">
        <f>IFERROR(__xludf.DUMMYFUNCTION("""COMPUTED_VALUE"""),-0.1955801104972399)</f>
        <v>-0.1955801105</v>
      </c>
      <c r="L19" s="9" t="str">
        <f>IFERROR(__xludf.DUMMYFUNCTION("""COMPUTED_VALUE"""),"Aplicativo G4 - Indicação")</f>
        <v>Aplicativo G4 - Indicação</v>
      </c>
      <c r="M19" s="6">
        <f>IFERROR(__xludf.DUMMYFUNCTION("""COMPUTED_VALUE"""),-6.2937062937062915)</f>
        <v>-6.293706294</v>
      </c>
      <c r="O19" s="4"/>
      <c r="P19" s="4"/>
      <c r="AA19" s="4" t="str">
        <f>IFERROR(__xludf.DUMMYFUNCTION("""COMPUTED_VALUE"""),"[ON] Chat")</f>
        <v>[ON] Chat</v>
      </c>
      <c r="AB19" s="5">
        <f>IFERROR(__xludf.DUMMYFUNCTION("""COMPUTED_VALUE"""),-0.10922851758122665)</f>
        <v>-0.1092285176</v>
      </c>
      <c r="AC19" s="3">
        <f>IFERROR(__xludf.DUMMYFUNCTION("""COMPUTED_VALUE"""),-453.004923076923)</f>
        <v>-453.0049231</v>
      </c>
    </row>
    <row r="20">
      <c r="F20" s="4" t="str">
        <f>IFERROR(__xludf.DUMMYFUNCTION("""COMPUTED_VALUE"""),"[SKL] Site")</f>
        <v>[SKL] Site</v>
      </c>
      <c r="G20" s="5">
        <f>IFERROR(__xludf.DUMMYFUNCTION("""COMPUTED_VALUE"""),-0.07514776245426352)</f>
        <v>-0.07514776245</v>
      </c>
      <c r="H20" s="4" t="str">
        <f>IFERROR(__xludf.DUMMYFUNCTION("""COMPUTED_VALUE"""),"[SKL] Midia Paga - Quente")</f>
        <v>[SKL] Midia Paga - Quente</v>
      </c>
      <c r="I20" s="5">
        <f>IFERROR(__xludf.DUMMYFUNCTION("""COMPUTED_VALUE"""),-0.061730506155950236)</f>
        <v>-0.06173050616</v>
      </c>
      <c r="J20" s="4" t="str">
        <f>IFERROR(__xludf.DUMMYFUNCTION("""COMPUTED_VALUE"""),"Form G4 Facebook")</f>
        <v>Form G4 Facebook</v>
      </c>
      <c r="K20" s="6">
        <f>IFERROR(__xludf.DUMMYFUNCTION("""COMPUTED_VALUE"""),-0.17857142857142794)</f>
        <v>-0.1785714286</v>
      </c>
      <c r="L20" s="9" t="str">
        <f>IFERROR(__xludf.DUMMYFUNCTION("""COMPUTED_VALUE"""),"[IM] Form G4 Facebook Ads - K")</f>
        <v>[IM] Form G4 Facebook Ads - K</v>
      </c>
      <c r="M20" s="6">
        <f>IFERROR(__xludf.DUMMYFUNCTION("""COMPUTED_VALUE"""),-6.112054329371816)</f>
        <v>-6.112054329</v>
      </c>
      <c r="O20" s="4"/>
      <c r="P20" s="4"/>
      <c r="AA20" s="4" t="str">
        <f>IFERROR(__xludf.DUMMYFUNCTION("""COMPUTED_VALUE"""),"[SKL] Site")</f>
        <v>[SKL] Site</v>
      </c>
      <c r="AB20" s="5">
        <f>IFERROR(__xludf.DUMMYFUNCTION("""COMPUTED_VALUE"""),-0.08419975888355202)</f>
        <v>-0.08419975888</v>
      </c>
      <c r="AC20" s="3">
        <f>IFERROR(__xludf.DUMMYFUNCTION("""COMPUTED_VALUE"""),-1077.8023255813955)</f>
        <v>-1077.802326</v>
      </c>
    </row>
    <row r="21">
      <c r="F21" s="4" t="str">
        <f>IFERROR(__xludf.DUMMYFUNCTION("""COMPUTED_VALUE"""),"Form G4 Outros - Orgânico")</f>
        <v>Form G4 Outros - Orgânico</v>
      </c>
      <c r="G21" s="5">
        <f>IFERROR(__xludf.DUMMYFUNCTION("""COMPUTED_VALUE"""),-0.051288784744666575)</f>
        <v>-0.05128878474</v>
      </c>
      <c r="H21" s="4" t="str">
        <f>IFERROR(__xludf.DUMMYFUNCTION("""COMPUTED_VALUE"""),"[IM] Form Facebook Ads")</f>
        <v>[IM] Form Facebook Ads</v>
      </c>
      <c r="I21" s="5">
        <f>IFERROR(__xludf.DUMMYFUNCTION("""COMPUTED_VALUE"""),-0.04288574068370759)</f>
        <v>-0.04288574068</v>
      </c>
      <c r="J21" s="4"/>
      <c r="K21" s="4"/>
      <c r="L21" s="9" t="str">
        <f>IFERROR(__xludf.DUMMYFUNCTION("""COMPUTED_VALUE"""),"[SKL] Outros")</f>
        <v>[SKL] Outros</v>
      </c>
      <c r="M21" s="6">
        <f>IFERROR(__xludf.DUMMYFUNCTION("""COMPUTED_VALUE"""),-5.38728323699422)</f>
        <v>-5.387283237</v>
      </c>
      <c r="O21" s="4"/>
      <c r="P21" s="4"/>
      <c r="AA21" s="4"/>
      <c r="AB21" s="4"/>
      <c r="AC21" s="4"/>
    </row>
    <row r="22">
      <c r="F22" s="4"/>
      <c r="G22" s="4"/>
      <c r="H22" s="4"/>
      <c r="I22" s="4"/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IFERROR(__xludf.DUMMYFUNCTION("""COMPUTED_VALUE"""),"Form G4 - K Outros")</f>
        <v>Form G4 - K Outros</v>
      </c>
      <c r="M23" s="6">
        <f>IFERROR(__xludf.DUMMYFUNCTION("""COMPUTED_VALUE"""),-5.043902439024389)</f>
        <v>-5.043902439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IFERROR(__xludf.DUMMYFUNCTION("""COMPUTED_VALUE"""),"Form G4 Incompleto Outros")</f>
        <v>Form G4 Incompleto Outros</v>
      </c>
      <c r="M24" s="6">
        <f>IFERROR(__xludf.DUMMYFUNCTION("""COMPUTED_VALUE"""),-4.830483048304831)</f>
        <v>-4.830483048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IFERROR(__xludf.DUMMYFUNCTION("""COMPUTED_VALUE"""),"Form G4 Outros - Orgânico")</f>
        <v>Form G4 Outros - Orgânico</v>
      </c>
      <c r="M25" s="6">
        <f>IFERROR(__xludf.DUMMYFUNCTION("""COMPUTED_VALUE"""),-4.215549811095648)</f>
        <v>-4.215549811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Incompleto Instagram")</f>
        <v>Form G4 Incompleto Instagram</v>
      </c>
      <c r="M26" s="6">
        <f>IFERROR(__xludf.DUMMYFUNCTION("""COMPUTED_VALUE"""),-3.6666666666666665)</f>
        <v>-3.666666667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IFERROR(__xludf.DUMMYFUNCTION("""COMPUTED_VALUE"""),"[IM] Chat")</f>
        <v>[IM] Chat</v>
      </c>
      <c r="M27" s="6">
        <f>IFERROR(__xludf.DUMMYFUNCTION("""COMPUTED_VALUE"""),-3.4034107615407234)</f>
        <v>-3.403410762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0">
        <f>IFERROR(__xludf.DUMMYFUNCTION("IMPORTRANGE(""https://docs.google.com/spreadsheets/d/1D6uzcbxSwPrh4oDMzqUQcTT-8H5GNx5DfmYrtr-kz2w"",""Visão ""&amp;'Parâmetro'!B1&amp;"" - Metas Comercial!AE1"")"),3270381.3191561666)</f>
        <v>3270381.319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Comercial!AF4"")"),738759.5)</f>
        <v>738759.5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Comercial!AE4"")"),1210041.0880877816)</f>
        <v>1210041.088</v>
      </c>
    </row>
    <row r="5">
      <c r="A5" s="1" t="s">
        <v>36</v>
      </c>
      <c r="B5" s="1" t="s">
        <v>2</v>
      </c>
      <c r="C5" s="3">
        <f>C3-C4</f>
        <v>-471281.5881</v>
      </c>
    </row>
    <row r="6">
      <c r="A6" s="1" t="s">
        <v>36</v>
      </c>
      <c r="B6" s="1" t="s">
        <v>39</v>
      </c>
      <c r="C6" s="5">
        <f>C3/C2</f>
        <v>0.2258939946</v>
      </c>
    </row>
    <row r="7">
      <c r="A7" s="1" t="s">
        <v>36</v>
      </c>
      <c r="B7" s="1" t="s">
        <v>40</v>
      </c>
      <c r="C7" s="5">
        <f>C3/C4</f>
        <v>0.6105243097</v>
      </c>
    </row>
    <row r="8">
      <c r="A8" s="1" t="s">
        <v>36</v>
      </c>
      <c r="B8" s="1" t="s">
        <v>41</v>
      </c>
      <c r="C8" s="5">
        <f>C9-C6</f>
        <v>0.1441060054</v>
      </c>
    </row>
    <row r="9">
      <c r="A9" s="1" t="s">
        <v>36</v>
      </c>
      <c r="B9" s="1" t="s">
        <v>42</v>
      </c>
      <c r="C9" s="7">
        <f>C4/C2</f>
        <v>0.37</v>
      </c>
    </row>
    <row r="10">
      <c r="A10" s="1" t="s">
        <v>36</v>
      </c>
      <c r="B10" s="1" t="s">
        <v>43</v>
      </c>
      <c r="C10" s="11">
        <v>5000000.0</v>
      </c>
    </row>
    <row r="11">
      <c r="A11" s="1" t="s">
        <v>36</v>
      </c>
      <c r="B11" s="1" t="s">
        <v>44</v>
      </c>
      <c r="C11" s="3">
        <f>C3+C10</f>
        <v>5738759.5</v>
      </c>
    </row>
    <row r="12">
      <c r="A12" s="1" t="s">
        <v>36</v>
      </c>
      <c r="B12" s="1" t="s">
        <v>45</v>
      </c>
      <c r="C12" s="10">
        <f>C2-C11</f>
        <v>-2468378.181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0.3157894736842105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Tai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)"),"[SKL] Outros")</f>
        <v>[SKL] Outros</v>
      </c>
      <c r="B2" s="10">
        <f>IFERROR(__xludf.DUMMYFUNCTION("""COMPUTED_VALUE"""),-118948.01982475886)</f>
        <v>-118948.0198</v>
      </c>
      <c r="C2" s="7">
        <f t="shared" ref="C2:C1000" si="1">IF(B2="","",B2/SUM($B$2:$B$1000))</f>
        <v>0.5984012197</v>
      </c>
      <c r="D2" s="7">
        <f>IF(B2="","",C2)</f>
        <v>0.5984012197</v>
      </c>
      <c r="E2" s="3">
        <f t="array" ref="E2">XLOOKUP(A2,'Dados Funil'!$A:$A,'Dados Funil'!$K:$K,"")</f>
        <v>-106.2467742</v>
      </c>
      <c r="F2" s="5">
        <f t="array" ref="F2">XLOOKUP(A2,'Dados Funil'!$A:$A,'Dados Funil'!$L:$L,"")</f>
        <v>-0.6799933934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)"),"[IM] Form Facebook Ads")</f>
        <v>[IM] Form Facebook Ads</v>
      </c>
      <c r="H2" s="10">
        <f>IFERROR(__xludf.DUMMYFUNCTION("""COMPUTED_VALUE"""),-110803.20000000003)</f>
        <v>-110803.2</v>
      </c>
      <c r="I2" s="7">
        <f t="shared" ref="I2:I1000" si="2">IF(H2="","",H2/SUM($H$2:$H$1000))</f>
        <v>0.6727386501</v>
      </c>
      <c r="J2" s="7">
        <f>IF(H2="","",I2)</f>
        <v>0.6727386501</v>
      </c>
      <c r="K2" s="6">
        <f t="array" ref="K2">XLOOKUP(G2,'Dados Funil'!A:A,'Dados Funil'!O:O,"")</f>
        <v>-10.29310345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)"),"[SKL] Midia Paga - Quente")</f>
        <v>[SKL] Midia Paga - Quente</v>
      </c>
      <c r="M2" s="10">
        <f>IFERROR(__xludf.DUMMYFUNCTION("""COMPUTED_VALUE"""),-135881.80000000002)</f>
        <v>-135881.8</v>
      </c>
      <c r="N2" s="7">
        <f t="shared" ref="N2:N1000" si="3">IF(M2="","",M2/SUM($M$2:$M$1000))</f>
        <v>0.3749866676</v>
      </c>
      <c r="O2" s="7">
        <f>IF(M2="","",N2)</f>
        <v>0.3749866676</v>
      </c>
      <c r="P2" s="10">
        <f t="array" ref="P2">XLOOKUP(L2,'Dados Funil'!A:A,'Dados Funil'!AM:AM,"")</f>
        <v>-2516.32963</v>
      </c>
      <c r="Q2" s="5">
        <f t="array" ref="Q2">XLOOKUP(L2,'Dados Funil'!A:A,'Dados Funil'!AN:AN,"")</f>
        <v>-0.7657262582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)"),"[IM] Form Facebook Ads")</f>
        <v>[IM] Form Facebook Ads</v>
      </c>
      <c r="S2" s="10">
        <f>IFERROR(__xludf.DUMMYFUNCTION("""COMPUTED_VALUE"""),93841.75483870978)</f>
        <v>93841.75484</v>
      </c>
      <c r="T2" s="7">
        <f t="shared" ref="T2:T1000" si="4">IF(S2="","",S2/SUM($S$2:$S$1000))</f>
        <v>0.9661023764</v>
      </c>
      <c r="U2" s="7">
        <f>IF(S2="","",T2)</f>
        <v>0.9661023764</v>
      </c>
      <c r="V2" s="3">
        <f t="array" ref="V2">XLOOKUP(R2,'Dados Funil'!$A:$A,'Dados Funil'!$K:$K,"")</f>
        <v>59.48387097</v>
      </c>
      <c r="W2" s="5">
        <f t="array" ref="W2">XLOOKUP(R2,'Dados Funil'!$A:$A,'Dados Funil'!$L:$L,"")</f>
        <v>0.3448017951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)"),"[SKL] Outros")</f>
        <v>[SKL] Outros</v>
      </c>
      <c r="Y2" s="10">
        <f>IFERROR(__xludf.DUMMYFUNCTION("""COMPUTED_VALUE"""),42109.12014174569)</f>
        <v>42109.12014</v>
      </c>
      <c r="Z2" s="7">
        <f t="shared" ref="Z2:Z1000" si="5">IF(Y2="","",Y2/SUM($Y$2:$Y$1000))</f>
        <v>0.6246166103</v>
      </c>
      <c r="AA2" s="7">
        <f>IF(Y2="","",Z2)</f>
        <v>0.6246166103</v>
      </c>
      <c r="AB2" s="6">
        <f t="array" ref="AB2">XLOOKUP(X2,'Dados Funil'!A:A,'Dados Funil'!O:O,"")</f>
        <v>19.74810319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)"),"#N/A")</f>
        <v>#N/A</v>
      </c>
      <c r="AD2" s="4"/>
      <c r="AE2" s="7" t="str">
        <f t="shared" ref="AE2:AE1000" si="6">IF(AD2="","",AD2/SUM($AD$2:$AD$1000))</f>
        <v/>
      </c>
      <c r="AF2" s="4" t="str">
        <f>IF(AD2="","",AE2)</f>
        <v/>
      </c>
      <c r="AG2" s="4" t="str">
        <f t="array" ref="AG2">XLOOKUP(AC2,'Dados Funil'!A:A,'Dados Funil'!AM:AM,"")</f>
        <v>#N/A</v>
      </c>
      <c r="AH2" s="4" t="str">
        <f t="array" ref="AH2">XLOOKUP(AC2,'Dados Funil'!A:A,'Dados Funil'!AN:AN,"")</f>
        <v>#N/A</v>
      </c>
      <c r="AI2" s="9" t="str">
        <f>IFERROR(__xludf.DUMMYFUNCTION("QUERY('Dados Funil'!A2:AP100,""SELECT Col1, Col9, Col13, Col37 WHERE Col9 &gt; 0"")"),"[IM] Form Facebook Ads")</f>
        <v>[IM] Form Facebook Ads</v>
      </c>
      <c r="AJ2" s="12">
        <f>IFERROR(__xludf.DUMMYFUNCTION("""COMPUTED_VALUE"""),172.516129032258)</f>
        <v>172.516129</v>
      </c>
      <c r="AK2" s="13">
        <f>IFERROR(__xludf.DUMMYFUNCTION("""COMPUTED_VALUE"""),0.34)</f>
        <v>0.34</v>
      </c>
      <c r="AL2" s="9">
        <f>IFERROR(__xludf.DUMMYFUNCTION("""COMPUTED_VALUE"""),4640.0)</f>
        <v>4640</v>
      </c>
      <c r="AM2" s="9">
        <f t="shared" ref="AM2:AM35" si="7">AJ2*AK2*AL2</f>
        <v>272161.4452</v>
      </c>
      <c r="AN2" s="9" t="str">
        <f>IFERROR(__xludf.DUMMYFUNCTION("QUERY('Dados Funil'!A2:AZ100,""SELECT Col1, Col10, Col14, Col38 WHERE Col9 &gt; 0"")"),"[IM] Form Facebook Ads")</f>
        <v>[IM] Form Facebook Ads</v>
      </c>
      <c r="AO2" s="12">
        <f>IFERROR(__xludf.DUMMYFUNCTION("""COMPUTED_VALUE"""),232.0)</f>
        <v>232</v>
      </c>
      <c r="AP2" s="13">
        <f>IFERROR(__xludf.DUMMYFUNCTION("""COMPUTED_VALUE"""),0.23706896551724138)</f>
        <v>0.2370689655</v>
      </c>
      <c r="AQ2" s="14">
        <f>IFERROR(__xludf.DUMMYFUNCTION("""COMPUTED_VALUE"""),2381.3818181818183)</f>
        <v>2381.381818</v>
      </c>
      <c r="AR2" s="9">
        <f t="shared" ref="AR2:AR35" si="8">AO2*AP2*AQ2</f>
        <v>130976</v>
      </c>
    </row>
    <row r="3">
      <c r="A3" s="4" t="str">
        <f>IFERROR(__xludf.DUMMYFUNCTION("""COMPUTED_VALUE"""),"[SKL] CRM - Email")</f>
        <v>[SKL] CRM - Email</v>
      </c>
      <c r="B3" s="10">
        <f>IFERROR(__xludf.DUMMYFUNCTION("""COMPUTED_VALUE"""),-39159.41031653222)</f>
        <v>-39159.41032</v>
      </c>
      <c r="C3" s="7">
        <f t="shared" si="1"/>
        <v>0.1970023455</v>
      </c>
      <c r="D3" s="7">
        <f t="shared" ref="D3:D1000" si="9">IF(B3="","",C3+D2)</f>
        <v>0.7954035651</v>
      </c>
      <c r="E3" s="3">
        <f t="array" ref="E3">XLOOKUP(A3,'Dados Funil'!$A:$A,'Dados Funil'!$K:$K,"")</f>
        <v>-75.92516129</v>
      </c>
      <c r="F3" s="5">
        <f t="array" ref="F3">XLOOKUP(A3,'Dados Funil'!$A:$A,'Dados Funil'!$L:$L,"")</f>
        <v>-0.6438419118</v>
      </c>
      <c r="G3" s="4" t="str">
        <f>IFERROR(__xludf.DUMMYFUNCTION("""COMPUTED_VALUE"""),"[SKL] CRM - WhatsApp")</f>
        <v>[SKL] CRM - WhatsApp</v>
      </c>
      <c r="H3" s="10">
        <f>IFERROR(__xludf.DUMMYFUNCTION("""COMPUTED_VALUE"""),-21648.463829787226)</f>
        <v>-21648.46383</v>
      </c>
      <c r="I3" s="7">
        <f t="shared" si="2"/>
        <v>0.1314380662</v>
      </c>
      <c r="J3" s="7">
        <f t="shared" ref="J3:J1000" si="10">IF(H3="","",I3+J2)</f>
        <v>0.8041767162</v>
      </c>
      <c r="K3" s="6">
        <f t="array" ref="K3">XLOOKUP(G3,'Dados Funil'!A:A,'Dados Funil'!O:O,"")</f>
        <v>-5.698412698</v>
      </c>
      <c r="L3" s="4" t="str">
        <f>IFERROR(__xludf.DUMMYFUNCTION("""COMPUTED_VALUE"""),"[IM] Form Facebook Ads")</f>
        <v>[IM] Form Facebook Ads</v>
      </c>
      <c r="M3" s="10">
        <f>IFERROR(__xludf.DUMMYFUNCTION("""COMPUTED_VALUE"""),-124224.0)</f>
        <v>-124224</v>
      </c>
      <c r="N3" s="7">
        <f t="shared" si="3"/>
        <v>0.3428151805</v>
      </c>
      <c r="O3" s="7">
        <f t="shared" ref="O3:O1000" si="11">IF(N3="","",N3+O2)</f>
        <v>0.7178018481</v>
      </c>
      <c r="P3" s="10">
        <f t="array" ref="P3">XLOOKUP(L3,'Dados Funil'!A:A,'Dados Funil'!AM:AM,"")</f>
        <v>-2258.618182</v>
      </c>
      <c r="Q3" s="5">
        <f t="array" ref="Q3">XLOOKUP(L3,'Dados Funil'!A:A,'Dados Funil'!AN:AN,"")</f>
        <v>-0.4867711599</v>
      </c>
      <c r="R3" s="4" t="str">
        <f>IFERROR(__xludf.DUMMYFUNCTION("""COMPUTED_VALUE"""),"[SKL] Midia Paga - Quente")</f>
        <v>[SKL] Midia Paga - Quente</v>
      </c>
      <c r="S3" s="10">
        <f>IFERROR(__xludf.DUMMYFUNCTION("""COMPUTED_VALUE"""),3292.624633431169)</f>
        <v>3292.624633</v>
      </c>
      <c r="T3" s="7">
        <f t="shared" si="4"/>
        <v>0.03389762359</v>
      </c>
      <c r="U3" s="7">
        <f t="shared" ref="U3:U1000" si="12">IF(S3="","",T3+U2)</f>
        <v>1</v>
      </c>
      <c r="V3" s="3">
        <f t="array" ref="V3">XLOOKUP(R3,'Dados Funil'!$A:$A,'Dados Funil'!$K:$K,"")</f>
        <v>5.290322581</v>
      </c>
      <c r="W3" s="5">
        <f t="array" ref="W3">XLOOKUP(R3,'Dados Funil'!$A:$A,'Dados Funil'!$L:$L,"")</f>
        <v>0.01702657807</v>
      </c>
      <c r="X3" s="4" t="str">
        <f>IFERROR(__xludf.DUMMYFUNCTION("""COMPUTED_VALUE"""),"[SKL] Social")</f>
        <v>[SKL] Social</v>
      </c>
      <c r="Y3" s="10">
        <f>IFERROR(__xludf.DUMMYFUNCTION("""COMPUTED_VALUE"""),12047.828425015025)</f>
        <v>12047.82843</v>
      </c>
      <c r="Z3" s="7">
        <f t="shared" si="5"/>
        <v>0.1787088813</v>
      </c>
      <c r="AA3" s="7">
        <f t="shared" ref="AA3:AA1000" si="13">IF(Y3="","",Z3+AA2)</f>
        <v>0.8033254916</v>
      </c>
      <c r="AB3" s="6">
        <f t="array" ref="AB3">XLOOKUP(X3,'Dados Funil'!A:A,'Dados Funil'!O:O,"")</f>
        <v>10.65152898</v>
      </c>
      <c r="AC3" s="4"/>
      <c r="AD3" s="4"/>
      <c r="AE3" s="7" t="str">
        <f t="shared" si="6"/>
        <v/>
      </c>
      <c r="AF3" s="4" t="str">
        <f t="shared" ref="AF3:AF11" si="14">IF(AE3="","",AE3+AF2)</f>
        <v/>
      </c>
      <c r="AG3" s="4" t="str">
        <f t="array" ref="AG3">XLOOKUP(AC3,'Dados Funil'!A:A,'Dados Funil'!AM:AM,"")</f>
        <v/>
      </c>
      <c r="AH3" s="4" t="str">
        <f t="array" ref="AH3">XLOOKUP(AC3,'Dados Funil'!A:A,'Dados Funil'!AN:AN,"")</f>
        <v/>
      </c>
      <c r="AI3" s="9" t="str">
        <f>IFERROR(__xludf.DUMMYFUNCTION("""COMPUTED_VALUE"""),"[SKL] Midia Paga - Quente")</f>
        <v>[SKL] Midia Paga - Quente</v>
      </c>
      <c r="AJ3" s="12">
        <f>IFERROR(__xludf.DUMMYFUNCTION("""COMPUTED_VALUE"""),310.7096774193547)</f>
        <v>310.7096774</v>
      </c>
      <c r="AK3" s="13">
        <f>IFERROR(__xludf.DUMMYFUNCTION("""COMPUTED_VALUE"""),0.18939393939393942)</f>
        <v>0.1893939394</v>
      </c>
      <c r="AL3" s="9">
        <f>IFERROR(__xludf.DUMMYFUNCTION("""COMPUTED_VALUE"""),3286.2000000000003)</f>
        <v>3286.2</v>
      </c>
      <c r="AM3" s="9">
        <f t="shared" si="7"/>
        <v>193381.4663</v>
      </c>
      <c r="AN3" s="9" t="str">
        <f>IFERROR(__xludf.DUMMYFUNCTION("""COMPUTED_VALUE"""),"[SKL] Midia Paga - Quente")</f>
        <v>[SKL] Midia Paga - Quente</v>
      </c>
      <c r="AO3" s="12">
        <f>IFERROR(__xludf.DUMMYFUNCTION("""COMPUTED_VALUE"""),316.0)</f>
        <v>316</v>
      </c>
      <c r="AP3" s="13">
        <f>IFERROR(__xludf.DUMMYFUNCTION("""COMPUTED_VALUE"""),0.17088607594936708)</f>
        <v>0.1708860759</v>
      </c>
      <c r="AQ3" s="14">
        <f>IFERROR(__xludf.DUMMYFUNCTION("""COMPUTED_VALUE"""),769.8703703703703)</f>
        <v>769.8703704</v>
      </c>
      <c r="AR3" s="9">
        <f t="shared" si="8"/>
        <v>41573</v>
      </c>
    </row>
    <row r="4">
      <c r="A4" s="4" t="str">
        <f>IFERROR(__xludf.DUMMYFUNCTION("""COMPUTED_VALUE"""),"[SKL] Social")</f>
        <v>[SKL] Social</v>
      </c>
      <c r="B4" s="10">
        <f>IFERROR(__xludf.DUMMYFUNCTION("""COMPUTED_VALUE"""),-26311.394735618836)</f>
        <v>-26311.39474</v>
      </c>
      <c r="C4" s="7">
        <f t="shared" si="1"/>
        <v>0.1323668164</v>
      </c>
      <c r="D4" s="7">
        <f t="shared" si="9"/>
        <v>0.9277703815</v>
      </c>
      <c r="E4" s="3">
        <f t="array" ref="E4">XLOOKUP(A4,'Dados Funil'!$A:$A,'Dados Funil'!$K:$K,"")</f>
        <v>-80.73986816</v>
      </c>
      <c r="F4" s="5">
        <f t="array" ref="F4">XLOOKUP(A4,'Dados Funil'!$A:$A,'Dados Funil'!$L:$L,"")</f>
        <v>-0.5904632588</v>
      </c>
      <c r="G4" s="4" t="str">
        <f>IFERROR(__xludf.DUMMYFUNCTION("""COMPUTED_VALUE"""),"[SKL] Midia Paga - Quente")</f>
        <v>[SKL] Midia Paga - Quente</v>
      </c>
      <c r="H4" s="10">
        <f>IFERROR(__xludf.DUMMYFUNCTION("""COMPUTED_VALUE"""),-19219.29090909094)</f>
        <v>-19219.29091</v>
      </c>
      <c r="I4" s="7">
        <f t="shared" si="2"/>
        <v>0.1166894081</v>
      </c>
      <c r="J4" s="7">
        <f t="shared" si="10"/>
        <v>0.9208661243</v>
      </c>
      <c r="K4" s="6">
        <f t="array" ref="K4">XLOOKUP(G4,'Dados Funil'!A:A,'Dados Funil'!O:O,"")</f>
        <v>-1.850786344</v>
      </c>
      <c r="L4" s="4" t="str">
        <f>IFERROR(__xludf.DUMMYFUNCTION("""COMPUTED_VALUE"""),"[SKL] CRM - WhatsApp")</f>
        <v>[SKL] CRM - WhatsApp</v>
      </c>
      <c r="M4" s="10">
        <f>IFERROR(__xludf.DUMMYFUNCTION("""COMPUTED_VALUE"""),-41074.93617021276)</f>
        <v>-41074.93617</v>
      </c>
      <c r="N4" s="7">
        <f t="shared" si="3"/>
        <v>0.1133525861</v>
      </c>
      <c r="O4" s="7">
        <f t="shared" si="11"/>
        <v>0.8311544342</v>
      </c>
      <c r="P4" s="10">
        <f t="array" ref="P4">XLOOKUP(L4,'Dados Funil'!A:A,'Dados Funil'!AM:AM,"")</f>
        <v>-1579.805237</v>
      </c>
      <c r="Q4" s="5">
        <f t="array" ref="Q4">XLOOKUP(L4,'Dados Funil'!A:A,'Dados Funil'!AN:AN,"")</f>
        <v>-0.7485190697</v>
      </c>
      <c r="R4" s="4"/>
      <c r="S4" s="4"/>
      <c r="T4" s="7" t="str">
        <f t="shared" si="4"/>
        <v/>
      </c>
      <c r="U4" s="4" t="str">
        <f t="shared" si="12"/>
        <v/>
      </c>
      <c r="V4" s="4" t="str">
        <f t="array" ref="V4">XLOOKUP(R4,'Dados Funil'!$A:$A,'Dados Funil'!$K:$K,"")</f>
        <v/>
      </c>
      <c r="W4" s="4" t="str">
        <f t="array" ref="W4">XLOOKUP(R4,'Dados Funil'!$A:$A,'Dados Funil'!$L:$L,"")</f>
        <v/>
      </c>
      <c r="X4" s="4" t="str">
        <f>IFERROR(__xludf.DUMMYFUNCTION("""COMPUTED_VALUE"""),"[SKL] CRM - Email")</f>
        <v>[SKL] CRM - Email</v>
      </c>
      <c r="Y4" s="10">
        <f>IFERROR(__xludf.DUMMYFUNCTION("""COMPUTED_VALUE"""),10673.142187499996)</f>
        <v>10673.14219</v>
      </c>
      <c r="Z4" s="7">
        <f t="shared" si="5"/>
        <v>0.1583177676</v>
      </c>
      <c r="AA4" s="7">
        <f t="shared" si="13"/>
        <v>0.9616432591</v>
      </c>
      <c r="AB4" s="6">
        <f t="array" ref="AB4">XLOOKUP(X4,'Dados Funil'!A:A,'Dados Funil'!O:O,"")</f>
        <v>9.430803571</v>
      </c>
      <c r="AC4" s="4"/>
      <c r="AD4" s="4"/>
      <c r="AE4" s="7" t="str">
        <f t="shared" si="6"/>
        <v/>
      </c>
      <c r="AF4" s="4" t="str">
        <f t="shared" si="14"/>
        <v/>
      </c>
      <c r="AG4" s="4" t="str">
        <f t="array" ref="AG4">XLOOKUP(AC4,'Dados Funil'!A:A,'Dados Funil'!AM:AM,"")</f>
        <v/>
      </c>
      <c r="AH4" s="4" t="str">
        <f t="array" ref="AH4">XLOOKUP(AC4,'Dados Funil'!A:A,'Dados Funil'!AN:AN,"")</f>
        <v/>
      </c>
      <c r="AI4" s="9" t="str">
        <f>IFERROR(__xludf.DUMMYFUNCTION("""COMPUTED_VALUE"""),"[SKL] Outros")</f>
        <v>[SKL] Outros</v>
      </c>
      <c r="AJ4" s="12">
        <f>IFERROR(__xludf.DUMMYFUNCTION("""COMPUTED_VALUE"""),156.24677419354833)</f>
        <v>156.2467742</v>
      </c>
      <c r="AK4" s="13">
        <f>IFERROR(__xludf.DUMMYFUNCTION("""COMPUTED_VALUE"""),0.26251896813353565)</f>
        <v>0.2625189681</v>
      </c>
      <c r="AL4" s="9">
        <f>IFERROR(__xludf.DUMMYFUNCTION("""COMPUTED_VALUE"""),4264.624277456647)</f>
        <v>4264.624277</v>
      </c>
      <c r="AM4" s="9">
        <f t="shared" si="7"/>
        <v>174925.2581</v>
      </c>
      <c r="AN4" s="9" t="str">
        <f>IFERROR(__xludf.DUMMYFUNCTION("""COMPUTED_VALUE"""),"[SKL] Outros")</f>
        <v>[SKL] Outros</v>
      </c>
      <c r="AO4" s="12">
        <f>IFERROR(__xludf.DUMMYFUNCTION("""COMPUTED_VALUE"""),50.0)</f>
        <v>50</v>
      </c>
      <c r="AP4" s="13">
        <f>IFERROR(__xludf.DUMMYFUNCTION("""COMPUTED_VALUE"""),0.46)</f>
        <v>0.46</v>
      </c>
      <c r="AQ4" s="14">
        <f>IFERROR(__xludf.DUMMYFUNCTION("""COMPUTED_VALUE"""),3671.1304347826085)</f>
        <v>3671.130435</v>
      </c>
      <c r="AR4" s="9">
        <f t="shared" si="8"/>
        <v>84436</v>
      </c>
    </row>
    <row r="5">
      <c r="A5" s="4" t="str">
        <f>IFERROR(__xludf.DUMMYFUNCTION("""COMPUTED_VALUE"""),"[SKL] Site")</f>
        <v>[SKL] Site</v>
      </c>
      <c r="B5" s="10">
        <f>IFERROR(__xludf.DUMMYFUNCTION("""COMPUTED_VALUE"""),-5962.06022323798)</f>
        <v>-5962.060223</v>
      </c>
      <c r="C5" s="7">
        <f t="shared" si="1"/>
        <v>0.02999380834</v>
      </c>
      <c r="D5" s="7">
        <f t="shared" si="9"/>
        <v>0.9577641899</v>
      </c>
      <c r="E5" s="3">
        <f t="array" ref="E5">XLOOKUP(A5,'Dados Funil'!$A:$A,'Dados Funil'!$K:$K,"")</f>
        <v>-7.584886261</v>
      </c>
      <c r="F5" s="5">
        <f t="array" ref="F5">XLOOKUP(A5,'Dados Funil'!$A:$A,'Dados Funil'!$L:$L,"")</f>
        <v>-0.1003492449</v>
      </c>
      <c r="G5" s="4" t="str">
        <f>IFERROR(__xludf.DUMMYFUNCTION("""COMPUTED_VALUE"""),"[SKL] Site")</f>
        <v>[SKL] Site</v>
      </c>
      <c r="H5" s="10">
        <f>IFERROR(__xludf.DUMMYFUNCTION("""COMPUTED_VALUE"""),-13033.719194724052)</f>
        <v>-13033.71919</v>
      </c>
      <c r="I5" s="7">
        <f t="shared" si="2"/>
        <v>0.0791338757</v>
      </c>
      <c r="J5" s="7">
        <f t="shared" si="10"/>
        <v>1</v>
      </c>
      <c r="K5" s="6">
        <f t="array" ref="K5">XLOOKUP(G5,'Dados Funil'!A:A,'Dados Funil'!O:O,"")</f>
        <v>-5.216564238</v>
      </c>
      <c r="L5" s="4" t="str">
        <f>IFERROR(__xludf.DUMMYFUNCTION("""COMPUTED_VALUE"""),"[SKL] Social")</f>
        <v>[SKL] Social</v>
      </c>
      <c r="M5" s="10">
        <f>IFERROR(__xludf.DUMMYFUNCTION("""COMPUTED_VALUE"""),-21200.029702970296)</f>
        <v>-21200.0297</v>
      </c>
      <c r="N5" s="7">
        <f t="shared" si="3"/>
        <v>0.05850473346</v>
      </c>
      <c r="O5" s="7">
        <f t="shared" si="11"/>
        <v>0.8896591677</v>
      </c>
      <c r="P5" s="10">
        <f t="array" ref="P5">XLOOKUP(L5,'Dados Funil'!A:A,'Dados Funil'!AM:AM,"")</f>
        <v>-1413.335314</v>
      </c>
      <c r="Q5" s="5">
        <f t="array" ref="Q5">XLOOKUP(L5,'Dados Funil'!A:A,'Dados Funil'!AN:AN,"")</f>
        <v>-0.6997395425</v>
      </c>
      <c r="R5" s="4"/>
      <c r="S5" s="4"/>
      <c r="T5" s="7" t="str">
        <f t="shared" si="4"/>
        <v/>
      </c>
      <c r="U5" s="4" t="str">
        <f t="shared" si="12"/>
        <v/>
      </c>
      <c r="V5" s="4" t="str">
        <f t="array" ref="V5">XLOOKUP(R5,'Dados Funil'!$A:$A,'Dados Funil'!$K:$K,"")</f>
        <v/>
      </c>
      <c r="W5" s="4" t="str">
        <f t="array" ref="W5">XLOOKUP(R5,'Dados Funil'!$A:$A,'Dados Funil'!$L:$L,"")</f>
        <v/>
      </c>
      <c r="X5" s="4" t="str">
        <f>IFERROR(__xludf.DUMMYFUNCTION("""COMPUTED_VALUE"""),"[SKL] Chat")</f>
        <v>[SKL] Chat</v>
      </c>
      <c r="Y5" s="10">
        <f>IFERROR(__xludf.DUMMYFUNCTION("""COMPUTED_VALUE"""),2585.8559999999998)</f>
        <v>2585.856</v>
      </c>
      <c r="Z5" s="7">
        <f t="shared" si="5"/>
        <v>0.03835674087</v>
      </c>
      <c r="AA5" s="7">
        <f t="shared" si="13"/>
        <v>1</v>
      </c>
      <c r="AB5" s="6">
        <f t="array" ref="AB5">XLOOKUP(X5,'Dados Funil'!A:A,'Dados Funil'!O:O,"")</f>
        <v>14</v>
      </c>
      <c r="AC5" s="4"/>
      <c r="AD5" s="4"/>
      <c r="AE5" s="7" t="str">
        <f t="shared" si="6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IFERROR(__xludf.DUMMYFUNCTION("""COMPUTED_VALUE"""),"[SKL] CRM - WhatsApp")</f>
        <v>[SKL] CRM - WhatsApp</v>
      </c>
      <c r="AJ5" s="12">
        <f>IFERROR(__xludf.DUMMYFUNCTION("""COMPUTED_VALUE"""),189.67741935483863)</f>
        <v>189.6774194</v>
      </c>
      <c r="AK5" s="13">
        <f>IFERROR(__xludf.DUMMYFUNCTION("""COMPUTED_VALUE"""),0.2014285714285714)</f>
        <v>0.2014285714</v>
      </c>
      <c r="AL5" s="9">
        <f>IFERROR(__xludf.DUMMYFUNCTION("""COMPUTED_VALUE"""),2110.574468085106)</f>
        <v>2110.574468</v>
      </c>
      <c r="AM5" s="9">
        <f t="shared" si="7"/>
        <v>80637.56129</v>
      </c>
      <c r="AN5" s="9" t="str">
        <f>IFERROR(__xludf.DUMMYFUNCTION("""COMPUTED_VALUE"""),"[SKL] CRM - WhatsApp")</f>
        <v>[SKL] CRM - WhatsApp</v>
      </c>
      <c r="AO5" s="12">
        <f>IFERROR(__xludf.DUMMYFUNCTION("""COMPUTED_VALUE"""),180.0)</f>
        <v>180</v>
      </c>
      <c r="AP5" s="13">
        <f>IFERROR(__xludf.DUMMYFUNCTION("""COMPUTED_VALUE"""),0.14444444444444443)</f>
        <v>0.1444444444</v>
      </c>
      <c r="AQ5" s="14">
        <f>IFERROR(__xludf.DUMMYFUNCTION("""COMPUTED_VALUE"""),530.7692307692307)</f>
        <v>530.7692308</v>
      </c>
      <c r="AR5" s="9">
        <f t="shared" si="8"/>
        <v>13800</v>
      </c>
    </row>
    <row r="6">
      <c r="A6" s="4" t="str">
        <f>IFERROR(__xludf.DUMMYFUNCTION("""COMPUTED_VALUE"""),"[SKL] Chat")</f>
        <v>[SKL] Chat</v>
      </c>
      <c r="B6" s="10">
        <f>IFERROR(__xludf.DUMMYFUNCTION("""COMPUTED_VALUE"""),-4281.319556129027)</f>
        <v>-4281.319556</v>
      </c>
      <c r="C6" s="7">
        <f t="shared" si="1"/>
        <v>0.02153837322</v>
      </c>
      <c r="D6" s="7">
        <f t="shared" si="9"/>
        <v>0.9793025631</v>
      </c>
      <c r="E6" s="3">
        <f t="array" ref="E6">XLOOKUP(A6,'Dados Funil'!$A:$A,'Dados Funil'!$K:$K,"")</f>
        <v>-2.575483871</v>
      </c>
      <c r="F6" s="5">
        <f t="array" ref="F6">XLOOKUP(A6,'Dados Funil'!$A:$A,'Dados Funil'!$L:$L,"")</f>
        <v>-0.3916797488</v>
      </c>
      <c r="G6" s="4"/>
      <c r="H6" s="4"/>
      <c r="I6" s="7" t="str">
        <f t="shared" si="2"/>
        <v/>
      </c>
      <c r="J6" s="4" t="str">
        <f t="shared" si="10"/>
        <v/>
      </c>
      <c r="K6" s="4" t="str">
        <f t="array" ref="K6">XLOOKUP(G6,'Dados Funil'!A:A,'Dados Funil'!O:O,"")</f>
        <v/>
      </c>
      <c r="L6" s="4" t="str">
        <f>IFERROR(__xludf.DUMMYFUNCTION("""COMPUTED_VALUE"""),"[SKL] Outros")</f>
        <v>[SKL] Outros</v>
      </c>
      <c r="M6" s="10">
        <f>IFERROR(__xludf.DUMMYFUNCTION("""COMPUTED_VALUE"""),-13650.358381502889)</f>
        <v>-13650.35838</v>
      </c>
      <c r="N6" s="7">
        <f t="shared" si="3"/>
        <v>0.03767025754</v>
      </c>
      <c r="O6" s="7">
        <f t="shared" si="11"/>
        <v>0.9273294252</v>
      </c>
      <c r="P6" s="10">
        <f t="array" ref="P6">XLOOKUP(L6,'Dados Funil'!A:A,'Dados Funil'!AM:AM,"")</f>
        <v>-593.4938427</v>
      </c>
      <c r="Q6" s="5">
        <f t="array" ref="Q6">XLOOKUP(L6,'Dados Funil'!A:A,'Dados Funil'!AN:AN,"")</f>
        <v>-0.1391667364</v>
      </c>
      <c r="R6" s="4"/>
      <c r="S6" s="4"/>
      <c r="T6" s="7" t="str">
        <f t="shared" si="4"/>
        <v/>
      </c>
      <c r="U6" s="4" t="str">
        <f t="shared" si="12"/>
        <v/>
      </c>
      <c r="V6" s="4" t="str">
        <f t="array" ref="V6">XLOOKUP(R6,'Dados Funil'!$A:$A,'Dados Funil'!$K:$K,"")</f>
        <v/>
      </c>
      <c r="W6" s="4" t="str">
        <f t="array" ref="W6">XLOOKUP(R6,'Dados Funil'!$A:$A,'Dados Funil'!$L:$L,"")</f>
        <v/>
      </c>
      <c r="X6" s="4"/>
      <c r="Y6" s="4"/>
      <c r="Z6" s="7" t="str">
        <f t="shared" si="5"/>
        <v/>
      </c>
      <c r="AA6" s="4" t="str">
        <f t="shared" si="13"/>
        <v/>
      </c>
      <c r="AB6" s="4" t="str">
        <f t="array" ref="AB6">XLOOKUP(X6,'Dados Funil'!A:A,'Dados Funil'!O:O,"")</f>
        <v/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IFERROR(__xludf.DUMMYFUNCTION("""COMPUTED_VALUE"""),"[SKL] CRM - Email")</f>
        <v>[SKL] CRM - Email</v>
      </c>
      <c r="AJ6" s="12">
        <f>IFERROR(__xludf.DUMMYFUNCTION("""COMPUTED_VALUE"""),117.92516129032254)</f>
        <v>117.9251613</v>
      </c>
      <c r="AK6" s="13">
        <f>IFERROR(__xludf.DUMMYFUNCTION("""COMPUTED_VALUE"""),0.19140625)</f>
        <v>0.19140625</v>
      </c>
      <c r="AL6" s="9">
        <f>IFERROR(__xludf.DUMMYFUNCTION("""COMPUTED_VALUE"""),2694.5999999999995)</f>
        <v>2694.6</v>
      </c>
      <c r="AM6" s="9">
        <f t="shared" si="7"/>
        <v>60821.46813</v>
      </c>
      <c r="AN6" s="9" t="str">
        <f>IFERROR(__xludf.DUMMYFUNCTION("""COMPUTED_VALUE"""),"[SKL] CRM - Email")</f>
        <v>[SKL] CRM - Email</v>
      </c>
      <c r="AO6" s="12">
        <f>IFERROR(__xludf.DUMMYFUNCTION("""COMPUTED_VALUE"""),42.0)</f>
        <v>42</v>
      </c>
      <c r="AP6" s="13">
        <f>IFERROR(__xludf.DUMMYFUNCTION("""COMPUTED_VALUE"""),0.2857142857142857)</f>
        <v>0.2857142857</v>
      </c>
      <c r="AQ6" s="14">
        <f>IFERROR(__xludf.DUMMYFUNCTION("""COMPUTED_VALUE"""),1825.0)</f>
        <v>1825</v>
      </c>
      <c r="AR6" s="9">
        <f t="shared" si="8"/>
        <v>21900</v>
      </c>
    </row>
    <row r="7">
      <c r="A7" s="4" t="str">
        <f>IFERROR(__xludf.DUMMYFUNCTION("""COMPUTED_VALUE"""),"[SKL] CRM - WhatsApp")</f>
        <v>[SKL] CRM - WhatsApp</v>
      </c>
      <c r="B7" s="10">
        <f>IFERROR(__xludf.DUMMYFUNCTION("""COMPUTED_VALUE"""),-4114.161290322548)</f>
        <v>-4114.16129</v>
      </c>
      <c r="C7" s="7">
        <f t="shared" si="1"/>
        <v>0.02069743689</v>
      </c>
      <c r="D7" s="7">
        <f t="shared" si="9"/>
        <v>1</v>
      </c>
      <c r="E7" s="3">
        <f t="array" ref="E7">XLOOKUP(A7,'Dados Funil'!$A:$A,'Dados Funil'!$K:$K,"")</f>
        <v>-9.677419355</v>
      </c>
      <c r="F7" s="5">
        <f t="array" ref="F7">XLOOKUP(A7,'Dados Funil'!$A:$A,'Dados Funil'!$L:$L,"")</f>
        <v>-0.05102040816</v>
      </c>
      <c r="G7" s="4"/>
      <c r="H7" s="4"/>
      <c r="I7" s="7" t="str">
        <f t="shared" si="2"/>
        <v/>
      </c>
      <c r="J7" s="4" t="str">
        <f t="shared" si="10"/>
        <v/>
      </c>
      <c r="K7" s="4" t="str">
        <f t="array" ref="K7">XLOOKUP(G7,'Dados Funil'!A:A,'Dados Funil'!O:O,"")</f>
        <v/>
      </c>
      <c r="L7" s="4" t="str">
        <f>IFERROR(__xludf.DUMMYFUNCTION("""COMPUTED_VALUE"""),"[SKL] CRM - Email")</f>
        <v>[SKL] CRM - Email</v>
      </c>
      <c r="M7" s="10">
        <f>IFERROR(__xludf.DUMMYFUNCTION("""COMPUTED_VALUE"""),-10435.199999999993)</f>
        <v>-10435.2</v>
      </c>
      <c r="N7" s="7">
        <f t="shared" si="3"/>
        <v>0.02879753487</v>
      </c>
      <c r="O7" s="7">
        <f t="shared" si="11"/>
        <v>0.9561269601</v>
      </c>
      <c r="P7" s="10">
        <f t="array" ref="P7">XLOOKUP(L7,'Dados Funil'!A:A,'Dados Funil'!AM:AM,"")</f>
        <v>-869.6</v>
      </c>
      <c r="Q7" s="5">
        <f t="array" ref="Q7">XLOOKUP(L7,'Dados Funil'!A:A,'Dados Funil'!AN:AN,"")</f>
        <v>-0.3227195131</v>
      </c>
      <c r="R7" s="4"/>
      <c r="S7" s="4"/>
      <c r="T7" s="7" t="str">
        <f t="shared" si="4"/>
        <v/>
      </c>
      <c r="U7" s="4" t="str">
        <f t="shared" si="12"/>
        <v/>
      </c>
      <c r="V7" s="4" t="str">
        <f t="array" ref="V7">XLOOKUP(R7,'Dados Funil'!$A:$A,'Dados Funil'!$K:$K,"")</f>
        <v/>
      </c>
      <c r="W7" s="4" t="str">
        <f t="array" ref="W7">XLOOKUP(R7,'Dados Funil'!$A:$A,'Dados Funil'!$L:$L,"")</f>
        <v/>
      </c>
      <c r="X7" s="4"/>
      <c r="Y7" s="4"/>
      <c r="Z7" s="7" t="str">
        <f t="shared" si="5"/>
        <v/>
      </c>
      <c r="AA7" s="4" t="str">
        <f t="shared" si="13"/>
        <v/>
      </c>
      <c r="AB7" s="4" t="str">
        <f t="array" ref="AB7">XLOOKUP(X7,'Dados Funil'!A:A,'Dados Funil'!O:O,"")</f>
        <v/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IFERROR(__xludf.DUMMYFUNCTION("""COMPUTED_VALUE"""),"[SKL] Site")</f>
        <v>[SKL] Site</v>
      </c>
      <c r="AJ7" s="12">
        <f>IFERROR(__xludf.DUMMYFUNCTION("""COMPUTED_VALUE"""),75.58488626140596)</f>
        <v>75.58488626</v>
      </c>
      <c r="AK7" s="13">
        <f>IFERROR(__xludf.DUMMYFUNCTION("""COMPUTED_VALUE"""),0.21393034825870647)</f>
        <v>0.2139303483</v>
      </c>
      <c r="AL7" s="9">
        <f>IFERROR(__xludf.DUMMYFUNCTION("""COMPUTED_VALUE"""),3674.3023255813955)</f>
        <v>3674.302326</v>
      </c>
      <c r="AM7" s="9">
        <f t="shared" si="7"/>
        <v>59413.105</v>
      </c>
      <c r="AN7" s="9" t="str">
        <f>IFERROR(__xludf.DUMMYFUNCTION("""COMPUTED_VALUE"""),"[SKL] Site")</f>
        <v>[SKL] Site</v>
      </c>
      <c r="AO7" s="12">
        <f>IFERROR(__xludf.DUMMYFUNCTION("""COMPUTED_VALUE"""),68.0)</f>
        <v>68</v>
      </c>
      <c r="AP7" s="13">
        <f>IFERROR(__xludf.DUMMYFUNCTION("""COMPUTED_VALUE"""),0.16176470588235295)</f>
        <v>0.1617647059</v>
      </c>
      <c r="AQ7" s="14">
        <f>IFERROR(__xludf.DUMMYFUNCTION("""COMPUTED_VALUE"""),3068.590909090909)</f>
        <v>3068.590909</v>
      </c>
      <c r="AR7" s="9">
        <f t="shared" si="8"/>
        <v>33754.5</v>
      </c>
    </row>
    <row r="8">
      <c r="A8" s="4"/>
      <c r="B8" s="4"/>
      <c r="C8" s="7" t="str">
        <f t="shared" si="1"/>
        <v/>
      </c>
      <c r="D8" s="4" t="str">
        <f t="shared" si="9"/>
        <v/>
      </c>
      <c r="E8" s="4" t="str">
        <f t="array" ref="E8">XLOOKUP(A8,'Dados Funil'!$A:$A,'Dados Funil'!$K:$K,"")</f>
        <v/>
      </c>
      <c r="F8" s="4" t="str">
        <f t="array" ref="F8">XLOOKUP(A8,'Dados Funil'!$A:$A,'Dados Funil'!$L:$L,"")</f>
        <v/>
      </c>
      <c r="G8" s="4"/>
      <c r="H8" s="4"/>
      <c r="I8" s="7" t="str">
        <f t="shared" si="2"/>
        <v/>
      </c>
      <c r="J8" s="4" t="str">
        <f t="shared" si="10"/>
        <v/>
      </c>
      <c r="K8" s="4" t="str">
        <f t="array" ref="K8">XLOOKUP(G8,'Dados Funil'!A:A,'Dados Funil'!O:O,"")</f>
        <v/>
      </c>
      <c r="L8" s="4" t="str">
        <f>IFERROR(__xludf.DUMMYFUNCTION("""COMPUTED_VALUE"""),"[SKL] Chat")</f>
        <v>[SKL] Chat</v>
      </c>
      <c r="M8" s="10">
        <f>IFERROR(__xludf.DUMMYFUNCTION("""COMPUTED_VALUE"""),-9235.199999999999)</f>
        <v>-9235.2</v>
      </c>
      <c r="N8" s="7">
        <f t="shared" si="3"/>
        <v>0.02548595082</v>
      </c>
      <c r="O8" s="7">
        <f t="shared" si="11"/>
        <v>0.9816129109</v>
      </c>
      <c r="P8" s="10">
        <f t="array" ref="P8">XLOOKUP(L8,'Dados Funil'!A:A,'Dados Funil'!AM:AM,"")</f>
        <v>-4617.6</v>
      </c>
      <c r="Q8" s="5">
        <f t="array" ref="Q8">XLOOKUP(L8,'Dados Funil'!A:A,'Dados Funil'!AN:AN,"")</f>
        <v>-1</v>
      </c>
      <c r="R8" s="4"/>
      <c r="S8" s="4"/>
      <c r="T8" s="7" t="str">
        <f t="shared" si="4"/>
        <v/>
      </c>
      <c r="U8" s="4" t="str">
        <f t="shared" si="12"/>
        <v/>
      </c>
      <c r="V8" s="4" t="str">
        <f t="array" ref="V8">XLOOKUP(R8,'Dados Funil'!$A:$A,'Dados Funil'!$K:$K,"")</f>
        <v/>
      </c>
      <c r="W8" s="4" t="str">
        <f t="array" ref="W8">XLOOKUP(R8,'Dados Funil'!$A:$A,'Dados Funil'!$L:$L,"")</f>
        <v/>
      </c>
      <c r="X8" s="4"/>
      <c r="Y8" s="4"/>
      <c r="Z8" s="7" t="str">
        <f t="shared" si="5"/>
        <v/>
      </c>
      <c r="AA8" s="4" t="str">
        <f t="shared" si="13"/>
        <v/>
      </c>
      <c r="AB8" s="4" t="str">
        <f t="array" ref="AB8">XLOOKUP(X8,'Dados Funil'!A:A,'Dados Funil'!O:O,"")</f>
        <v/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IFERROR(__xludf.DUMMYFUNCTION("""COMPUTED_VALUE"""),"[SKL] Social")</f>
        <v>[SKL] Social</v>
      </c>
      <c r="AJ8" s="12">
        <f>IFERROR(__xludf.DUMMYFUNCTION("""COMPUTED_VALUE"""),136.73986815930095)</f>
        <v>136.7398682</v>
      </c>
      <c r="AK8" s="13">
        <f>IFERROR(__xludf.DUMMYFUNCTION("""COMPUTED_VALUE"""),0.16134185303514376)</f>
        <v>0.161341853</v>
      </c>
      <c r="AL8" s="9">
        <f>IFERROR(__xludf.DUMMYFUNCTION("""COMPUTED_VALUE"""),2019.8019801980197)</f>
        <v>2019.80198</v>
      </c>
      <c r="AM8" s="9">
        <f t="shared" si="7"/>
        <v>44560.59601</v>
      </c>
      <c r="AN8" s="9" t="str">
        <f>IFERROR(__xludf.DUMMYFUNCTION("""COMPUTED_VALUE"""),"[SKL] Social")</f>
        <v>[SKL] Social</v>
      </c>
      <c r="AO8" s="12">
        <f>IFERROR(__xludf.DUMMYFUNCTION("""COMPUTED_VALUE"""),56.0)</f>
        <v>56</v>
      </c>
      <c r="AP8" s="13">
        <f>IFERROR(__xludf.DUMMYFUNCTION("""COMPUTED_VALUE"""),0.26785714285714285)</f>
        <v>0.2678571429</v>
      </c>
      <c r="AQ8" s="14">
        <f>IFERROR(__xludf.DUMMYFUNCTION("""COMPUTED_VALUE"""),606.4666666666667)</f>
        <v>606.4666667</v>
      </c>
      <c r="AR8" s="9">
        <f t="shared" si="8"/>
        <v>9097</v>
      </c>
    </row>
    <row r="9">
      <c r="A9" s="4"/>
      <c r="B9" s="4"/>
      <c r="C9" s="7" t="str">
        <f t="shared" si="1"/>
        <v/>
      </c>
      <c r="D9" s="4" t="str">
        <f t="shared" si="9"/>
        <v/>
      </c>
      <c r="E9" s="4" t="str">
        <f t="array" ref="E9">XLOOKUP(A9,'Dados Funil'!$A:$A,'Dados Funil'!$K:$K,"")</f>
        <v/>
      </c>
      <c r="F9" s="4" t="str">
        <f t="array" ref="F9">XLOOKUP(A9,'Dados Funil'!$A:$A,'Dados Funil'!$L:$L,"")</f>
        <v/>
      </c>
      <c r="G9" s="4"/>
      <c r="H9" s="4"/>
      <c r="I9" s="7" t="str">
        <f t="shared" si="2"/>
        <v/>
      </c>
      <c r="J9" s="4" t="str">
        <f t="shared" si="10"/>
        <v/>
      </c>
      <c r="K9" s="4" t="str">
        <f t="array" ref="K9">XLOOKUP(G9,'Dados Funil'!A:A,'Dados Funil'!O:O,"")</f>
        <v/>
      </c>
      <c r="L9" s="4" t="str">
        <f>IFERROR(__xludf.DUMMYFUNCTION("""COMPUTED_VALUE"""),"[SKL] Site")</f>
        <v>[SKL] Site</v>
      </c>
      <c r="M9" s="10">
        <f>IFERROR(__xludf.DUMMYFUNCTION("""COMPUTED_VALUE"""),-6662.825581395351)</f>
        <v>-6662.825581</v>
      </c>
      <c r="N9" s="7">
        <f t="shared" si="3"/>
        <v>0.01838708908</v>
      </c>
      <c r="O9" s="7">
        <f t="shared" si="11"/>
        <v>1</v>
      </c>
      <c r="P9" s="10">
        <f t="array" ref="P9">XLOOKUP(L9,'Dados Funil'!A:A,'Dados Funil'!AM:AM,"")</f>
        <v>-605.7114165</v>
      </c>
      <c r="Q9" s="5">
        <f t="array" ref="Q9">XLOOKUP(L9,'Dados Funil'!A:A,'Dados Funil'!AN:AN,"")</f>
        <v>-0.1648507289</v>
      </c>
      <c r="R9" s="4"/>
      <c r="S9" s="4"/>
      <c r="T9" s="7" t="str">
        <f t="shared" si="4"/>
        <v/>
      </c>
      <c r="U9" s="4" t="str">
        <f t="shared" si="12"/>
        <v/>
      </c>
      <c r="V9" s="4" t="str">
        <f t="array" ref="V9">XLOOKUP(R9,'Dados Funil'!$A:$A,'Dados Funil'!$K:$K,"")</f>
        <v/>
      </c>
      <c r="W9" s="4" t="str">
        <f t="array" ref="W9">XLOOKUP(R9,'Dados Funil'!$A:$A,'Dados Funil'!$L:$L,"")</f>
        <v/>
      </c>
      <c r="X9" s="4"/>
      <c r="Y9" s="4"/>
      <c r="Z9" s="7" t="str">
        <f t="shared" si="5"/>
        <v/>
      </c>
      <c r="AA9" s="4" t="str">
        <f t="shared" si="13"/>
        <v/>
      </c>
      <c r="AB9" s="4" t="str">
        <f t="array" ref="AB9">XLOOKUP(X9,'Dados Funil'!A:A,'Dados Funil'!O:O,"")</f>
        <v/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IFERROR(__xludf.DUMMYFUNCTION("""COMPUTED_VALUE"""),"[SKL] Chat")</f>
        <v>[SKL] Chat</v>
      </c>
      <c r="AJ9" s="12">
        <f>IFERROR(__xludf.DUMMYFUNCTION("""COMPUTED_VALUE"""),6.575483870967739)</f>
        <v>6.575483871</v>
      </c>
      <c r="AK9" s="13">
        <f>IFERROR(__xludf.DUMMYFUNCTION("""COMPUTED_VALUE"""),0.36)</f>
        <v>0.36</v>
      </c>
      <c r="AL9" s="9">
        <f>IFERROR(__xludf.DUMMYFUNCTION("""COMPUTED_VALUE"""),4617.599999999999)</f>
        <v>4617.6</v>
      </c>
      <c r="AM9" s="9">
        <f t="shared" si="7"/>
        <v>10930.66356</v>
      </c>
      <c r="AN9" s="9" t="str">
        <f>IFERROR(__xludf.DUMMYFUNCTION("""COMPUTED_VALUE"""),"[SKL] Chat")</f>
        <v>[SKL] Chat</v>
      </c>
      <c r="AO9" s="12">
        <f>IFERROR(__xludf.DUMMYFUNCTION("""COMPUTED_VALUE"""),4.0)</f>
        <v>4</v>
      </c>
      <c r="AP9" s="13">
        <f>IFERROR(__xludf.DUMMYFUNCTION("""COMPUTED_VALUE"""),0.5)</f>
        <v>0.5</v>
      </c>
      <c r="AQ9" s="14">
        <f>IFERROR(__xludf.DUMMYFUNCTION("""COMPUTED_VALUE"""),0.0)</f>
        <v>0</v>
      </c>
      <c r="AR9" s="9">
        <f t="shared" si="8"/>
        <v>0</v>
      </c>
    </row>
    <row r="10">
      <c r="A10" s="4"/>
      <c r="B10" s="4"/>
      <c r="C10" s="7" t="str">
        <f t="shared" si="1"/>
        <v/>
      </c>
      <c r="D10" s="4" t="str">
        <f t="shared" si="9"/>
        <v/>
      </c>
      <c r="E10" s="4" t="str">
        <f t="array" ref="E10">XLOOKUP(A10,'Dados Funil'!$A:$A,'Dados Funil'!$K:$K,"")</f>
        <v/>
      </c>
      <c r="F10" s="4" t="str">
        <f t="array" ref="F10">XLOOKUP(A10,'Dados Funil'!$A:$A,'Dados Funil'!$L:$L,"")</f>
        <v/>
      </c>
      <c r="G10" s="4"/>
      <c r="H10" s="4"/>
      <c r="I10" s="7" t="str">
        <f t="shared" si="2"/>
        <v/>
      </c>
      <c r="J10" s="4" t="str">
        <f t="shared" si="10"/>
        <v/>
      </c>
      <c r="K10" s="4" t="str">
        <f t="array" ref="K10">XLOOKUP(G10,'Dados Funil'!A:A,'Dados Funil'!O:O,"")</f>
        <v/>
      </c>
      <c r="L10" s="4"/>
      <c r="M10" s="4"/>
      <c r="N10" s="7" t="str">
        <f t="shared" si="3"/>
        <v/>
      </c>
      <c r="O10" s="4" t="str">
        <f t="shared" si="11"/>
        <v/>
      </c>
      <c r="P10" s="4" t="str">
        <f t="array" ref="P10">XLOOKUP(L10,'Dados Funil'!A:A,'Dados Funil'!AM:AM,"")</f>
        <v/>
      </c>
      <c r="Q10" s="4" t="str">
        <f t="array" ref="Q10">XLOOKUP(L10,'Dados Funil'!A:A,'Dados Funil'!AN:AN,"")</f>
        <v/>
      </c>
      <c r="R10" s="4"/>
      <c r="S10" s="4"/>
      <c r="T10" s="7" t="str">
        <f t="shared" si="4"/>
        <v/>
      </c>
      <c r="U10" s="4" t="str">
        <f t="shared" si="12"/>
        <v/>
      </c>
      <c r="V10" s="4" t="str">
        <f t="array" ref="V10">XLOOKUP(R10,'Dados Funil'!$A:$A,'Dados Funil'!$K:$K,"")</f>
        <v/>
      </c>
      <c r="W10" s="4" t="str">
        <f t="array" ref="W10">XLOOKUP(R10,'Dados Funil'!$A:$A,'Dados Funil'!$L:$L,"")</f>
        <v/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M10" s="9">
        <f t="shared" si="7"/>
        <v>0</v>
      </c>
      <c r="AR10" s="9">
        <f t="shared" si="8"/>
        <v>0</v>
      </c>
    </row>
    <row r="11">
      <c r="A11" s="4"/>
      <c r="B11" s="4"/>
      <c r="C11" s="7" t="str">
        <f t="shared" si="1"/>
        <v/>
      </c>
      <c r="D11" s="4" t="str">
        <f t="shared" si="9"/>
        <v/>
      </c>
      <c r="E11" s="4" t="str">
        <f t="array" ref="E11">XLOOKUP(A11,'Dados Funil'!$A:$A,'Dados Funil'!$K:$K,"")</f>
        <v/>
      </c>
      <c r="F11" s="4" t="str">
        <f t="array" ref="F11">XLOOKUP(A11,'Dados Funil'!$A:$A,'Dados Funil'!$L:$L,"")</f>
        <v/>
      </c>
      <c r="G11" s="4"/>
      <c r="H11" s="4"/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/>
      <c r="M11" s="4"/>
      <c r="N11" s="7" t="str">
        <f t="shared" si="3"/>
        <v/>
      </c>
      <c r="O11" s="4" t="str">
        <f t="shared" si="11"/>
        <v/>
      </c>
      <c r="P11" s="4" t="str">
        <f t="array" ref="P11">XLOOKUP(L11,'Dados Funil'!A:A,'Dados Funil'!AM:AM,"")</f>
        <v/>
      </c>
      <c r="Q11" s="4" t="str">
        <f t="array" ref="Q11">XLOOKUP(L11,'Dados Funil'!A:A,'Dados Funil'!AN:AN,"")</f>
        <v/>
      </c>
      <c r="R11" s="4"/>
      <c r="S11" s="4"/>
      <c r="T11" s="7" t="str">
        <f t="shared" si="4"/>
        <v/>
      </c>
      <c r="U11" s="4" t="str">
        <f t="shared" si="12"/>
        <v/>
      </c>
      <c r="V11" s="4" t="str">
        <f t="array" ref="V11">XLOOKUP(R11,'Dados Funil'!$A:$A,'Dados Funil'!$K:$K,"")</f>
        <v/>
      </c>
      <c r="W11" s="4" t="str">
        <f t="array" ref="W11">XLOOKUP(R11,'Dados Funil'!$A:$A,'Dados Funil'!$L:$L,"")</f>
        <v/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M11" s="9">
        <f t="shared" si="7"/>
        <v>0</v>
      </c>
      <c r="AR11" s="9">
        <f t="shared" si="8"/>
        <v>0</v>
      </c>
    </row>
    <row r="12">
      <c r="A12" s="4"/>
      <c r="B12" s="4"/>
      <c r="C12" s="7" t="str">
        <f t="shared" si="1"/>
        <v/>
      </c>
      <c r="D12" s="4" t="str">
        <f t="shared" si="9"/>
        <v/>
      </c>
      <c r="E12" s="4" t="str">
        <f t="array" ref="E12">XLOOKUP(A12,'Dados Funil'!$A:$A,'Dados Funil'!$K:$K,"")</f>
        <v/>
      </c>
      <c r="F12" s="4" t="str">
        <f t="array" ref="F12">XLOOKUP(A12,'Dados Funil'!$A:$A,'Dados Funil'!$L:$L,"")</f>
        <v/>
      </c>
      <c r="G12" s="4"/>
      <c r="H12" s="4"/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/>
      <c r="M12" s="4"/>
      <c r="N12" s="7" t="str">
        <f t="shared" si="3"/>
        <v/>
      </c>
      <c r="O12" s="4" t="str">
        <f t="shared" si="11"/>
        <v/>
      </c>
      <c r="P12" s="4" t="str">
        <f t="array" ref="P12">XLOOKUP(L12,'Dados Funil'!A:A,'Dados Funil'!AM:AM,"")</f>
        <v/>
      </c>
      <c r="Q12" s="4" t="str">
        <f t="array" ref="Q12">XLOOKUP(L12,'Dados Funil'!A:A,'Dados Funil'!AN:AN,"")</f>
        <v/>
      </c>
      <c r="R12" s="4"/>
      <c r="S12" s="4"/>
      <c r="T12" s="7" t="str">
        <f t="shared" si="4"/>
        <v/>
      </c>
      <c r="U12" s="4" t="str">
        <f t="shared" si="12"/>
        <v/>
      </c>
      <c r="V12" s="4" t="str">
        <f t="array" ref="V12">XLOOKUP(R12,'Dados Funil'!$A:$A,'Dados Funil'!$K:$K,"")</f>
        <v/>
      </c>
      <c r="W12" s="4" t="str">
        <f t="array" ref="W12">XLOOKUP(R12,'Dados Funil'!$A:$A,'Dados Funil'!$L:$L,"")</f>
        <v/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M12" s="9">
        <f t="shared" si="7"/>
        <v>0</v>
      </c>
      <c r="AR12" s="9">
        <f t="shared" si="8"/>
        <v>0</v>
      </c>
    </row>
    <row r="13">
      <c r="A13" s="4"/>
      <c r="B13" s="4"/>
      <c r="C13" s="7" t="str">
        <f t="shared" si="1"/>
        <v/>
      </c>
      <c r="D13" s="4" t="str">
        <f t="shared" si="9"/>
        <v/>
      </c>
      <c r="E13" s="4" t="str">
        <f t="array" ref="E13">XLOOKUP(A13,'Dados Funil'!$A:$A,'Dados Funil'!$K:$K,"")</f>
        <v/>
      </c>
      <c r="F13" s="4" t="str">
        <f t="array" ref="F13">XLOOKUP(A13,'Dados Funil'!$A:$A,'Dados Funil'!$L:$L,"")</f>
        <v/>
      </c>
      <c r="G13" s="4"/>
      <c r="H13" s="4"/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/>
      <c r="M13" s="4"/>
      <c r="N13" s="7" t="str">
        <f t="shared" si="3"/>
        <v/>
      </c>
      <c r="O13" s="4" t="str">
        <f t="shared" si="11"/>
        <v/>
      </c>
      <c r="P13" s="4" t="str">
        <f t="array" ref="P13">XLOOKUP(L13,'Dados Funil'!A:A,'Dados Funil'!AM:AM,"")</f>
        <v/>
      </c>
      <c r="Q13" s="4" t="str">
        <f t="array" ref="Q13">XLOOKUP(L13,'Dados Funil'!A:A,'Dados Funil'!AN:AN,"")</f>
        <v/>
      </c>
      <c r="R13" s="4"/>
      <c r="S13" s="4"/>
      <c r="T13" s="7" t="str">
        <f t="shared" si="4"/>
        <v/>
      </c>
      <c r="U13" s="4" t="str">
        <f t="shared" si="12"/>
        <v/>
      </c>
      <c r="V13" s="4" t="str">
        <f t="array" ref="V13">XLOOKUP(R13,'Dados Funil'!$A:$A,'Dados Funil'!$K:$K,"")</f>
        <v/>
      </c>
      <c r="W13" s="4" t="str">
        <f t="array" ref="W13">XLOOKUP(R13,'Dados Funil'!$A:$A,'Dados Funil'!$L:$L,"")</f>
        <v/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M13" s="9">
        <f t="shared" si="7"/>
        <v>0</v>
      </c>
      <c r="AR13" s="9">
        <f t="shared" si="8"/>
        <v>0</v>
      </c>
    </row>
    <row r="14">
      <c r="A14" s="4"/>
      <c r="B14" s="4"/>
      <c r="C14" s="7" t="str">
        <f t="shared" si="1"/>
        <v/>
      </c>
      <c r="D14" s="4" t="str">
        <f t="shared" si="9"/>
        <v/>
      </c>
      <c r="E14" s="4" t="str">
        <f t="array" ref="E14">XLOOKUP(A14,'Dados Funil'!$A:$A,'Dados Funil'!$K:$K,"")</f>
        <v/>
      </c>
      <c r="F14" s="4" t="str">
        <f t="array" ref="F14">XLOOKUP(A14,'Dados Funil'!$A:$A,'Dados Funil'!$L:$L,"")</f>
        <v/>
      </c>
      <c r="G14" s="4"/>
      <c r="H14" s="4"/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/>
      <c r="M14" s="4"/>
      <c r="N14" s="7" t="str">
        <f t="shared" si="3"/>
        <v/>
      </c>
      <c r="O14" s="4" t="str">
        <f t="shared" si="11"/>
        <v/>
      </c>
      <c r="P14" s="4" t="str">
        <f t="array" ref="P14">XLOOKUP(L14,'Dados Funil'!A:A,'Dados Funil'!AM:AM,"")</f>
        <v/>
      </c>
      <c r="Q14" s="4" t="str">
        <f t="array" ref="Q14">XLOOKUP(L14,'Dados Funil'!A:A,'Dados Funil'!AN:AN,"")</f>
        <v/>
      </c>
      <c r="R14" s="4"/>
      <c r="S14" s="4"/>
      <c r="T14" s="7" t="str">
        <f t="shared" si="4"/>
        <v/>
      </c>
      <c r="U14" s="4" t="str">
        <f t="shared" si="12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M14" s="9">
        <f t="shared" si="7"/>
        <v>0</v>
      </c>
      <c r="AR14" s="9">
        <f t="shared" si="8"/>
        <v>0</v>
      </c>
    </row>
    <row r="15">
      <c r="A15" s="4"/>
      <c r="B15" s="4"/>
      <c r="C15" s="7" t="str">
        <f t="shared" si="1"/>
        <v/>
      </c>
      <c r="D15" s="4" t="str">
        <f t="shared" si="9"/>
        <v/>
      </c>
      <c r="E15" s="4" t="str">
        <f t="array" ref="E15">XLOOKUP(A15,'Dados Funil'!$A:$A,'Dados Funil'!$K:$K,"")</f>
        <v/>
      </c>
      <c r="F15" s="4" t="str">
        <f t="array" ref="F15">XLOOKUP(A15,'Dados Funil'!$A:$A,'Dados Funil'!$L:$L,"")</f>
        <v/>
      </c>
      <c r="G15" s="4"/>
      <c r="H15" s="4"/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2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M15" s="9">
        <f t="shared" si="7"/>
        <v>0</v>
      </c>
      <c r="AR15" s="9">
        <f t="shared" si="8"/>
        <v>0</v>
      </c>
    </row>
    <row r="16">
      <c r="A16" s="4"/>
      <c r="B16" s="4"/>
      <c r="C16" s="7" t="str">
        <f t="shared" si="1"/>
        <v/>
      </c>
      <c r="D16" s="4" t="str">
        <f t="shared" si="9"/>
        <v/>
      </c>
      <c r="E16" s="4" t="str">
        <f t="array" ref="E16">XLOOKUP(A16,'Dados Funil'!$A:$A,'Dados Funil'!$K:$K,"")</f>
        <v/>
      </c>
      <c r="F16" s="4" t="str">
        <f t="array" ref="F16">XLOOKUP(A16,'Dados Funil'!$A:$A,'Dados Funil'!$L:$L,"")</f>
        <v/>
      </c>
      <c r="G16" s="4"/>
      <c r="H16" s="4"/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2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M16" s="9">
        <f t="shared" si="7"/>
        <v>0</v>
      </c>
      <c r="AR16" s="9">
        <f t="shared" si="8"/>
        <v>0</v>
      </c>
    </row>
    <row r="17">
      <c r="A17" s="4"/>
      <c r="B17" s="4"/>
      <c r="C17" s="7" t="str">
        <f t="shared" si="1"/>
        <v/>
      </c>
      <c r="D17" s="4" t="str">
        <f t="shared" si="9"/>
        <v/>
      </c>
      <c r="E17" s="4" t="str">
        <f t="array" ref="E17">XLOOKUP(A17,'Dados Funil'!$A:$A,'Dados Funil'!$K:$K,"")</f>
        <v/>
      </c>
      <c r="F17" s="4" t="str">
        <f t="array" ref="F17">XLOOKUP(A17,'Dados Funil'!$A:$A,'Dados Funil'!$L:$L,"")</f>
        <v/>
      </c>
      <c r="G17" s="4"/>
      <c r="H17" s="4"/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2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M17" s="9">
        <f t="shared" si="7"/>
        <v>0</v>
      </c>
      <c r="AR17" s="9">
        <f t="shared" si="8"/>
        <v>0</v>
      </c>
    </row>
    <row r="18">
      <c r="A18" s="4"/>
      <c r="B18" s="4"/>
      <c r="C18" s="7" t="str">
        <f t="shared" si="1"/>
        <v/>
      </c>
      <c r="D18" s="4" t="str">
        <f t="shared" si="9"/>
        <v/>
      </c>
      <c r="E18" s="4" t="str">
        <f t="array" ref="E18">XLOOKUP(A18,'Dados Funil'!$A:$A,'Dados Funil'!$K:$K,"")</f>
        <v/>
      </c>
      <c r="F18" s="4" t="str">
        <f t="array" ref="F18">XLOOKUP(A18,'Dados Funil'!$A:$A,'Dados Funil'!$L:$L,"")</f>
        <v/>
      </c>
      <c r="G18" s="4"/>
      <c r="H18" s="4"/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2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M18" s="9">
        <f t="shared" si="7"/>
        <v>0</v>
      </c>
      <c r="AR18" s="9">
        <f t="shared" si="8"/>
        <v>0</v>
      </c>
    </row>
    <row r="19">
      <c r="A19" s="4"/>
      <c r="B19" s="4"/>
      <c r="C19" s="7" t="str">
        <f t="shared" si="1"/>
        <v/>
      </c>
      <c r="D19" s="4" t="str">
        <f t="shared" si="9"/>
        <v/>
      </c>
      <c r="E19" s="4" t="str">
        <f t="array" ref="E19">XLOOKUP(A19,'Dados Funil'!$A:$A,'Dados Funil'!$K:$K,"")</f>
        <v/>
      </c>
      <c r="F19" s="4" t="str">
        <f t="array" ref="F19">XLOOKUP(A19,'Dados Funil'!$A:$A,'Dados Funil'!$L:$L,"")</f>
        <v/>
      </c>
      <c r="G19" s="4"/>
      <c r="H19" s="4"/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2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M19" s="9">
        <f t="shared" si="7"/>
        <v>0</v>
      </c>
      <c r="AR19" s="9">
        <f t="shared" si="8"/>
        <v>0</v>
      </c>
    </row>
    <row r="20">
      <c r="A20" s="4"/>
      <c r="B20" s="4"/>
      <c r="C20" s="7" t="str">
        <f t="shared" si="1"/>
        <v/>
      </c>
      <c r="D20" s="4" t="str">
        <f t="shared" si="9"/>
        <v/>
      </c>
      <c r="E20" s="4" t="str">
        <f t="array" ref="E20">XLOOKUP(A20,'Dados Funil'!$A:$A,'Dados Funil'!$K:$K,"")</f>
        <v/>
      </c>
      <c r="F20" s="4" t="str">
        <f t="array" ref="F20">XLOOKUP(A20,'Dados Funil'!$A:$A,'Dados Funil'!$L:$L,"")</f>
        <v/>
      </c>
      <c r="G20" s="4"/>
      <c r="H20" s="4"/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2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M20" s="9">
        <f t="shared" si="7"/>
        <v>0</v>
      </c>
      <c r="AR20" s="9">
        <f t="shared" si="8"/>
        <v>0</v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2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M21" s="9">
        <f t="shared" si="7"/>
        <v>0</v>
      </c>
      <c r="AR21" s="9">
        <f t="shared" si="8"/>
        <v>0</v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2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M22" s="9">
        <f t="shared" si="7"/>
        <v>0</v>
      </c>
      <c r="AR22" s="9">
        <f t="shared" si="8"/>
        <v>0</v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2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M23" s="9">
        <f t="shared" si="7"/>
        <v>0</v>
      </c>
      <c r="AR23" s="9">
        <f t="shared" si="8"/>
        <v>0</v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2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M24" s="9">
        <f t="shared" si="7"/>
        <v>0</v>
      </c>
      <c r="AR24" s="9">
        <f t="shared" si="8"/>
        <v>0</v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2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M25" s="9">
        <f t="shared" si="7"/>
        <v>0</v>
      </c>
      <c r="AR25" s="9">
        <f t="shared" si="8"/>
        <v>0</v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2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M26" s="9">
        <f t="shared" si="7"/>
        <v>0</v>
      </c>
      <c r="AR26" s="9">
        <f t="shared" si="8"/>
        <v>0</v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2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M27" s="9">
        <f t="shared" si="7"/>
        <v>0</v>
      </c>
      <c r="AR27" s="9">
        <f t="shared" si="8"/>
        <v>0</v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2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M28" s="9">
        <f t="shared" si="7"/>
        <v>0</v>
      </c>
      <c r="AR28" s="9">
        <f t="shared" si="8"/>
        <v>0</v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2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M29" s="9">
        <f t="shared" si="7"/>
        <v>0</v>
      </c>
      <c r="AR29" s="9">
        <f t="shared" si="8"/>
        <v>0</v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2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M30" s="9">
        <f t="shared" si="7"/>
        <v>0</v>
      </c>
      <c r="AR30" s="9">
        <f t="shared" si="8"/>
        <v>0</v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2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M31" s="9">
        <f t="shared" si="7"/>
        <v>0</v>
      </c>
      <c r="AR31" s="9">
        <f t="shared" si="8"/>
        <v>0</v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2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M32" s="9">
        <f t="shared" si="7"/>
        <v>0</v>
      </c>
      <c r="AR32" s="9">
        <f t="shared" si="8"/>
        <v>0</v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2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M33" s="9">
        <f t="shared" si="7"/>
        <v>0</v>
      </c>
      <c r="AR33" s="9">
        <f t="shared" si="8"/>
        <v>0</v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2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M34" s="9">
        <f t="shared" si="7"/>
        <v>0</v>
      </c>
      <c r="AR34" s="9">
        <f t="shared" si="8"/>
        <v>0</v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2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M35" s="9">
        <f t="shared" si="7"/>
        <v>0</v>
      </c>
      <c r="AR35" s="9">
        <f t="shared" si="8"/>
        <v>0</v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2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2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2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2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2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2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2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2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2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2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2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2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2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2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2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2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2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2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2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2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2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2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2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2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2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2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2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2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2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2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2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2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2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2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2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2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2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2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2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2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2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2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2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2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2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2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2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2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2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2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2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2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2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2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2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2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2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2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2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2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2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2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2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2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2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2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2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2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2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2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2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2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2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2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2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2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2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2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2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2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2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2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2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2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2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2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2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2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2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2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2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2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2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2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2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2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2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2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2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2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2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2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2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2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2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2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2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2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2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2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2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2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2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2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2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2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2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2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2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2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2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2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2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2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2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2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2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2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2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2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2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2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2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2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2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2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2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2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2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2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2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2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2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2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2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2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2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2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2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2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2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2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2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2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2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2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2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2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2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2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2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2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2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2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2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2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2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2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2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2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2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2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2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2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2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2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2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2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2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2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2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2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2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2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2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2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2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2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2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2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2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2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2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2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2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2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2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2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2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2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2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2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2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2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2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2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2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2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2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2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2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2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2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2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2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2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2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2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2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2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2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2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2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2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2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2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2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2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2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2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2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2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2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2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2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2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2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2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2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2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2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2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2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2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2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2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2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2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2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2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2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2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2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2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2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2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2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2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2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2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2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2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2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2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2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2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2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2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2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2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2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2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2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2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2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2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2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2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2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2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2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2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2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2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2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2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2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2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2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2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2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2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2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2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2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2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2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2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2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2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2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2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2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2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2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2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2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2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2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2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2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2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2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2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2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2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2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2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2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2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2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2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2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2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2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2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2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2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2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2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2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2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2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2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2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2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2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2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2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2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2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2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2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2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2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2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2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2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2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2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2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2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2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2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2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2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2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2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2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2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2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2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2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2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2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2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2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2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2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2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2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2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2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2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2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2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2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2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2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2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2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2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2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2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2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2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2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2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2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2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2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2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2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2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2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2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2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2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2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2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2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2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2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2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2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2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2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2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2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2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2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2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2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2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2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2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2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2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2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2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2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2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2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2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2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2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2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2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2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2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2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2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2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2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2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2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2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2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2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2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2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2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2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2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2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2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2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2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2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2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2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2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2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2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2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2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2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2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2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2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2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2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2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2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2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2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2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2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2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2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2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2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2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2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2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2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2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2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2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2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2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2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2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2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2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2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2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2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2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2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2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2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2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2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2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2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2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2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2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2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2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2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2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2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2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2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2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2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2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2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2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2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2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2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2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2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2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2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2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2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2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2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2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2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2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2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2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2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2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2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2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2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2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2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2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2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2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2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2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2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2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2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2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2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2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2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2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2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2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2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2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2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2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2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2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2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2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2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2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2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2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2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2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2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2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2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2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2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2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2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2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2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2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2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2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2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2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2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2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2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2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2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2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2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2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2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2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2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2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2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2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2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2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2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2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2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2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2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2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2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2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2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2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2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2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2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2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2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2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2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2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2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2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2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2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2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2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2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2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2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2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2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2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2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2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2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2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2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2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2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2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2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2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2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2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2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2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2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2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2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2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2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2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2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2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2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2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2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2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2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2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2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2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2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2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2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2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2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2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2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2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2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2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2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2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2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2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2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2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2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2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2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2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2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2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2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2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2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2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2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2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2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2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2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2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2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2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2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2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2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2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2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2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2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2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2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2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2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2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2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2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2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2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2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2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2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2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2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2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2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2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2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2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2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2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2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2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2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2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2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2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2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2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2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2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2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2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2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2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2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2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2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2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2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2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2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2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2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2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2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2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2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2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2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2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2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2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2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2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2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2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2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2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2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2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2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2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2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2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2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2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2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2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2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2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2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2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2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2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2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2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2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2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2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2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2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2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2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2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2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2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2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2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2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2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2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2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2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2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2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2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2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2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2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2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2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2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2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2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2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2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2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2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2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2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2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2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2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2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2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2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2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2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2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2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2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2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2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2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2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2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2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2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2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2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2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2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2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2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2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2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2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2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2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2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2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2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2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2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2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2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2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2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2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2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2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2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2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2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2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2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2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2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2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2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2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2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2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2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2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2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2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2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2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2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2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2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2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2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2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2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2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2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2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2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2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2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2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2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2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2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2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2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2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2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2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2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2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2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2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2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2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2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2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2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2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2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2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2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2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2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2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2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2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2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2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2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2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2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2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2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2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2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2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2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2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2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2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2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2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2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2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2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2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2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2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2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2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2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2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2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2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2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2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2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2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2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2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2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2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2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2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2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2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2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2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2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2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2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2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2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2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2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2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2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2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2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2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2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2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2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2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2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2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2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98</v>
      </c>
      <c r="B1" s="15" t="s">
        <v>99</v>
      </c>
      <c r="C1" s="15" t="s">
        <v>100</v>
      </c>
      <c r="D1" s="15" t="s">
        <v>101</v>
      </c>
      <c r="E1" s="16" t="s">
        <v>102</v>
      </c>
      <c r="F1" s="15" t="s">
        <v>103</v>
      </c>
      <c r="G1" s="15" t="s">
        <v>104</v>
      </c>
      <c r="H1" s="17" t="s">
        <v>105</v>
      </c>
      <c r="I1" s="15" t="s">
        <v>87</v>
      </c>
      <c r="J1" s="15" t="s">
        <v>92</v>
      </c>
      <c r="K1" s="15" t="s">
        <v>56</v>
      </c>
      <c r="L1" s="15" t="s">
        <v>57</v>
      </c>
      <c r="M1" s="16" t="s">
        <v>106</v>
      </c>
      <c r="N1" s="15" t="s">
        <v>107</v>
      </c>
      <c r="O1" s="15" t="s">
        <v>108</v>
      </c>
      <c r="P1" s="15" t="s">
        <v>109</v>
      </c>
      <c r="Q1" s="15" t="s">
        <v>110</v>
      </c>
      <c r="R1" s="15" t="s">
        <v>111</v>
      </c>
      <c r="S1" s="15" t="s">
        <v>112</v>
      </c>
      <c r="T1" s="15" t="s">
        <v>113</v>
      </c>
      <c r="U1" s="15" t="s">
        <v>114</v>
      </c>
      <c r="V1" s="15" t="s">
        <v>115</v>
      </c>
      <c r="W1" s="15" t="s">
        <v>116</v>
      </c>
      <c r="X1" s="15" t="s">
        <v>117</v>
      </c>
      <c r="Y1" s="15" t="s">
        <v>118</v>
      </c>
      <c r="Z1" s="15" t="s">
        <v>119</v>
      </c>
      <c r="AA1" s="15" t="s">
        <v>120</v>
      </c>
      <c r="AB1" s="15" t="s">
        <v>121</v>
      </c>
      <c r="AC1" s="15" t="s">
        <v>122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128</v>
      </c>
      <c r="AJ1" s="15" t="s">
        <v>129</v>
      </c>
      <c r="AK1" s="15" t="s">
        <v>89</v>
      </c>
      <c r="AL1" s="15" t="s">
        <v>94</v>
      </c>
      <c r="AM1" s="15" t="s">
        <v>67</v>
      </c>
      <c r="AN1" s="15" t="s">
        <v>68</v>
      </c>
      <c r="AO1" s="15" t="s">
        <v>130</v>
      </c>
      <c r="AP1" s="15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"),"[IM] Form Facebook Ads")</f>
        <v>[IM] Form Facebook Ads</v>
      </c>
      <c r="B2" s="18">
        <f>IFERROR(__xludf.DUMMYFUNCTION("""COMPUTED_VALUE"""),215.6451612903225)</f>
        <v>215.6451613</v>
      </c>
      <c r="C2" s="19">
        <f>IFERROR(__xludf.DUMMYFUNCTION("""COMPUTED_VALUE"""),307.0)</f>
        <v>307</v>
      </c>
      <c r="D2" s="20">
        <f>IFERROR(__xludf.DUMMYFUNCTION("""COMPUTED_VALUE"""),91.3548387096775)</f>
        <v>91.35483871</v>
      </c>
      <c r="E2" s="21">
        <f>IFERROR(__xludf.DUMMYFUNCTION("""COMPUTED_VALUE"""),0.4236350037397163)</f>
        <v>0.4236350037</v>
      </c>
      <c r="F2" s="22">
        <f>IFERROR(__xludf.DUMMYFUNCTION("""COMPUTED_VALUE"""),0.8)</f>
        <v>0.8</v>
      </c>
      <c r="G2" s="22">
        <f>IFERROR(__xludf.DUMMYFUNCTION("""COMPUTED_VALUE"""),0.755700325732899)</f>
        <v>0.7557003257</v>
      </c>
      <c r="H2" s="23">
        <f>IFERROR(__xludf.DUMMYFUNCTION("""COMPUTED_VALUE"""),-4.4299674267101015)</f>
        <v>-4.429967427</v>
      </c>
      <c r="I2" s="18">
        <f>IFERROR(__xludf.DUMMYFUNCTION("""COMPUTED_VALUE"""),172.516129032258)</f>
        <v>172.516129</v>
      </c>
      <c r="J2" s="19">
        <f>IFERROR(__xludf.DUMMYFUNCTION("""COMPUTED_VALUE"""),232.0)</f>
        <v>232</v>
      </c>
      <c r="K2" s="20">
        <f>IFERROR(__xludf.DUMMYFUNCTION("""COMPUTED_VALUE"""),59.48387096774201)</f>
        <v>59.48387097</v>
      </c>
      <c r="L2" s="21">
        <f>IFERROR(__xludf.DUMMYFUNCTION("""COMPUTED_VALUE"""),0.3448017950635757)</f>
        <v>0.3448017951</v>
      </c>
      <c r="M2" s="24">
        <f>IFERROR(__xludf.DUMMYFUNCTION("""COMPUTED_VALUE"""),0.34)</f>
        <v>0.34</v>
      </c>
      <c r="N2" s="22">
        <f>IFERROR(__xludf.DUMMYFUNCTION("""COMPUTED_VALUE"""),0.23706896551724138)</f>
        <v>0.2370689655</v>
      </c>
      <c r="O2" s="25">
        <f>IFERROR(__xludf.DUMMYFUNCTION("""COMPUTED_VALUE"""),-10.293103448275865)</f>
        <v>-10.29310345</v>
      </c>
      <c r="P2" s="18">
        <f>IFERROR(__xludf.DUMMYFUNCTION("""COMPUTED_VALUE"""),64.93999999999998)</f>
        <v>64.94</v>
      </c>
      <c r="Q2" s="19">
        <f>IFERROR(__xludf.DUMMYFUNCTION("""COMPUTED_VALUE"""),55.0)</f>
        <v>55</v>
      </c>
      <c r="R2" s="20">
        <f>IFERROR(__xludf.DUMMYFUNCTION("""COMPUTED_VALUE"""),-9.939999999999984)</f>
        <v>-9.94</v>
      </c>
      <c r="S2" s="26">
        <f>IFERROR(__xludf.DUMMYFUNCTION("""COMPUTED_VALUE"""),-0.15306436710809956)</f>
        <v>-0.1530643671</v>
      </c>
      <c r="T2" s="22">
        <f>IFERROR(__xludf.DUMMYFUNCTION("""COMPUTED_VALUE"""),0.16)</f>
        <v>0.16</v>
      </c>
      <c r="U2" s="22">
        <f>IFERROR(__xludf.DUMMYFUNCTION("""COMPUTED_VALUE"""),0.07272727272727272)</f>
        <v>0.07272727273</v>
      </c>
      <c r="V2" s="23">
        <f>IFERROR(__xludf.DUMMYFUNCTION("""COMPUTED_VALUE"""),-8.727272727272728)</f>
        <v>-8.727272727</v>
      </c>
      <c r="W2" s="18">
        <f>IFERROR(__xludf.DUMMYFUNCTION("""COMPUTED_VALUE"""),10.390399999999998)</f>
        <v>10.3904</v>
      </c>
      <c r="X2" s="19">
        <f>IFERROR(__xludf.DUMMYFUNCTION("""COMPUTED_VALUE"""),4.0)</f>
        <v>4</v>
      </c>
      <c r="Y2" s="20">
        <f>IFERROR(__xludf.DUMMYFUNCTION("""COMPUTED_VALUE"""),-6.390399999999998)</f>
        <v>-6.3904</v>
      </c>
      <c r="Z2" s="27">
        <f>IFERROR(__xludf.DUMMYFUNCTION("""COMPUTED_VALUE"""),-0.6150292577764089)</f>
        <v>-0.6150292578</v>
      </c>
      <c r="AA2" s="18">
        <f>IFERROR(__xludf.DUMMYFUNCTION("""COMPUTED_VALUE"""),29000.0)</f>
        <v>29000</v>
      </c>
      <c r="AB2" s="19">
        <f>IFERROR(__xludf.DUMMYFUNCTION("""COMPUTED_VALUE"""),32744.0)</f>
        <v>32744</v>
      </c>
      <c r="AC2" s="20">
        <f>IFERROR(__xludf.DUMMYFUNCTION("""COMPUTED_VALUE"""),3744.0)</f>
        <v>3744</v>
      </c>
      <c r="AD2" s="27">
        <f>IFERROR(__xludf.DUMMYFUNCTION("""COMPUTED_VALUE"""),0.12910344827586206)</f>
        <v>0.1291034483</v>
      </c>
      <c r="AE2" s="18">
        <f>IFERROR(__xludf.DUMMYFUNCTION("""COMPUTED_VALUE"""),222977.98399999997)</f>
        <v>222977.984</v>
      </c>
      <c r="AF2" s="19">
        <f>IFERROR(__xludf.DUMMYFUNCTION("""COMPUTED_VALUE"""),130976.0)</f>
        <v>130976</v>
      </c>
      <c r="AG2" s="20">
        <f>IFERROR(__xludf.DUMMYFUNCTION("""COMPUTED_VALUE"""),-92001.98399999997)</f>
        <v>-92001.984</v>
      </c>
      <c r="AH2" s="28">
        <f>IFERROR(__xludf.DUMMYFUNCTION("""COMPUTED_VALUE"""),-0.4126056857703045)</f>
        <v>-0.4126056858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"),93841.75483870978)</f>
        <v>93841.75484</v>
      </c>
      <c r="AJ2" s="29">
        <f>IFERROR(__xludf.DUMMYFUNCTION("""COMPUTED_VALUE"""),-235027.19999999998)</f>
        <v>-235027.2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"),4640.0)</f>
        <v>4640</v>
      </c>
      <c r="AL2" s="30">
        <f>IFERROR(__xludf.DUMMYFUNCTION("""COMPUTED_VALUE"""),2381.3818181818183)</f>
        <v>2381.381818</v>
      </c>
      <c r="AM2" s="29">
        <f t="shared" ref="AM2:AM16" si="1">AL2-AK2</f>
        <v>-2258.618182</v>
      </c>
      <c r="AN2" s="31">
        <f t="shared" ref="AN2:AN16" si="2">AM2/AK2</f>
        <v>-0.4867711599</v>
      </c>
      <c r="AO2" s="10">
        <f t="shared" ref="AO2:AO16" si="3">J2*(N2-M2)*AK2</f>
        <v>-110803.2</v>
      </c>
      <c r="AP2" s="10">
        <f t="shared" ref="AP2:AP16" si="4">J2*N2*AM2</f>
        <v>-124224</v>
      </c>
      <c r="AQ2" s="10">
        <f>SUMIFS(AP2:AP16,AP2:AP16,"&lt;"&amp;0)</f>
        <v>-362364.3498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IFERROR(__xludf.DUMMYFUNCTION("""COMPUTED_VALUE"""),"[SKL] Midia Paga - Quente")</f>
        <v>[SKL] Midia Paga - Quente</v>
      </c>
      <c r="B3" s="18">
        <f>IFERROR(__xludf.DUMMYFUNCTION("""COMPUTED_VALUE"""),388.38709677419337)</f>
        <v>388.3870968</v>
      </c>
      <c r="C3" s="19">
        <f>IFERROR(__xludf.DUMMYFUNCTION("""COMPUTED_VALUE"""),395.0)</f>
        <v>395</v>
      </c>
      <c r="D3" s="20">
        <f>IFERROR(__xludf.DUMMYFUNCTION("""COMPUTED_VALUE"""),6.612903225806633)</f>
        <v>6.612903226</v>
      </c>
      <c r="E3" s="21">
        <f>IFERROR(__xludf.DUMMYFUNCTION("""COMPUTED_VALUE"""),0.017026578073090177)</f>
        <v>0.01702657807</v>
      </c>
      <c r="F3" s="22">
        <f>IFERROR(__xludf.DUMMYFUNCTION("""COMPUTED_VALUE"""),0.8)</f>
        <v>0.8</v>
      </c>
      <c r="G3" s="22">
        <f>IFERROR(__xludf.DUMMYFUNCTION("""COMPUTED_VALUE"""),0.8)</f>
        <v>0.8</v>
      </c>
      <c r="H3" s="23">
        <f>IFERROR(__xludf.DUMMYFUNCTION("""COMPUTED_VALUE"""),0.0)</f>
        <v>0</v>
      </c>
      <c r="I3" s="18">
        <f>IFERROR(__xludf.DUMMYFUNCTION("""COMPUTED_VALUE"""),310.7096774193547)</f>
        <v>310.7096774</v>
      </c>
      <c r="J3" s="19">
        <f>IFERROR(__xludf.DUMMYFUNCTION("""COMPUTED_VALUE"""),316.0)</f>
        <v>316</v>
      </c>
      <c r="K3" s="20">
        <f>IFERROR(__xludf.DUMMYFUNCTION("""COMPUTED_VALUE"""),5.290322580645295)</f>
        <v>5.290322581</v>
      </c>
      <c r="L3" s="21">
        <f>IFERROR(__xludf.DUMMYFUNCTION("""COMPUTED_VALUE"""),0.01702657807309014)</f>
        <v>0.01702657807</v>
      </c>
      <c r="M3" s="24">
        <f>IFERROR(__xludf.DUMMYFUNCTION("""COMPUTED_VALUE"""),0.18939393939393942)</f>
        <v>0.1893939394</v>
      </c>
      <c r="N3" s="22">
        <f>IFERROR(__xludf.DUMMYFUNCTION("""COMPUTED_VALUE"""),0.17088607594936708)</f>
        <v>0.1708860759</v>
      </c>
      <c r="O3" s="25">
        <f>IFERROR(__xludf.DUMMYFUNCTION("""COMPUTED_VALUE"""),-1.8507863444572337)</f>
        <v>-1.850786344</v>
      </c>
      <c r="P3" s="18">
        <f>IFERROR(__xludf.DUMMYFUNCTION("""COMPUTED_VALUE"""),65.15151515151514)</f>
        <v>65.15151515</v>
      </c>
      <c r="Q3" s="19">
        <f>IFERROR(__xludf.DUMMYFUNCTION("""COMPUTED_VALUE"""),54.0)</f>
        <v>54</v>
      </c>
      <c r="R3" s="20">
        <f>IFERROR(__xludf.DUMMYFUNCTION("""COMPUTED_VALUE"""),-11.151515151515142)</f>
        <v>-11.15151515</v>
      </c>
      <c r="S3" s="26">
        <f>IFERROR(__xludf.DUMMYFUNCTION("""COMPUTED_VALUE"""),-0.1711627906976743)</f>
        <v>-0.1711627907</v>
      </c>
      <c r="T3" s="22">
        <f>IFERROR(__xludf.DUMMYFUNCTION("""COMPUTED_VALUE"""),0.2)</f>
        <v>0.2</v>
      </c>
      <c r="U3" s="22">
        <f>IFERROR(__xludf.DUMMYFUNCTION("""COMPUTED_VALUE"""),0.07407407407407407)</f>
        <v>0.07407407407</v>
      </c>
      <c r="V3" s="23">
        <f>IFERROR(__xludf.DUMMYFUNCTION("""COMPUTED_VALUE"""),-12.592592592592593)</f>
        <v>-12.59259259</v>
      </c>
      <c r="W3" s="18">
        <f>IFERROR(__xludf.DUMMYFUNCTION("""COMPUTED_VALUE"""),13.03030303030303)</f>
        <v>13.03030303</v>
      </c>
      <c r="X3" s="19">
        <f>IFERROR(__xludf.DUMMYFUNCTION("""COMPUTED_VALUE"""),4.0)</f>
        <v>4</v>
      </c>
      <c r="Y3" s="20">
        <f>IFERROR(__xludf.DUMMYFUNCTION("""COMPUTED_VALUE"""),-9.03030303030303)</f>
        <v>-9.03030303</v>
      </c>
      <c r="Z3" s="27">
        <f>IFERROR(__xludf.DUMMYFUNCTION("""COMPUTED_VALUE"""),-0.6930232558139535)</f>
        <v>-0.6930232558</v>
      </c>
      <c r="AA3" s="18">
        <f>IFERROR(__xludf.DUMMYFUNCTION("""COMPUTED_VALUE"""),16431.0)</f>
        <v>16431</v>
      </c>
      <c r="AB3" s="19">
        <f>IFERROR(__xludf.DUMMYFUNCTION("""COMPUTED_VALUE"""),10393.25)</f>
        <v>10393.25</v>
      </c>
      <c r="AC3" s="20">
        <f>IFERROR(__xludf.DUMMYFUNCTION("""COMPUTED_VALUE"""),-6037.75)</f>
        <v>-6037.75</v>
      </c>
      <c r="AD3" s="27">
        <f>IFERROR(__xludf.DUMMYFUNCTION("""COMPUTED_VALUE"""),-0.36746089708477875)</f>
        <v>-0.3674608971</v>
      </c>
      <c r="AE3" s="18">
        <f>IFERROR(__xludf.DUMMYFUNCTION("""COMPUTED_VALUE"""),158434.67272727276)</f>
        <v>158434.6727</v>
      </c>
      <c r="AF3" s="19">
        <f>IFERROR(__xludf.DUMMYFUNCTION("""COMPUTED_VALUE"""),41573.0)</f>
        <v>41573</v>
      </c>
      <c r="AG3" s="20">
        <f>IFERROR(__xludf.DUMMYFUNCTION("""COMPUTED_VALUE"""),-116861.67272727276)</f>
        <v>-116861.6727</v>
      </c>
      <c r="AH3" s="28">
        <f>IFERROR(__xludf.DUMMYFUNCTION("""COMPUTED_VALUE"""),-0.7376016292117876)</f>
        <v>-0.7376016292</v>
      </c>
      <c r="AI3" s="29">
        <f>IFERROR(__xludf.DUMMYFUNCTION("""COMPUTED_VALUE"""),3292.624633431169)</f>
        <v>3292.624633</v>
      </c>
      <c r="AJ3" s="29">
        <f>IFERROR(__xludf.DUMMYFUNCTION("""COMPUTED_VALUE"""),-155101.09090909094)</f>
        <v>-155101.0909</v>
      </c>
      <c r="AK3" s="4">
        <f>IFERROR(__xludf.DUMMYFUNCTION("""COMPUTED_VALUE"""),3286.2000000000003)</f>
        <v>3286.2</v>
      </c>
      <c r="AL3" s="30">
        <f>IFERROR(__xludf.DUMMYFUNCTION("""COMPUTED_VALUE"""),769.8703703703703)</f>
        <v>769.8703704</v>
      </c>
      <c r="AM3" s="29">
        <f t="shared" si="1"/>
        <v>-2516.32963</v>
      </c>
      <c r="AN3" s="31">
        <f t="shared" si="2"/>
        <v>-0.7657262582</v>
      </c>
      <c r="AO3" s="10">
        <f t="shared" si="3"/>
        <v>-19219.29091</v>
      </c>
      <c r="AP3" s="10">
        <f t="shared" si="4"/>
        <v>-135881.8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IFERROR(__xludf.DUMMYFUNCTION("""COMPUTED_VALUE"""),"[SKL] Outros")</f>
        <v>[SKL] Outros</v>
      </c>
      <c r="B4" s="18">
        <f>IFERROR(__xludf.DUMMYFUNCTION("""COMPUTED_VALUE"""),189.4403225806451)</f>
        <v>189.4403226</v>
      </c>
      <c r="C4" s="19">
        <f>IFERROR(__xludf.DUMMYFUNCTION("""COMPUTED_VALUE"""),56.0)</f>
        <v>56</v>
      </c>
      <c r="D4" s="20">
        <f>IFERROR(__xludf.DUMMYFUNCTION("""COMPUTED_VALUE"""),-133.4403225806451)</f>
        <v>-133.4403226</v>
      </c>
      <c r="E4" s="21">
        <f>IFERROR(__xludf.DUMMYFUNCTION("""COMPUTED_VALUE"""),-0.7043923952559746)</f>
        <v>-0.7043923953</v>
      </c>
      <c r="F4" s="22">
        <f>IFERROR(__xludf.DUMMYFUNCTION("""COMPUTED_VALUE"""),0.8247809762202754)</f>
        <v>0.8247809762</v>
      </c>
      <c r="G4" s="22">
        <f>IFERROR(__xludf.DUMMYFUNCTION("""COMPUTED_VALUE"""),0.8928571428571429)</f>
        <v>0.8928571429</v>
      </c>
      <c r="H4" s="23">
        <f>IFERROR(__xludf.DUMMYFUNCTION("""COMPUTED_VALUE"""),6.807616663686755)</f>
        <v>6.807616664</v>
      </c>
      <c r="I4" s="18">
        <f>IFERROR(__xludf.DUMMYFUNCTION("""COMPUTED_VALUE"""),156.24677419354833)</f>
        <v>156.2467742</v>
      </c>
      <c r="J4" s="19">
        <f>IFERROR(__xludf.DUMMYFUNCTION("""COMPUTED_VALUE"""),50.0)</f>
        <v>50</v>
      </c>
      <c r="K4" s="20">
        <f>IFERROR(__xludf.DUMMYFUNCTION("""COMPUTED_VALUE"""),-106.24677419354833)</f>
        <v>-106.2467742</v>
      </c>
      <c r="L4" s="21">
        <f>IFERROR(__xludf.DUMMYFUNCTION("""COMPUTED_VALUE"""),-0.6799933934119929)</f>
        <v>-0.6799933934</v>
      </c>
      <c r="M4" s="24">
        <f>IFERROR(__xludf.DUMMYFUNCTION("""COMPUTED_VALUE"""),0.26251896813353565)</f>
        <v>0.2625189681</v>
      </c>
      <c r="N4" s="22">
        <f>IFERROR(__xludf.DUMMYFUNCTION("""COMPUTED_VALUE"""),0.46)</f>
        <v>0.46</v>
      </c>
      <c r="O4" s="25">
        <f>IFERROR(__xludf.DUMMYFUNCTION("""COMPUTED_VALUE"""),19.74810318664644)</f>
        <v>19.74810319</v>
      </c>
      <c r="P4" s="18">
        <f>IFERROR(__xludf.DUMMYFUNCTION("""COMPUTED_VALUE"""),45.412499999999994)</f>
        <v>45.4125</v>
      </c>
      <c r="Q4" s="19">
        <f>IFERROR(__xludf.DUMMYFUNCTION("""COMPUTED_VALUE"""),23.0)</f>
        <v>23</v>
      </c>
      <c r="R4" s="20">
        <f>IFERROR(__xludf.DUMMYFUNCTION("""COMPUTED_VALUE"""),-22.412499999999994)</f>
        <v>-22.4125</v>
      </c>
      <c r="S4" s="26">
        <f>IFERROR(__xludf.DUMMYFUNCTION("""COMPUTED_VALUE"""),-0.49353151665290385)</f>
        <v>-0.4935315167</v>
      </c>
      <c r="T4" s="22">
        <f>IFERROR(__xludf.DUMMYFUNCTION("""COMPUTED_VALUE"""),0.2138728323699422)</f>
        <v>0.2138728324</v>
      </c>
      <c r="U4" s="22">
        <f>IFERROR(__xludf.DUMMYFUNCTION("""COMPUTED_VALUE"""),0.17391304347826086)</f>
        <v>0.1739130435</v>
      </c>
      <c r="V4" s="23">
        <f>IFERROR(__xludf.DUMMYFUNCTION("""COMPUTED_VALUE"""),-3.995978889168134)</f>
        <v>-3.995978889</v>
      </c>
      <c r="W4" s="18">
        <f>IFERROR(__xludf.DUMMYFUNCTION("""COMPUTED_VALUE"""),9.712499999999999)</f>
        <v>9.7125</v>
      </c>
      <c r="X4" s="19">
        <f>IFERROR(__xludf.DUMMYFUNCTION("""COMPUTED_VALUE"""),4.0)</f>
        <v>4</v>
      </c>
      <c r="Y4" s="20">
        <f>IFERROR(__xludf.DUMMYFUNCTION("""COMPUTED_VALUE"""),-5.712499999999999)</f>
        <v>-5.7125</v>
      </c>
      <c r="Z4" s="27">
        <f>IFERROR(__xludf.DUMMYFUNCTION("""COMPUTED_VALUE"""),-0.5881595881595881)</f>
        <v>-0.5881595882</v>
      </c>
      <c r="AA4" s="18">
        <f>IFERROR(__xludf.DUMMYFUNCTION("""COMPUTED_VALUE"""),19940.0)</f>
        <v>19940</v>
      </c>
      <c r="AB4" s="19">
        <f>IFERROR(__xludf.DUMMYFUNCTION("""COMPUTED_VALUE"""),21109.0)</f>
        <v>21109</v>
      </c>
      <c r="AC4" s="20">
        <f>IFERROR(__xludf.DUMMYFUNCTION("""COMPUTED_VALUE"""),1169.0)</f>
        <v>1169</v>
      </c>
      <c r="AD4" s="27">
        <f>IFERROR(__xludf.DUMMYFUNCTION("""COMPUTED_VALUE"""),0.0586258776328987)</f>
        <v>0.05862587763</v>
      </c>
      <c r="AE4" s="18">
        <f>IFERROR(__xludf.DUMMYFUNCTION("""COMPUTED_VALUE"""),143313.76499999998)</f>
        <v>143313.765</v>
      </c>
      <c r="AF4" s="19">
        <f>IFERROR(__xludf.DUMMYFUNCTION("""COMPUTED_VALUE"""),84436.0)</f>
        <v>84436</v>
      </c>
      <c r="AG4" s="20">
        <f>IFERROR(__xludf.DUMMYFUNCTION("""COMPUTED_VALUE"""),-58877.764999999985)</f>
        <v>-58877.765</v>
      </c>
      <c r="AH4" s="28">
        <f>IFERROR(__xludf.DUMMYFUNCTION("""COMPUTED_VALUE"""),-0.410831192663175)</f>
        <v>-0.4108311927</v>
      </c>
      <c r="AI4" s="29">
        <f>IFERROR(__xludf.DUMMYFUNCTION("""COMPUTED_VALUE"""),-118948.01982475886)</f>
        <v>-118948.0198</v>
      </c>
      <c r="AJ4" s="29">
        <f>IFERROR(__xludf.DUMMYFUNCTION("""COMPUTED_VALUE"""),28458.761760242793)</f>
        <v>28458.76176</v>
      </c>
      <c r="AK4" s="4">
        <f>IFERROR(__xludf.DUMMYFUNCTION("""COMPUTED_VALUE"""),4264.624277456647)</f>
        <v>4264.624277</v>
      </c>
      <c r="AL4" s="30">
        <f>IFERROR(__xludf.DUMMYFUNCTION("""COMPUTED_VALUE"""),3671.1304347826085)</f>
        <v>3671.130435</v>
      </c>
      <c r="AM4" s="29">
        <f t="shared" si="1"/>
        <v>-593.4938427</v>
      </c>
      <c r="AN4" s="31">
        <f t="shared" si="2"/>
        <v>-0.1391667364</v>
      </c>
      <c r="AO4" s="10">
        <f t="shared" si="3"/>
        <v>42109.12014</v>
      </c>
      <c r="AP4" s="10">
        <f t="shared" si="4"/>
        <v>-13650.35838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IFERROR(__xludf.DUMMYFUNCTION("""COMPUTED_VALUE"""),"[SKL] CRM - WhatsApp")</f>
        <v>[SKL] CRM - WhatsApp</v>
      </c>
      <c r="B5" s="18">
        <f>IFERROR(__xludf.DUMMYFUNCTION("""COMPUTED_VALUE"""),220.2967741935483)</f>
        <v>220.2967742</v>
      </c>
      <c r="C5" s="19">
        <f>IFERROR(__xludf.DUMMYFUNCTION("""COMPUTED_VALUE"""),215.0)</f>
        <v>215</v>
      </c>
      <c r="D5" s="20">
        <f>IFERROR(__xludf.DUMMYFUNCTION("""COMPUTED_VALUE"""),-5.296774193548288)</f>
        <v>-5.296774194</v>
      </c>
      <c r="E5" s="21">
        <f>IFERROR(__xludf.DUMMYFUNCTION("""COMPUTED_VALUE"""),-0.024043811866689656)</f>
        <v>-0.02404381187</v>
      </c>
      <c r="F5" s="22">
        <f>IFERROR(__xludf.DUMMYFUNCTION("""COMPUTED_VALUE"""),0.861008610086101)</f>
        <v>0.8610086101</v>
      </c>
      <c r="G5" s="22">
        <f>IFERROR(__xludf.DUMMYFUNCTION("""COMPUTED_VALUE"""),0.8372093023255814)</f>
        <v>0.8372093023</v>
      </c>
      <c r="H5" s="23">
        <f>IFERROR(__xludf.DUMMYFUNCTION("""COMPUTED_VALUE"""),-2.379930776051953)</f>
        <v>-2.379930776</v>
      </c>
      <c r="I5" s="18">
        <f>IFERROR(__xludf.DUMMYFUNCTION("""COMPUTED_VALUE"""),189.67741935483863)</f>
        <v>189.6774194</v>
      </c>
      <c r="J5" s="19">
        <f>IFERROR(__xludf.DUMMYFUNCTION("""COMPUTED_VALUE"""),180.0)</f>
        <v>180</v>
      </c>
      <c r="K5" s="20">
        <f>IFERROR(__xludf.DUMMYFUNCTION("""COMPUTED_VALUE"""),-9.677419354838634)</f>
        <v>-9.677419355</v>
      </c>
      <c r="L5" s="21">
        <f>IFERROR(__xludf.DUMMYFUNCTION("""COMPUTED_VALUE"""),-0.051020408163264926)</f>
        <v>-0.05102040816</v>
      </c>
      <c r="M5" s="24">
        <f>IFERROR(__xludf.DUMMYFUNCTION("""COMPUTED_VALUE"""),0.2014285714285714)</f>
        <v>0.2014285714</v>
      </c>
      <c r="N5" s="22">
        <f>IFERROR(__xludf.DUMMYFUNCTION("""COMPUTED_VALUE"""),0.14444444444444443)</f>
        <v>0.1444444444</v>
      </c>
      <c r="O5" s="25">
        <f>IFERROR(__xludf.DUMMYFUNCTION("""COMPUTED_VALUE"""),-5.698412698412697)</f>
        <v>-5.698412698</v>
      </c>
      <c r="P5" s="18">
        <f>IFERROR(__xludf.DUMMYFUNCTION("""COMPUTED_VALUE"""),42.29999999999999)</f>
        <v>42.3</v>
      </c>
      <c r="Q5" s="19">
        <f>IFERROR(__xludf.DUMMYFUNCTION("""COMPUTED_VALUE"""),26.0)</f>
        <v>26</v>
      </c>
      <c r="R5" s="20">
        <f>IFERROR(__xludf.DUMMYFUNCTION("""COMPUTED_VALUE"""),-16.29999999999999)</f>
        <v>-16.3</v>
      </c>
      <c r="S5" s="26">
        <f>IFERROR(__xludf.DUMMYFUNCTION("""COMPUTED_VALUE"""),-0.3853427895981086)</f>
        <v>-0.3853427896</v>
      </c>
      <c r="T5" s="22">
        <f>IFERROR(__xludf.DUMMYFUNCTION("""COMPUTED_VALUE"""),0.14893617021276595)</f>
        <v>0.1489361702</v>
      </c>
      <c r="U5" s="22">
        <f>IFERROR(__xludf.DUMMYFUNCTION("""COMPUTED_VALUE"""),0.038461538461538464)</f>
        <v>0.03846153846</v>
      </c>
      <c r="V5" s="23">
        <f>IFERROR(__xludf.DUMMYFUNCTION("""COMPUTED_VALUE"""),-11.047463175122749)</f>
        <v>-11.04746318</v>
      </c>
      <c r="W5" s="18">
        <f>IFERROR(__xludf.DUMMYFUNCTION("""COMPUTED_VALUE"""),6.299999999999998)</f>
        <v>6.3</v>
      </c>
      <c r="X5" s="19">
        <f>IFERROR(__xludf.DUMMYFUNCTION("""COMPUTED_VALUE"""),1.0)</f>
        <v>1</v>
      </c>
      <c r="Y5" s="20">
        <f>IFERROR(__xludf.DUMMYFUNCTION("""COMPUTED_VALUE"""),-5.299999999999998)</f>
        <v>-5.3</v>
      </c>
      <c r="Z5" s="27">
        <f>IFERROR(__xludf.DUMMYFUNCTION("""COMPUTED_VALUE"""),-0.8412698412698412)</f>
        <v>-0.8412698413</v>
      </c>
      <c r="AA5" s="18">
        <f>IFERROR(__xludf.DUMMYFUNCTION("""COMPUTED_VALUE"""),14171.0)</f>
        <v>14171</v>
      </c>
      <c r="AB5" s="19">
        <f>IFERROR(__xludf.DUMMYFUNCTION("""COMPUTED_VALUE"""),13800.0)</f>
        <v>13800</v>
      </c>
      <c r="AC5" s="20">
        <f>IFERROR(__xludf.DUMMYFUNCTION("""COMPUTED_VALUE"""),-371.0)</f>
        <v>-371</v>
      </c>
      <c r="AD5" s="27">
        <f>IFERROR(__xludf.DUMMYFUNCTION("""COMPUTED_VALUE"""),-0.026180227224613647)</f>
        <v>-0.02618022722</v>
      </c>
      <c r="AE5" s="18">
        <f>IFERROR(__xludf.DUMMYFUNCTION("""COMPUTED_VALUE"""),66065.20199999999)</f>
        <v>66065.202</v>
      </c>
      <c r="AF5" s="19">
        <f>IFERROR(__xludf.DUMMYFUNCTION("""COMPUTED_VALUE"""),13800.0)</f>
        <v>13800</v>
      </c>
      <c r="AG5" s="20">
        <f>IFERROR(__xludf.DUMMYFUNCTION("""COMPUTED_VALUE"""),-52265.20199999999)</f>
        <v>-52265.202</v>
      </c>
      <c r="AH5" s="28">
        <f>IFERROR(__xludf.DUMMYFUNCTION("""COMPUTED_VALUE"""),-0.7911154498551295)</f>
        <v>-0.7911154499</v>
      </c>
      <c r="AI5" s="29">
        <f>IFERROR(__xludf.DUMMYFUNCTION("""COMPUTED_VALUE"""),-4114.161290322548)</f>
        <v>-4114.16129</v>
      </c>
      <c r="AJ5" s="29">
        <f>IFERROR(__xludf.DUMMYFUNCTION("""COMPUTED_VALUE"""),-62723.39999999999)</f>
        <v>-62723.4</v>
      </c>
      <c r="AK5" s="4">
        <f>IFERROR(__xludf.DUMMYFUNCTION("""COMPUTED_VALUE"""),2110.574468085106)</f>
        <v>2110.574468</v>
      </c>
      <c r="AL5" s="30">
        <f>IFERROR(__xludf.DUMMYFUNCTION("""COMPUTED_VALUE"""),530.7692307692307)</f>
        <v>530.7692308</v>
      </c>
      <c r="AM5" s="29">
        <f t="shared" si="1"/>
        <v>-1579.805237</v>
      </c>
      <c r="AN5" s="31">
        <f t="shared" si="2"/>
        <v>-0.7485190697</v>
      </c>
      <c r="AO5" s="10">
        <f t="shared" si="3"/>
        <v>-21648.46383</v>
      </c>
      <c r="AP5" s="10">
        <f t="shared" si="4"/>
        <v>-41074.93617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IFERROR(__xludf.DUMMYFUNCTION("""COMPUTED_VALUE"""),"[SKL] CRM - Email")</f>
        <v>[SKL] CRM - Email</v>
      </c>
      <c r="B6" s="18">
        <f>IFERROR(__xludf.DUMMYFUNCTION("""COMPUTED_VALUE"""),148.3277419354838)</f>
        <v>148.3277419</v>
      </c>
      <c r="C6" s="19">
        <f>IFERROR(__xludf.DUMMYFUNCTION("""COMPUTED_VALUE"""),55.0)</f>
        <v>55</v>
      </c>
      <c r="D6" s="20">
        <f>IFERROR(__xludf.DUMMYFUNCTION("""COMPUTED_VALUE"""),-93.3277419354838)</f>
        <v>-93.32774194</v>
      </c>
      <c r="E6" s="21">
        <f>IFERROR(__xludf.DUMMYFUNCTION("""COMPUTED_VALUE"""),-0.6291995058893121)</f>
        <v>-0.6291995059</v>
      </c>
      <c r="F6" s="22">
        <f>IFERROR(__xludf.DUMMYFUNCTION("""COMPUTED_VALUE"""),0.7950310559006212)</f>
        <v>0.7950310559</v>
      </c>
      <c r="G6" s="22">
        <f>IFERROR(__xludf.DUMMYFUNCTION("""COMPUTED_VALUE"""),0.7636363636363637)</f>
        <v>0.7636363636</v>
      </c>
      <c r="H6" s="23">
        <f>IFERROR(__xludf.DUMMYFUNCTION("""COMPUTED_VALUE"""),-3.1394692264257507)</f>
        <v>-3.139469226</v>
      </c>
      <c r="I6" s="18">
        <f>IFERROR(__xludf.DUMMYFUNCTION("""COMPUTED_VALUE"""),117.92516129032254)</f>
        <v>117.9251613</v>
      </c>
      <c r="J6" s="19">
        <f>IFERROR(__xludf.DUMMYFUNCTION("""COMPUTED_VALUE"""),42.0)</f>
        <v>42</v>
      </c>
      <c r="K6" s="20">
        <f>IFERROR(__xludf.DUMMYFUNCTION("""COMPUTED_VALUE"""),-75.92516129032254)</f>
        <v>-75.92516129</v>
      </c>
      <c r="L6" s="21">
        <f>IFERROR(__xludf.DUMMYFUNCTION("""COMPUTED_VALUE"""),-0.6438419117647057)</f>
        <v>-0.6438419118</v>
      </c>
      <c r="M6" s="24">
        <f>IFERROR(__xludf.DUMMYFUNCTION("""COMPUTED_VALUE"""),0.19140625)</f>
        <v>0.19140625</v>
      </c>
      <c r="N6" s="22">
        <f>IFERROR(__xludf.DUMMYFUNCTION("""COMPUTED_VALUE"""),0.2857142857142857)</f>
        <v>0.2857142857</v>
      </c>
      <c r="O6" s="25">
        <f>IFERROR(__xludf.DUMMYFUNCTION("""COMPUTED_VALUE"""),9.43080357142857)</f>
        <v>9.430803571</v>
      </c>
      <c r="P6" s="18">
        <f>IFERROR(__xludf.DUMMYFUNCTION("""COMPUTED_VALUE"""),24.99)</f>
        <v>24.99</v>
      </c>
      <c r="Q6" s="19">
        <f>IFERROR(__xludf.DUMMYFUNCTION("""COMPUTED_VALUE"""),12.0)</f>
        <v>12</v>
      </c>
      <c r="R6" s="20">
        <f>IFERROR(__xludf.DUMMYFUNCTION("""COMPUTED_VALUE"""),-12.989999999999998)</f>
        <v>-12.99</v>
      </c>
      <c r="S6" s="26">
        <f>IFERROR(__xludf.DUMMYFUNCTION("""COMPUTED_VALUE"""),-0.5198079231692677)</f>
        <v>-0.5198079232</v>
      </c>
      <c r="T6" s="22">
        <f>IFERROR(__xludf.DUMMYFUNCTION("""COMPUTED_VALUE"""),0.18)</f>
        <v>0.18</v>
      </c>
      <c r="U6" s="22">
        <f>IFERROR(__xludf.DUMMYFUNCTION("""COMPUTED_VALUE"""),0.08333333333333333)</f>
        <v>0.08333333333</v>
      </c>
      <c r="V6" s="23">
        <f>IFERROR(__xludf.DUMMYFUNCTION("""COMPUTED_VALUE"""),-9.666666666666666)</f>
        <v>-9.666666667</v>
      </c>
      <c r="W6" s="18">
        <f>IFERROR(__xludf.DUMMYFUNCTION("""COMPUTED_VALUE"""),4.498199999999999)</f>
        <v>4.4982</v>
      </c>
      <c r="X6" s="19">
        <f>IFERROR(__xludf.DUMMYFUNCTION("""COMPUTED_VALUE"""),1.0)</f>
        <v>1</v>
      </c>
      <c r="Y6" s="20">
        <f>IFERROR(__xludf.DUMMYFUNCTION("""COMPUTED_VALUE"""),-3.498199999999999)</f>
        <v>-3.4982</v>
      </c>
      <c r="Z6" s="27">
        <f>IFERROR(__xludf.DUMMYFUNCTION("""COMPUTED_VALUE"""),-0.7776888533191053)</f>
        <v>-0.7776888533</v>
      </c>
      <c r="AA6" s="18">
        <f>IFERROR(__xludf.DUMMYFUNCTION("""COMPUTED_VALUE"""),14970.0)</f>
        <v>14970</v>
      </c>
      <c r="AB6" s="19">
        <f>IFERROR(__xludf.DUMMYFUNCTION("""COMPUTED_VALUE"""),21900.0)</f>
        <v>21900</v>
      </c>
      <c r="AC6" s="20">
        <f>IFERROR(__xludf.DUMMYFUNCTION("""COMPUTED_VALUE"""),6930.0)</f>
        <v>6930</v>
      </c>
      <c r="AD6" s="27">
        <f>IFERROR(__xludf.DUMMYFUNCTION("""COMPUTED_VALUE"""),0.46292585170340683)</f>
        <v>0.4629258517</v>
      </c>
      <c r="AE6" s="18">
        <f>IFERROR(__xludf.DUMMYFUNCTION("""COMPUTED_VALUE"""),49830.15995999999)</f>
        <v>49830.15996</v>
      </c>
      <c r="AF6" s="19">
        <f>IFERROR(__xludf.DUMMYFUNCTION("""COMPUTED_VALUE"""),21900.0)</f>
        <v>21900</v>
      </c>
      <c r="AG6" s="20">
        <f>IFERROR(__xludf.DUMMYFUNCTION("""COMPUTED_VALUE"""),-27930.15995999999)</f>
        <v>-27930.15996</v>
      </c>
      <c r="AH6" s="28">
        <f>IFERROR(__xludf.DUMMYFUNCTION("""COMPUTED_VALUE"""),-0.5605071302685016)</f>
        <v>-0.5605071303</v>
      </c>
      <c r="AI6" s="29">
        <f>IFERROR(__xludf.DUMMYFUNCTION("""COMPUTED_VALUE"""),-39159.41031653222)</f>
        <v>-39159.41032</v>
      </c>
      <c r="AJ6" s="29">
        <f>IFERROR(__xludf.DUMMYFUNCTION("""COMPUTED_VALUE"""),237.9421875000064)</f>
        <v>237.9421875</v>
      </c>
      <c r="AK6" s="4">
        <f>IFERROR(__xludf.DUMMYFUNCTION("""COMPUTED_VALUE"""),2694.5999999999995)</f>
        <v>2694.6</v>
      </c>
      <c r="AL6" s="30">
        <f>IFERROR(__xludf.DUMMYFUNCTION("""COMPUTED_VALUE"""),1825.0)</f>
        <v>1825</v>
      </c>
      <c r="AM6" s="29">
        <f t="shared" si="1"/>
        <v>-869.6</v>
      </c>
      <c r="AN6" s="31">
        <f t="shared" si="2"/>
        <v>-0.3227195131</v>
      </c>
      <c r="AO6" s="10">
        <f t="shared" si="3"/>
        <v>10673.14219</v>
      </c>
      <c r="AP6" s="10">
        <f t="shared" si="4"/>
        <v>-10435.2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IFERROR(__xludf.DUMMYFUNCTION("""COMPUTED_VALUE"""),"[SKL] Site")</f>
        <v>[SKL] Site</v>
      </c>
      <c r="B7" s="18">
        <f>IFERROR(__xludf.DUMMYFUNCTION("""COMPUTED_VALUE"""),94.38709677419351)</f>
        <v>94.38709677</v>
      </c>
      <c r="C7" s="19">
        <f>IFERROR(__xludf.DUMMYFUNCTION("""COMPUTED_VALUE"""),87.0)</f>
        <v>87</v>
      </c>
      <c r="D7" s="20">
        <f>IFERROR(__xludf.DUMMYFUNCTION("""COMPUTED_VALUE"""),-7.387096774193509)</f>
        <v>-7.387096774</v>
      </c>
      <c r="E7" s="21">
        <f>IFERROR(__xludf.DUMMYFUNCTION("""COMPUTED_VALUE"""),-0.07826384142173577)</f>
        <v>-0.07826384142</v>
      </c>
      <c r="F7" s="22">
        <f>IFERROR(__xludf.DUMMYFUNCTION("""COMPUTED_VALUE"""),0.8007968127490039)</f>
        <v>0.8007968127</v>
      </c>
      <c r="G7" s="22">
        <f>IFERROR(__xludf.DUMMYFUNCTION("""COMPUTED_VALUE"""),0.7816091954022989)</f>
        <v>0.7816091954</v>
      </c>
      <c r="H7" s="23">
        <f>IFERROR(__xludf.DUMMYFUNCTION("""COMPUTED_VALUE"""),-1.9187617346705044)</f>
        <v>-1.918761735</v>
      </c>
      <c r="I7" s="18">
        <f>IFERROR(__xludf.DUMMYFUNCTION("""COMPUTED_VALUE"""),75.58488626140596)</f>
        <v>75.58488626</v>
      </c>
      <c r="J7" s="19">
        <f>IFERROR(__xludf.DUMMYFUNCTION("""COMPUTED_VALUE"""),68.0)</f>
        <v>68</v>
      </c>
      <c r="K7" s="20">
        <f>IFERROR(__xludf.DUMMYFUNCTION("""COMPUTED_VALUE"""),-7.584886261405956)</f>
        <v>-7.584886261</v>
      </c>
      <c r="L7" s="21">
        <f>IFERROR(__xludf.DUMMYFUNCTION("""COMPUTED_VALUE"""),-0.10034924488970011)</f>
        <v>-0.1003492449</v>
      </c>
      <c r="M7" s="24">
        <f>IFERROR(__xludf.DUMMYFUNCTION("""COMPUTED_VALUE"""),0.21393034825870647)</f>
        <v>0.2139303483</v>
      </c>
      <c r="N7" s="22">
        <f>IFERROR(__xludf.DUMMYFUNCTION("""COMPUTED_VALUE"""),0.16176470588235295)</f>
        <v>0.1617647059</v>
      </c>
      <c r="O7" s="25">
        <f>IFERROR(__xludf.DUMMYFUNCTION("""COMPUTED_VALUE"""),-5.216564237635351)</f>
        <v>-5.216564238</v>
      </c>
      <c r="P7" s="18">
        <f>IFERROR(__xludf.DUMMYFUNCTION("""COMPUTED_VALUE"""),17.902390438247007)</f>
        <v>17.90239044</v>
      </c>
      <c r="Q7" s="19">
        <f>IFERROR(__xludf.DUMMYFUNCTION("""COMPUTED_VALUE"""),11.0)</f>
        <v>11</v>
      </c>
      <c r="R7" s="20">
        <f>IFERROR(__xludf.DUMMYFUNCTION("""COMPUTED_VALUE"""),-6.902390438247007)</f>
        <v>-6.902390438</v>
      </c>
      <c r="S7" s="26">
        <f>IFERROR(__xludf.DUMMYFUNCTION("""COMPUTED_VALUE"""),-0.38555691554467547)</f>
        <v>-0.3855569155</v>
      </c>
      <c r="T7" s="22">
        <f>IFERROR(__xludf.DUMMYFUNCTION("""COMPUTED_VALUE"""),0.20930232558139536)</f>
        <v>0.2093023256</v>
      </c>
      <c r="U7" s="22">
        <f>IFERROR(__xludf.DUMMYFUNCTION("""COMPUTED_VALUE"""),0.2727272727272727)</f>
        <v>0.2727272727</v>
      </c>
      <c r="V7" s="23">
        <f>IFERROR(__xludf.DUMMYFUNCTION("""COMPUTED_VALUE"""),6.342494714587735)</f>
        <v>6.342494715</v>
      </c>
      <c r="W7" s="18">
        <f>IFERROR(__xludf.DUMMYFUNCTION("""COMPUTED_VALUE"""),3.7470119521912344)</f>
        <v>3.747011952</v>
      </c>
      <c r="X7" s="19">
        <f>IFERROR(__xludf.DUMMYFUNCTION("""COMPUTED_VALUE"""),3.0)</f>
        <v>3</v>
      </c>
      <c r="Y7" s="20">
        <f>IFERROR(__xludf.DUMMYFUNCTION("""COMPUTED_VALUE"""),-0.7470119521912344)</f>
        <v>-0.7470119522</v>
      </c>
      <c r="Z7" s="27">
        <f>IFERROR(__xludf.DUMMYFUNCTION("""COMPUTED_VALUE"""),-0.1993620414673045)</f>
        <v>-0.1993620415</v>
      </c>
      <c r="AA7" s="18">
        <f>IFERROR(__xludf.DUMMYFUNCTION("""COMPUTED_VALUE"""),17555.0)</f>
        <v>17555</v>
      </c>
      <c r="AB7" s="19">
        <f>IFERROR(__xludf.DUMMYFUNCTION("""COMPUTED_VALUE"""),11251.5)</f>
        <v>11251.5</v>
      </c>
      <c r="AC7" s="20">
        <f>IFERROR(__xludf.DUMMYFUNCTION("""COMPUTED_VALUE"""),-6303.5)</f>
        <v>-6303.5</v>
      </c>
      <c r="AD7" s="27">
        <f>IFERROR(__xludf.DUMMYFUNCTION("""COMPUTED_VALUE"""),-0.3590714896041014)</f>
        <v>-0.3590714896</v>
      </c>
      <c r="AE7" s="18">
        <f>IFERROR(__xludf.DUMMYFUNCTION("""COMPUTED_VALUE"""),48676.30816733067)</f>
        <v>48676.30817</v>
      </c>
      <c r="AF7" s="19">
        <f>IFERROR(__xludf.DUMMYFUNCTION("""COMPUTED_VALUE"""),33754.5)</f>
        <v>33754.5</v>
      </c>
      <c r="AG7" s="20">
        <f>IFERROR(__xludf.DUMMYFUNCTION("""COMPUTED_VALUE"""),-14921.808167330673)</f>
        <v>-14921.80817</v>
      </c>
      <c r="AH7" s="28">
        <f>IFERROR(__xludf.DUMMYFUNCTION("""COMPUTED_VALUE"""),-0.30655176469084633)</f>
        <v>-0.3065517647</v>
      </c>
      <c r="AI7" s="29">
        <f>IFERROR(__xludf.DUMMYFUNCTION("""COMPUTED_VALUE"""),-5962.06022323798)</f>
        <v>-5962.060223</v>
      </c>
      <c r="AJ7" s="29">
        <f>IFERROR(__xludf.DUMMYFUNCTION("""COMPUTED_VALUE"""),-19696.5447761194)</f>
        <v>-19696.54478</v>
      </c>
      <c r="AK7" s="4">
        <f>IFERROR(__xludf.DUMMYFUNCTION("""COMPUTED_VALUE"""),3674.3023255813955)</f>
        <v>3674.302326</v>
      </c>
      <c r="AL7" s="30">
        <f>IFERROR(__xludf.DUMMYFUNCTION("""COMPUTED_VALUE"""),3068.590909090909)</f>
        <v>3068.590909</v>
      </c>
      <c r="AM7" s="29">
        <f t="shared" si="1"/>
        <v>-605.7114165</v>
      </c>
      <c r="AN7" s="31">
        <f t="shared" si="2"/>
        <v>-0.1648507289</v>
      </c>
      <c r="AO7" s="10">
        <f t="shared" si="3"/>
        <v>-13033.71919</v>
      </c>
      <c r="AP7" s="10">
        <f t="shared" si="4"/>
        <v>-6662.825581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IFERROR(__xludf.DUMMYFUNCTION("""COMPUTED_VALUE"""),"[SKL] Social")</f>
        <v>[SKL] Social</v>
      </c>
      <c r="B8" s="18">
        <f>IFERROR(__xludf.DUMMYFUNCTION("""COMPUTED_VALUE"""),180.6451612903225)</f>
        <v>180.6451613</v>
      </c>
      <c r="C8" s="19">
        <f>IFERROR(__xludf.DUMMYFUNCTION("""COMPUTED_VALUE"""),70.0)</f>
        <v>70</v>
      </c>
      <c r="D8" s="20">
        <f>IFERROR(__xludf.DUMMYFUNCTION("""COMPUTED_VALUE"""),-110.6451612903225)</f>
        <v>-110.6451613</v>
      </c>
      <c r="E8" s="21">
        <f>IFERROR(__xludf.DUMMYFUNCTION("""COMPUTED_VALUE"""),-0.6124999999999998)</f>
        <v>-0.6125</v>
      </c>
      <c r="F8" s="22">
        <f>IFERROR(__xludf.DUMMYFUNCTION("""COMPUTED_VALUE"""),0.7569528415961305)</f>
        <v>0.7569528416</v>
      </c>
      <c r="G8" s="22">
        <f>IFERROR(__xludf.DUMMYFUNCTION("""COMPUTED_VALUE"""),0.8)</f>
        <v>0.8</v>
      </c>
      <c r="H8" s="23">
        <f>IFERROR(__xludf.DUMMYFUNCTION("""COMPUTED_VALUE"""),4.304715840386953)</f>
        <v>4.30471584</v>
      </c>
      <c r="I8" s="18">
        <f>IFERROR(__xludf.DUMMYFUNCTION("""COMPUTED_VALUE"""),136.73986815930095)</f>
        <v>136.7398682</v>
      </c>
      <c r="J8" s="19">
        <f>IFERROR(__xludf.DUMMYFUNCTION("""COMPUTED_VALUE"""),56.0)</f>
        <v>56</v>
      </c>
      <c r="K8" s="20">
        <f>IFERROR(__xludf.DUMMYFUNCTION("""COMPUTED_VALUE"""),-80.73986815930095)</f>
        <v>-80.73986816</v>
      </c>
      <c r="L8" s="21">
        <f>IFERROR(__xludf.DUMMYFUNCTION("""COMPUTED_VALUE"""),-0.5904632587859423)</f>
        <v>-0.5904632588</v>
      </c>
      <c r="M8" s="24">
        <f>IFERROR(__xludf.DUMMYFUNCTION("""COMPUTED_VALUE"""),0.16134185303514376)</f>
        <v>0.161341853</v>
      </c>
      <c r="N8" s="22">
        <f>IFERROR(__xludf.DUMMYFUNCTION("""COMPUTED_VALUE"""),0.26785714285714285)</f>
        <v>0.2678571429</v>
      </c>
      <c r="O8" s="25">
        <f>IFERROR(__xludf.DUMMYFUNCTION("""COMPUTED_VALUE"""),10.65152898219991)</f>
        <v>10.65152898</v>
      </c>
      <c r="P8" s="18">
        <f>IFERROR(__xludf.DUMMYFUNCTION("""COMPUTED_VALUE"""),24.425634824667465)</f>
        <v>24.42563482</v>
      </c>
      <c r="Q8" s="19">
        <f>IFERROR(__xludf.DUMMYFUNCTION("""COMPUTED_VALUE"""),15.0)</f>
        <v>15</v>
      </c>
      <c r="R8" s="20">
        <f>IFERROR(__xludf.DUMMYFUNCTION("""COMPUTED_VALUE"""),-9.425634824667465)</f>
        <v>-9.425634825</v>
      </c>
      <c r="S8" s="26">
        <f>IFERROR(__xludf.DUMMYFUNCTION("""COMPUTED_VALUE"""),-0.38589108910891073)</f>
        <v>-0.3858910891</v>
      </c>
      <c r="T8" s="22">
        <f>IFERROR(__xludf.DUMMYFUNCTION("""COMPUTED_VALUE"""),0.11881188118811879)</f>
        <v>0.1188118812</v>
      </c>
      <c r="U8" s="22">
        <f>IFERROR(__xludf.DUMMYFUNCTION("""COMPUTED_VALUE"""),0.13333333333333333)</f>
        <v>0.1333333333</v>
      </c>
      <c r="V8" s="23">
        <f>IFERROR(__xludf.DUMMYFUNCTION("""COMPUTED_VALUE"""),1.452145214521454)</f>
        <v>1.452145215</v>
      </c>
      <c r="W8" s="18">
        <f>IFERROR(__xludf.DUMMYFUNCTION("""COMPUTED_VALUE"""),2.902055622732768)</f>
        <v>2.902055623</v>
      </c>
      <c r="X8" s="19">
        <f>IFERROR(__xludf.DUMMYFUNCTION("""COMPUTED_VALUE"""),2.0)</f>
        <v>2</v>
      </c>
      <c r="Y8" s="20">
        <f>IFERROR(__xludf.DUMMYFUNCTION("""COMPUTED_VALUE"""),-0.9020556227327678)</f>
        <v>-0.9020556227</v>
      </c>
      <c r="Z8" s="27">
        <f>IFERROR(__xludf.DUMMYFUNCTION("""COMPUTED_VALUE"""),-0.3108333333333331)</f>
        <v>-0.3108333333</v>
      </c>
      <c r="AA8" s="18">
        <f>IFERROR(__xludf.DUMMYFUNCTION("""COMPUTED_VALUE"""),17000.0)</f>
        <v>17000</v>
      </c>
      <c r="AB8" s="19">
        <f>IFERROR(__xludf.DUMMYFUNCTION("""COMPUTED_VALUE"""),4548.5)</f>
        <v>4548.5</v>
      </c>
      <c r="AC8" s="20">
        <f>IFERROR(__xludf.DUMMYFUNCTION("""COMPUTED_VALUE"""),-12451.5)</f>
        <v>-12451.5</v>
      </c>
      <c r="AD8" s="27">
        <f>IFERROR(__xludf.DUMMYFUNCTION("""COMPUTED_VALUE"""),-0.7324411764705883)</f>
        <v>-0.7324411765</v>
      </c>
      <c r="AE8" s="18">
        <f>IFERROR(__xludf.DUMMYFUNCTION("""COMPUTED_VALUE"""),36507.85973397823)</f>
        <v>36507.85973</v>
      </c>
      <c r="AF8" s="19">
        <f>IFERROR(__xludf.DUMMYFUNCTION("""COMPUTED_VALUE"""),9097.0)</f>
        <v>9097</v>
      </c>
      <c r="AG8" s="20">
        <f>IFERROR(__xludf.DUMMYFUNCTION("""COMPUTED_VALUE"""),-27410.859733978228)</f>
        <v>-27410.85973</v>
      </c>
      <c r="AH8" s="28">
        <f>IFERROR(__xludf.DUMMYFUNCTION("""COMPUTED_VALUE"""),-0.7508207803391627)</f>
        <v>-0.7508207803</v>
      </c>
      <c r="AI8" s="29">
        <f>IFERROR(__xludf.DUMMYFUNCTION("""COMPUTED_VALUE"""),-26311.394735618836)</f>
        <v>-26311.39474</v>
      </c>
      <c r="AJ8" s="29">
        <f>IFERROR(__xludf.DUMMYFUNCTION("""COMPUTED_VALUE"""),-9152.201277955268)</f>
        <v>-9152.201278</v>
      </c>
      <c r="AK8" s="4">
        <f>IFERROR(__xludf.DUMMYFUNCTION("""COMPUTED_VALUE"""),2019.8019801980197)</f>
        <v>2019.80198</v>
      </c>
      <c r="AL8" s="30">
        <f>IFERROR(__xludf.DUMMYFUNCTION("""COMPUTED_VALUE"""),606.4666666666667)</f>
        <v>606.4666667</v>
      </c>
      <c r="AM8" s="29">
        <f t="shared" si="1"/>
        <v>-1413.335314</v>
      </c>
      <c r="AN8" s="31">
        <f t="shared" si="2"/>
        <v>-0.6997395425</v>
      </c>
      <c r="AO8" s="10">
        <f t="shared" si="3"/>
        <v>12047.82843</v>
      </c>
      <c r="AP8" s="10">
        <f t="shared" si="4"/>
        <v>-21200.0297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IFERROR(__xludf.DUMMYFUNCTION("""COMPUTED_VALUE"""),"[SKL] Chat")</f>
        <v>[SKL] Chat</v>
      </c>
      <c r="B9" s="18">
        <f>IFERROR(__xludf.DUMMYFUNCTION("""COMPUTED_VALUE"""),10.802580645161287)</f>
        <v>10.80258065</v>
      </c>
      <c r="C9" s="19">
        <f>IFERROR(__xludf.DUMMYFUNCTION("""COMPUTED_VALUE"""),13.0)</f>
        <v>13</v>
      </c>
      <c r="D9" s="20">
        <f>IFERROR(__xludf.DUMMYFUNCTION("""COMPUTED_VALUE"""),2.197419354838713)</f>
        <v>2.197419355</v>
      </c>
      <c r="E9" s="21">
        <f>IFERROR(__xludf.DUMMYFUNCTION("""COMPUTED_VALUE"""),0.20341614906832337)</f>
        <v>0.2034161491</v>
      </c>
      <c r="F9" s="22">
        <f>IFERROR(__xludf.DUMMYFUNCTION("""COMPUTED_VALUE"""),0.608695652173913)</f>
        <v>0.6086956522</v>
      </c>
      <c r="G9" s="22">
        <f>IFERROR(__xludf.DUMMYFUNCTION("""COMPUTED_VALUE"""),0.3076923076923077)</f>
        <v>0.3076923077</v>
      </c>
      <c r="H9" s="23">
        <f>IFERROR(__xludf.DUMMYFUNCTION("""COMPUTED_VALUE"""),-30.100334448160528)</f>
        <v>-30.10033445</v>
      </c>
      <c r="I9" s="18">
        <f>IFERROR(__xludf.DUMMYFUNCTION("""COMPUTED_VALUE"""),6.575483870967739)</f>
        <v>6.575483871</v>
      </c>
      <c r="J9" s="19">
        <f>IFERROR(__xludf.DUMMYFUNCTION("""COMPUTED_VALUE"""),4.0)</f>
        <v>4</v>
      </c>
      <c r="K9" s="20">
        <f>IFERROR(__xludf.DUMMYFUNCTION("""COMPUTED_VALUE"""),-2.575483870967739)</f>
        <v>-2.575483871</v>
      </c>
      <c r="L9" s="21">
        <f>IFERROR(__xludf.DUMMYFUNCTION("""COMPUTED_VALUE"""),-0.3916797488226057)</f>
        <v>-0.3916797488</v>
      </c>
      <c r="M9" s="24">
        <f>IFERROR(__xludf.DUMMYFUNCTION("""COMPUTED_VALUE"""),0.36)</f>
        <v>0.36</v>
      </c>
      <c r="N9" s="22">
        <f>IFERROR(__xludf.DUMMYFUNCTION("""COMPUTED_VALUE"""),0.5)</f>
        <v>0.5</v>
      </c>
      <c r="O9" s="25">
        <f>IFERROR(__xludf.DUMMYFUNCTION("""COMPUTED_VALUE"""),14.000000000000002)</f>
        <v>14</v>
      </c>
      <c r="P9" s="18">
        <f>IFERROR(__xludf.DUMMYFUNCTION("""COMPUTED_VALUE"""),2.620799999999999)</f>
        <v>2.6208</v>
      </c>
      <c r="Q9" s="19">
        <f>IFERROR(__xludf.DUMMYFUNCTION("""COMPUTED_VALUE"""),2.0)</f>
        <v>2</v>
      </c>
      <c r="R9" s="20">
        <f>IFERROR(__xludf.DUMMYFUNCTION("""COMPUTED_VALUE"""),-0.6207999999999991)</f>
        <v>-0.6208</v>
      </c>
      <c r="S9" s="26">
        <f>IFERROR(__xludf.DUMMYFUNCTION("""COMPUTED_VALUE"""),-0.23687423687423662)</f>
        <v>-0.2368742369</v>
      </c>
      <c r="T9" s="22">
        <f>IFERROR(__xludf.DUMMYFUNCTION("""COMPUTED_VALUE"""),0.3)</f>
        <v>0.3</v>
      </c>
      <c r="U9" s="22">
        <f>IFERROR(__xludf.DUMMYFUNCTION("""COMPUTED_VALUE"""),0.0)</f>
        <v>0</v>
      </c>
      <c r="V9" s="23">
        <f>IFERROR(__xludf.DUMMYFUNCTION("""COMPUTED_VALUE"""),-30.0)</f>
        <v>-30</v>
      </c>
      <c r="W9" s="18">
        <f>IFERROR(__xludf.DUMMYFUNCTION("""COMPUTED_VALUE"""),0.7862399999999997)</f>
        <v>0.78624</v>
      </c>
      <c r="X9" s="19">
        <f>IFERROR(__xludf.DUMMYFUNCTION("""COMPUTED_VALUE"""),0.0)</f>
        <v>0</v>
      </c>
      <c r="Y9" s="20">
        <f>IFERROR(__xludf.DUMMYFUNCTION("""COMPUTED_VALUE"""),-0.7862399999999997)</f>
        <v>-0.78624</v>
      </c>
      <c r="Z9" s="27">
        <f>IFERROR(__xludf.DUMMYFUNCTION("""COMPUTED_VALUE"""),-1.0)</f>
        <v>-1</v>
      </c>
      <c r="AA9" s="18">
        <f>IFERROR(__xludf.DUMMYFUNCTION("""COMPUTED_VALUE"""),15392.0)</f>
        <v>15392</v>
      </c>
      <c r="AB9" s="19">
        <f>IFERROR(__xludf.DUMMYFUNCTION("""COMPUTED_VALUE"""),0.0)</f>
        <v>0</v>
      </c>
      <c r="AC9" s="20">
        <f>IFERROR(__xludf.DUMMYFUNCTION("""COMPUTED_VALUE"""),-15392.0)</f>
        <v>-15392</v>
      </c>
      <c r="AD9" s="27">
        <f>IFERROR(__xludf.DUMMYFUNCTION("""COMPUTED_VALUE"""),-1.0)</f>
        <v>-1</v>
      </c>
      <c r="AE9" s="18">
        <f>IFERROR(__xludf.DUMMYFUNCTION("""COMPUTED_VALUE"""),8955.336499199997)</f>
        <v>8955.336499</v>
      </c>
      <c r="AF9" s="19">
        <f>IFERROR(__xludf.DUMMYFUNCTION("""COMPUTED_VALUE"""),0.0)</f>
        <v>0</v>
      </c>
      <c r="AG9" s="20">
        <f>IFERROR(__xludf.DUMMYFUNCTION("""COMPUTED_VALUE"""),-8955.336499199997)</f>
        <v>-8955.336499</v>
      </c>
      <c r="AH9" s="28">
        <f>IFERROR(__xludf.DUMMYFUNCTION("""COMPUTED_VALUE"""),-1.0)</f>
        <v>-1</v>
      </c>
      <c r="AI9" s="29">
        <f>IFERROR(__xludf.DUMMYFUNCTION("""COMPUTED_VALUE"""),-4281.319556129027)</f>
        <v>-4281.319556</v>
      </c>
      <c r="AJ9" s="29">
        <f>IFERROR(__xludf.DUMMYFUNCTION("""COMPUTED_VALUE"""),-6649.343999999999)</f>
        <v>-6649.344</v>
      </c>
      <c r="AK9" s="4">
        <f>IFERROR(__xludf.DUMMYFUNCTION("""COMPUTED_VALUE"""),4617.599999999999)</f>
        <v>4617.6</v>
      </c>
      <c r="AL9" s="30">
        <f>IFERROR(__xludf.DUMMYFUNCTION("""COMPUTED_VALUE"""),0.0)</f>
        <v>0</v>
      </c>
      <c r="AM9" s="29">
        <f t="shared" si="1"/>
        <v>-4617.6</v>
      </c>
      <c r="AN9" s="31">
        <f t="shared" si="2"/>
        <v>-1</v>
      </c>
      <c r="AO9" s="10">
        <f t="shared" si="3"/>
        <v>2585.856</v>
      </c>
      <c r="AP9" s="10">
        <f t="shared" si="4"/>
        <v>-9235.2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IFERROR(__xludf.DUMMYFUNCTION("""COMPUTED_VALUE"""),"[IM] Form G4 Facebook Ads - K")</f>
        <v>[IM] Form G4 Facebook Ads - K</v>
      </c>
      <c r="B10" s="18"/>
      <c r="C10" s="19">
        <f>IFERROR(__xludf.DUMMYFUNCTION("""COMPUTED_VALUE"""),0.0)</f>
        <v>0</v>
      </c>
      <c r="D10" s="20">
        <f>IFERROR(__xludf.DUMMYFUNCTION("""COMPUTED_VALUE"""),0.0)</f>
        <v>0</v>
      </c>
      <c r="E10" s="21" t="str">
        <f>IFERROR(__xludf.DUMMYFUNCTION("""COMPUTED_VALUE"""),"")</f>
        <v/>
      </c>
      <c r="F10" s="22"/>
      <c r="G10" s="22" t="str">
        <f>IFERROR(__xludf.DUMMYFUNCTION("""COMPUTED_VALUE"""),"")</f>
        <v/>
      </c>
      <c r="H10" s="23" t="str">
        <f>IFERROR(__xludf.DUMMYFUNCTION("""COMPUTED_VALUE"""),"")</f>
        <v/>
      </c>
      <c r="I10" s="18"/>
      <c r="J10" s="19">
        <f>IFERROR(__xludf.DUMMYFUNCTION("""COMPUTED_VALUE"""),0.0)</f>
        <v>0</v>
      </c>
      <c r="K10" s="20">
        <f>IFERROR(__xludf.DUMMYFUNCTION("""COMPUTED_VALUE"""),0.0)</f>
        <v>0</v>
      </c>
      <c r="L10" s="21" t="str">
        <f>IFERROR(__xludf.DUMMYFUNCTION("""COMPUTED_VALUE"""),"")</f>
        <v/>
      </c>
      <c r="M10" s="24"/>
      <c r="N10" s="22" t="str">
        <f>IFERROR(__xludf.DUMMYFUNCTION("""COMPUTED_VALUE"""),"")</f>
        <v/>
      </c>
      <c r="O10" s="25" t="str">
        <f>IFERROR(__xludf.DUMMYFUNCTION("""COMPUTED_VALUE"""),"")</f>
        <v/>
      </c>
      <c r="P10" s="18"/>
      <c r="Q10" s="19">
        <f>IFERROR(__xludf.DUMMYFUNCTION("""COMPUTED_VALUE"""),4.0)</f>
        <v>4</v>
      </c>
      <c r="R10" s="20">
        <f>IFERROR(__xludf.DUMMYFUNCTION("""COMPUTED_VALUE"""),4.0)</f>
        <v>4</v>
      </c>
      <c r="S10" s="26" t="str">
        <f>IFERROR(__xludf.DUMMYFUNCTION("""COMPUTED_VALUE"""),"")</f>
        <v/>
      </c>
      <c r="T10" s="22"/>
      <c r="U10" s="22">
        <f>IFERROR(__xludf.DUMMYFUNCTION("""COMPUTED_VALUE"""),0.25)</f>
        <v>0.25</v>
      </c>
      <c r="V10" s="23" t="str">
        <f>IFERROR(__xludf.DUMMYFUNCTION("""COMPUTED_VALUE"""),"")</f>
        <v/>
      </c>
      <c r="W10" s="18"/>
      <c r="X10" s="19">
        <f>IFERROR(__xludf.DUMMYFUNCTION("""COMPUTED_VALUE"""),1.0)</f>
        <v>1</v>
      </c>
      <c r="Y10" s="20">
        <f>IFERROR(__xludf.DUMMYFUNCTION("""COMPUTED_VALUE"""),1.0)</f>
        <v>1</v>
      </c>
      <c r="Z10" s="27" t="str">
        <f>IFERROR(__xludf.DUMMYFUNCTION("""COMPUTED_VALUE"""),"")</f>
        <v/>
      </c>
      <c r="AA10" s="18"/>
      <c r="AB10" s="19">
        <f>IFERROR(__xludf.DUMMYFUNCTION("""COMPUTED_VALUE"""),1697.0)</f>
        <v>1697</v>
      </c>
      <c r="AC10" s="20">
        <f>IFERROR(__xludf.DUMMYFUNCTION("""COMPUTED_VALUE"""),1697.0)</f>
        <v>1697</v>
      </c>
      <c r="AD10" s="27" t="str">
        <f>IFERROR(__xludf.DUMMYFUNCTION("""COMPUTED_VALUE"""),"")</f>
        <v/>
      </c>
      <c r="AE10" s="18"/>
      <c r="AF10" s="19">
        <f>IFERROR(__xludf.DUMMYFUNCTION("""COMPUTED_VALUE"""),1697.0)</f>
        <v>1697</v>
      </c>
      <c r="AG10" s="20">
        <f>IFERROR(__xludf.DUMMYFUNCTION("""COMPUTED_VALUE"""),1697.0)</f>
        <v>1697</v>
      </c>
      <c r="AH10" s="28" t="str">
        <f>IFERROR(__xludf.DUMMYFUNCTION("""COMPUTED_VALUE"""),"")</f>
        <v/>
      </c>
      <c r="AI10" s="29">
        <f>IFERROR(__xludf.DUMMYFUNCTION("""COMPUTED_VALUE"""),0.0)</f>
        <v>0</v>
      </c>
      <c r="AJ10" s="29">
        <f>IFERROR(__xludf.DUMMYFUNCTION("""COMPUTED_VALUE"""),0.0)</f>
        <v>0</v>
      </c>
      <c r="AK10" s="4"/>
      <c r="AL10" s="30">
        <f>IFERROR(__xludf.DUMMYFUNCTION("""COMPUTED_VALUE"""),424.25)</f>
        <v>424.25</v>
      </c>
      <c r="AM10" s="29">
        <f t="shared" si="1"/>
        <v>424.25</v>
      </c>
      <c r="AN10" s="31" t="str">
        <f t="shared" si="2"/>
        <v>#DIV/0!</v>
      </c>
      <c r="AO10" s="10">
        <f t="shared" si="3"/>
        <v>0</v>
      </c>
      <c r="AP10" s="10">
        <f t="shared" si="4"/>
        <v>0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IFERROR(__xludf.DUMMYFUNCTION("""COMPUTED_VALUE"""),"[SKL] Midia Paga - Frio")</f>
        <v>[SKL] Midia Paga - Frio</v>
      </c>
      <c r="B11" s="18"/>
      <c r="C11" s="19">
        <f>IFERROR(__xludf.DUMMYFUNCTION("""COMPUTED_VALUE"""),0.0)</f>
        <v>0</v>
      </c>
      <c r="D11" s="20">
        <f>IFERROR(__xludf.DUMMYFUNCTION("""COMPUTED_VALUE"""),0.0)</f>
        <v>0</v>
      </c>
      <c r="E11" s="21" t="str">
        <f>IFERROR(__xludf.DUMMYFUNCTION("""COMPUTED_VALUE"""),"")</f>
        <v/>
      </c>
      <c r="F11" s="22"/>
      <c r="G11" s="22" t="str">
        <f>IFERROR(__xludf.DUMMYFUNCTION("""COMPUTED_VALUE"""),"")</f>
        <v/>
      </c>
      <c r="H11" s="23" t="str">
        <f>IFERROR(__xludf.DUMMYFUNCTION("""COMPUTED_VALUE"""),"")</f>
        <v/>
      </c>
      <c r="I11" s="18"/>
      <c r="J11" s="19">
        <f>IFERROR(__xludf.DUMMYFUNCTION("""COMPUTED_VALUE"""),0.0)</f>
        <v>0</v>
      </c>
      <c r="K11" s="20">
        <f>IFERROR(__xludf.DUMMYFUNCTION("""COMPUTED_VALUE"""),0.0)</f>
        <v>0</v>
      </c>
      <c r="L11" s="21" t="str">
        <f>IFERROR(__xludf.DUMMYFUNCTION("""COMPUTED_VALUE"""),"")</f>
        <v/>
      </c>
      <c r="M11" s="24"/>
      <c r="N11" s="22" t="str">
        <f>IFERROR(__xludf.DUMMYFUNCTION("""COMPUTED_VALUE"""),"")</f>
        <v/>
      </c>
      <c r="O11" s="25" t="str">
        <f>IFERROR(__xludf.DUMMYFUNCTION("""COMPUTED_VALUE"""),"")</f>
        <v/>
      </c>
      <c r="P11" s="18"/>
      <c r="Q11" s="19">
        <f>IFERROR(__xludf.DUMMYFUNCTION("""COMPUTED_VALUE"""),8.0)</f>
        <v>8</v>
      </c>
      <c r="R11" s="20">
        <f>IFERROR(__xludf.DUMMYFUNCTION("""COMPUTED_VALUE"""),8.0)</f>
        <v>8</v>
      </c>
      <c r="S11" s="26" t="str">
        <f>IFERROR(__xludf.DUMMYFUNCTION("""COMPUTED_VALUE"""),"")</f>
        <v/>
      </c>
      <c r="T11" s="22"/>
      <c r="U11" s="22">
        <f>IFERROR(__xludf.DUMMYFUNCTION("""COMPUTED_VALUE"""),0.0)</f>
        <v>0</v>
      </c>
      <c r="V11" s="23" t="str">
        <f>IFERROR(__xludf.DUMMYFUNCTION("""COMPUTED_VALUE"""),"")</f>
        <v/>
      </c>
      <c r="W11" s="18"/>
      <c r="X11" s="19">
        <f>IFERROR(__xludf.DUMMYFUNCTION("""COMPUTED_VALUE"""),0.0)</f>
        <v>0</v>
      </c>
      <c r="Y11" s="20">
        <f>IFERROR(__xludf.DUMMYFUNCTION("""COMPUTED_VALUE"""),0.0)</f>
        <v>0</v>
      </c>
      <c r="Z11" s="27" t="str">
        <f>IFERROR(__xludf.DUMMYFUNCTION("""COMPUTED_VALUE"""),"")</f>
        <v/>
      </c>
      <c r="AA11" s="18"/>
      <c r="AB11" s="19">
        <f>IFERROR(__xludf.DUMMYFUNCTION("""COMPUTED_VALUE"""),0.0)</f>
        <v>0</v>
      </c>
      <c r="AC11" s="20">
        <f>IFERROR(__xludf.DUMMYFUNCTION("""COMPUTED_VALUE"""),0.0)</f>
        <v>0</v>
      </c>
      <c r="AD11" s="27" t="str">
        <f>IFERROR(__xludf.DUMMYFUNCTION("""COMPUTED_VALUE"""),"")</f>
        <v/>
      </c>
      <c r="AE11" s="18"/>
      <c r="AF11" s="19">
        <f>IFERROR(__xludf.DUMMYFUNCTION("""COMPUTED_VALUE"""),0.0)</f>
        <v>0</v>
      </c>
      <c r="AG11" s="20">
        <f>IFERROR(__xludf.DUMMYFUNCTION("""COMPUTED_VALUE"""),0.0)</f>
        <v>0</v>
      </c>
      <c r="AH11" s="28" t="str">
        <f>IFERROR(__xludf.DUMMYFUNCTION("""COMPUTED_VALUE"""),"")</f>
        <v/>
      </c>
      <c r="AI11" s="29">
        <f>IFERROR(__xludf.DUMMYFUNCTION("""COMPUTED_VALUE"""),0.0)</f>
        <v>0</v>
      </c>
      <c r="AJ11" s="29">
        <f>IFERROR(__xludf.DUMMYFUNCTION("""COMPUTED_VALUE"""),0.0)</f>
        <v>0</v>
      </c>
      <c r="AK11" s="4"/>
      <c r="AL11" s="30">
        <f>IFERROR(__xludf.DUMMYFUNCTION("""COMPUTED_VALUE"""),0.0)</f>
        <v>0</v>
      </c>
      <c r="AM11" s="29">
        <f t="shared" si="1"/>
        <v>0</v>
      </c>
      <c r="AN11" s="31" t="str">
        <f t="shared" si="2"/>
        <v>#DIV/0!</v>
      </c>
      <c r="AO11" s="10">
        <f t="shared" si="3"/>
        <v>0</v>
      </c>
      <c r="AP11" s="10">
        <f t="shared" si="4"/>
        <v>0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IFERROR(__xludf.DUMMYFUNCTION("""COMPUTED_VALUE"""),"Form G4 - K Instagram")</f>
        <v>Form G4 - K Instagram</v>
      </c>
      <c r="B12" s="18"/>
      <c r="C12" s="19">
        <f>IFERROR(__xludf.DUMMYFUNCTION("""COMPUTED_VALUE"""),0.0)</f>
        <v>0</v>
      </c>
      <c r="D12" s="20">
        <f>IFERROR(__xludf.DUMMYFUNCTION("""COMPUTED_VALUE"""),0.0)</f>
        <v>0</v>
      </c>
      <c r="E12" s="21" t="str">
        <f>IFERROR(__xludf.DUMMYFUNCTION("""COMPUTED_VALUE"""),"")</f>
        <v/>
      </c>
      <c r="F12" s="22"/>
      <c r="G12" s="22" t="str">
        <f>IFERROR(__xludf.DUMMYFUNCTION("""COMPUTED_VALUE"""),"")</f>
        <v/>
      </c>
      <c r="H12" s="23" t="str">
        <f>IFERROR(__xludf.DUMMYFUNCTION("""COMPUTED_VALUE"""),"")</f>
        <v/>
      </c>
      <c r="I12" s="18"/>
      <c r="J12" s="19">
        <f>IFERROR(__xludf.DUMMYFUNCTION("""COMPUTED_VALUE"""),0.0)</f>
        <v>0</v>
      </c>
      <c r="K12" s="20">
        <f>IFERROR(__xludf.DUMMYFUNCTION("""COMPUTED_VALUE"""),0.0)</f>
        <v>0</v>
      </c>
      <c r="L12" s="21" t="str">
        <f>IFERROR(__xludf.DUMMYFUNCTION("""COMPUTED_VALUE"""),"")</f>
        <v/>
      </c>
      <c r="M12" s="24"/>
      <c r="N12" s="22" t="str">
        <f>IFERROR(__xludf.DUMMYFUNCTION("""COMPUTED_VALUE"""),"")</f>
        <v/>
      </c>
      <c r="O12" s="25" t="str">
        <f>IFERROR(__xludf.DUMMYFUNCTION("""COMPUTED_VALUE"""),"")</f>
        <v/>
      </c>
      <c r="P12" s="18"/>
      <c r="Q12" s="19">
        <f>IFERROR(__xludf.DUMMYFUNCTION("""COMPUTED_VALUE"""),4.0)</f>
        <v>4</v>
      </c>
      <c r="R12" s="20">
        <f>IFERROR(__xludf.DUMMYFUNCTION("""COMPUTED_VALUE"""),4.0)</f>
        <v>4</v>
      </c>
      <c r="S12" s="26" t="str">
        <f>IFERROR(__xludf.DUMMYFUNCTION("""COMPUTED_VALUE"""),"")</f>
        <v/>
      </c>
      <c r="T12" s="22"/>
      <c r="U12" s="22">
        <f>IFERROR(__xludf.DUMMYFUNCTION("""COMPUTED_VALUE"""),0.0)</f>
        <v>0</v>
      </c>
      <c r="V12" s="23" t="str">
        <f>IFERROR(__xludf.DUMMYFUNCTION("""COMPUTED_VALUE"""),"")</f>
        <v/>
      </c>
      <c r="W12" s="18"/>
      <c r="X12" s="19">
        <f>IFERROR(__xludf.DUMMYFUNCTION("""COMPUTED_VALUE"""),0.0)</f>
        <v>0</v>
      </c>
      <c r="Y12" s="20">
        <f>IFERROR(__xludf.DUMMYFUNCTION("""COMPUTED_VALUE"""),0.0)</f>
        <v>0</v>
      </c>
      <c r="Z12" s="27" t="str">
        <f>IFERROR(__xludf.DUMMYFUNCTION("""COMPUTED_VALUE"""),"")</f>
        <v/>
      </c>
      <c r="AA12" s="18"/>
      <c r="AB12" s="19">
        <f>IFERROR(__xludf.DUMMYFUNCTION("""COMPUTED_VALUE"""),0.0)</f>
        <v>0</v>
      </c>
      <c r="AC12" s="20">
        <f>IFERROR(__xludf.DUMMYFUNCTION("""COMPUTED_VALUE"""),0.0)</f>
        <v>0</v>
      </c>
      <c r="AD12" s="27" t="str">
        <f>IFERROR(__xludf.DUMMYFUNCTION("""COMPUTED_VALUE"""),"")</f>
        <v/>
      </c>
      <c r="AE12" s="18"/>
      <c r="AF12" s="19">
        <f>IFERROR(__xludf.DUMMYFUNCTION("""COMPUTED_VALUE"""),0.0)</f>
        <v>0</v>
      </c>
      <c r="AG12" s="20">
        <f>IFERROR(__xludf.DUMMYFUNCTION("""COMPUTED_VALUE"""),0.0)</f>
        <v>0</v>
      </c>
      <c r="AH12" s="28" t="str">
        <f>IFERROR(__xludf.DUMMYFUNCTION("""COMPUTED_VALUE"""),"")</f>
        <v/>
      </c>
      <c r="AI12" s="29">
        <f>IFERROR(__xludf.DUMMYFUNCTION("""COMPUTED_VALUE"""),0.0)</f>
        <v>0</v>
      </c>
      <c r="AJ12" s="29">
        <f>IFERROR(__xludf.DUMMYFUNCTION("""COMPUTED_VALUE"""),0.0)</f>
        <v>0</v>
      </c>
      <c r="AK12" s="4"/>
      <c r="AL12" s="30">
        <f>IFERROR(__xludf.DUMMYFUNCTION("""COMPUTED_VALUE"""),0.0)</f>
        <v>0</v>
      </c>
      <c r="AM12" s="29">
        <f t="shared" si="1"/>
        <v>0</v>
      </c>
      <c r="AN12" s="31" t="str">
        <f t="shared" si="2"/>
        <v>#DIV/0!</v>
      </c>
      <c r="AO12" s="10">
        <f t="shared" si="3"/>
        <v>0</v>
      </c>
      <c r="AP12" s="10">
        <f t="shared" si="4"/>
        <v>0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G4 - K Outros")</f>
        <v>Form G4 - K Outros</v>
      </c>
      <c r="B13" s="18"/>
      <c r="C13" s="19">
        <f>IFERROR(__xludf.DUMMYFUNCTION("""COMPUTED_VALUE"""),0.0)</f>
        <v>0</v>
      </c>
      <c r="D13" s="20">
        <f>IFERROR(__xludf.DUMMYFUNCTION("""COMPUTED_VALUE"""),0.0)</f>
        <v>0</v>
      </c>
      <c r="E13" s="21" t="str">
        <f>IFERROR(__xludf.DUMMYFUNCTION("""COMPUTED_VALUE"""),"")</f>
        <v/>
      </c>
      <c r="F13" s="22"/>
      <c r="G13" s="22" t="str">
        <f>IFERROR(__xludf.DUMMYFUNCTION("""COMPUTED_VALUE"""),"")</f>
        <v/>
      </c>
      <c r="H13" s="23" t="str">
        <f>IFERROR(__xludf.DUMMYFUNCTION("""COMPUTED_VALUE"""),"")</f>
        <v/>
      </c>
      <c r="I13" s="18"/>
      <c r="J13" s="19">
        <f>IFERROR(__xludf.DUMMYFUNCTION("""COMPUTED_VALUE"""),0.0)</f>
        <v>0</v>
      </c>
      <c r="K13" s="20">
        <f>IFERROR(__xludf.DUMMYFUNCTION("""COMPUTED_VALUE"""),0.0)</f>
        <v>0</v>
      </c>
      <c r="L13" s="21" t="str">
        <f>IFERROR(__xludf.DUMMYFUNCTION("""COMPUTED_VALUE"""),"")</f>
        <v/>
      </c>
      <c r="M13" s="24"/>
      <c r="N13" s="22" t="str">
        <f>IFERROR(__xludf.DUMMYFUNCTION("""COMPUTED_VALUE"""),"")</f>
        <v/>
      </c>
      <c r="O13" s="25" t="str">
        <f>IFERROR(__xludf.DUMMYFUNCTION("""COMPUTED_VALUE"""),"")</f>
        <v/>
      </c>
      <c r="P13" s="18"/>
      <c r="Q13" s="19">
        <f>IFERROR(__xludf.DUMMYFUNCTION("""COMPUTED_VALUE"""),3.0)</f>
        <v>3</v>
      </c>
      <c r="R13" s="20">
        <f>IFERROR(__xludf.DUMMYFUNCTION("""COMPUTED_VALUE"""),3.0)</f>
        <v>3</v>
      </c>
      <c r="S13" s="26" t="str">
        <f>IFERROR(__xludf.DUMMYFUNCTION("""COMPUTED_VALUE"""),"")</f>
        <v/>
      </c>
      <c r="T13" s="22"/>
      <c r="U13" s="22">
        <f>IFERROR(__xludf.DUMMYFUNCTION("""COMPUTED_VALUE"""),0.0)</f>
        <v>0</v>
      </c>
      <c r="V13" s="23" t="str">
        <f>IFERROR(__xludf.DUMMYFUNCTION("""COMPUTED_VALUE"""),"")</f>
        <v/>
      </c>
      <c r="W13" s="18"/>
      <c r="X13" s="19">
        <f>IFERROR(__xludf.DUMMYFUNCTION("""COMPUTED_VALUE"""),0.0)</f>
        <v>0</v>
      </c>
      <c r="Y13" s="20">
        <f>IFERROR(__xludf.DUMMYFUNCTION("""COMPUTED_VALUE"""),0.0)</f>
        <v>0</v>
      </c>
      <c r="Z13" s="27" t="str">
        <f>IFERROR(__xludf.DUMMYFUNCTION("""COMPUTED_VALUE"""),"")</f>
        <v/>
      </c>
      <c r="AA13" s="18"/>
      <c r="AB13" s="19">
        <f>IFERROR(__xludf.DUMMYFUNCTION("""COMPUTED_VALUE"""),0.0)</f>
        <v>0</v>
      </c>
      <c r="AC13" s="20">
        <f>IFERROR(__xludf.DUMMYFUNCTION("""COMPUTED_VALUE"""),0.0)</f>
        <v>0</v>
      </c>
      <c r="AD13" s="27" t="str">
        <f>IFERROR(__xludf.DUMMYFUNCTION("""COMPUTED_VALUE"""),"")</f>
        <v/>
      </c>
      <c r="AE13" s="18"/>
      <c r="AF13" s="19">
        <f>IFERROR(__xludf.DUMMYFUNCTION("""COMPUTED_VALUE"""),0.0)</f>
        <v>0</v>
      </c>
      <c r="AG13" s="20">
        <f>IFERROR(__xludf.DUMMYFUNCTION("""COMPUTED_VALUE"""),0.0)</f>
        <v>0</v>
      </c>
      <c r="AH13" s="28" t="str">
        <f>IFERROR(__xludf.DUMMYFUNCTION("""COMPUTED_VALUE"""),"")</f>
        <v/>
      </c>
      <c r="AI13" s="29">
        <f>IFERROR(__xludf.DUMMYFUNCTION("""COMPUTED_VALUE"""),0.0)</f>
        <v>0</v>
      </c>
      <c r="AJ13" s="29">
        <f>IFERROR(__xludf.DUMMYFUNCTION("""COMPUTED_VALUE"""),0.0)</f>
        <v>0</v>
      </c>
      <c r="AK13" s="4"/>
      <c r="AL13" s="30">
        <f>IFERROR(__xludf.DUMMYFUNCTION("""COMPUTED_VALUE"""),0.0)</f>
        <v>0</v>
      </c>
      <c r="AM13" s="29">
        <f t="shared" si="1"/>
        <v>0</v>
      </c>
      <c r="AN13" s="31" t="str">
        <f t="shared" si="2"/>
        <v>#DIV/0!</v>
      </c>
      <c r="AO13" s="10">
        <f t="shared" si="3"/>
        <v>0</v>
      </c>
      <c r="AP13" s="10">
        <f t="shared" si="4"/>
        <v>0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IFERROR(__xludf.DUMMYFUNCTION("""COMPUTED_VALUE"""),"Form G4 Incompleto Instagram")</f>
        <v>Form G4 Incompleto Instagram</v>
      </c>
      <c r="B14" s="18"/>
      <c r="C14" s="19">
        <f>IFERROR(__xludf.DUMMYFUNCTION("""COMPUTED_VALUE"""),0.0)</f>
        <v>0</v>
      </c>
      <c r="D14" s="20">
        <f>IFERROR(__xludf.DUMMYFUNCTION("""COMPUTED_VALUE"""),0.0)</f>
        <v>0</v>
      </c>
      <c r="E14" s="21" t="str">
        <f>IFERROR(__xludf.DUMMYFUNCTION("""COMPUTED_VALUE"""),"")</f>
        <v/>
      </c>
      <c r="F14" s="22"/>
      <c r="G14" s="22" t="str">
        <f>IFERROR(__xludf.DUMMYFUNCTION("""COMPUTED_VALUE"""),"")</f>
        <v/>
      </c>
      <c r="H14" s="23" t="str">
        <f>IFERROR(__xludf.DUMMYFUNCTION("""COMPUTED_VALUE"""),"")</f>
        <v/>
      </c>
      <c r="I14" s="18"/>
      <c r="J14" s="19">
        <f>IFERROR(__xludf.DUMMYFUNCTION("""COMPUTED_VALUE"""),0.0)</f>
        <v>0</v>
      </c>
      <c r="K14" s="20">
        <f>IFERROR(__xludf.DUMMYFUNCTION("""COMPUTED_VALUE"""),0.0)</f>
        <v>0</v>
      </c>
      <c r="L14" s="21" t="str">
        <f>IFERROR(__xludf.DUMMYFUNCTION("""COMPUTED_VALUE"""),"")</f>
        <v/>
      </c>
      <c r="M14" s="24"/>
      <c r="N14" s="22" t="str">
        <f>IFERROR(__xludf.DUMMYFUNCTION("""COMPUTED_VALUE"""),"")</f>
        <v/>
      </c>
      <c r="O14" s="25" t="str">
        <f>IFERROR(__xludf.DUMMYFUNCTION("""COMPUTED_VALUE"""),"")</f>
        <v/>
      </c>
      <c r="P14" s="18"/>
      <c r="Q14" s="19">
        <f>IFERROR(__xludf.DUMMYFUNCTION("""COMPUTED_VALUE"""),4.0)</f>
        <v>4</v>
      </c>
      <c r="R14" s="20">
        <f>IFERROR(__xludf.DUMMYFUNCTION("""COMPUTED_VALUE"""),4.0)</f>
        <v>4</v>
      </c>
      <c r="S14" s="26" t="str">
        <f>IFERROR(__xludf.DUMMYFUNCTION("""COMPUTED_VALUE"""),"")</f>
        <v/>
      </c>
      <c r="T14" s="22"/>
      <c r="U14" s="22">
        <f>IFERROR(__xludf.DUMMYFUNCTION("""COMPUTED_VALUE"""),0.0)</f>
        <v>0</v>
      </c>
      <c r="V14" s="23" t="str">
        <f>IFERROR(__xludf.DUMMYFUNCTION("""COMPUTED_VALUE"""),"")</f>
        <v/>
      </c>
      <c r="W14" s="18"/>
      <c r="X14" s="19">
        <f>IFERROR(__xludf.DUMMYFUNCTION("""COMPUTED_VALUE"""),0.0)</f>
        <v>0</v>
      </c>
      <c r="Y14" s="20">
        <f>IFERROR(__xludf.DUMMYFUNCTION("""COMPUTED_VALUE"""),0.0)</f>
        <v>0</v>
      </c>
      <c r="Z14" s="27" t="str">
        <f>IFERROR(__xludf.DUMMYFUNCTION("""COMPUTED_VALUE"""),"")</f>
        <v/>
      </c>
      <c r="AA14" s="18"/>
      <c r="AB14" s="19">
        <f>IFERROR(__xludf.DUMMYFUNCTION("""COMPUTED_VALUE"""),0.0)</f>
        <v>0</v>
      </c>
      <c r="AC14" s="20">
        <f>IFERROR(__xludf.DUMMYFUNCTION("""COMPUTED_VALUE"""),0.0)</f>
        <v>0</v>
      </c>
      <c r="AD14" s="27" t="str">
        <f>IFERROR(__xludf.DUMMYFUNCTION("""COMPUTED_VALUE"""),"")</f>
        <v/>
      </c>
      <c r="AE14" s="18"/>
      <c r="AF14" s="19">
        <f>IFERROR(__xludf.DUMMYFUNCTION("""COMPUTED_VALUE"""),0.0)</f>
        <v>0</v>
      </c>
      <c r="AG14" s="20">
        <f>IFERROR(__xludf.DUMMYFUNCTION("""COMPUTED_VALUE"""),0.0)</f>
        <v>0</v>
      </c>
      <c r="AH14" s="28" t="str">
        <f>IFERROR(__xludf.DUMMYFUNCTION("""COMPUTED_VALUE"""),"")</f>
        <v/>
      </c>
      <c r="AI14" s="29">
        <f>IFERROR(__xludf.DUMMYFUNCTION("""COMPUTED_VALUE"""),0.0)</f>
        <v>0</v>
      </c>
      <c r="AJ14" s="29">
        <f>IFERROR(__xludf.DUMMYFUNCTION("""COMPUTED_VALUE"""),0.0)</f>
        <v>0</v>
      </c>
      <c r="AK14" s="4"/>
      <c r="AL14" s="30">
        <f>IFERROR(__xludf.DUMMYFUNCTION("""COMPUTED_VALUE"""),0.0)</f>
        <v>0</v>
      </c>
      <c r="AM14" s="29">
        <f t="shared" si="1"/>
        <v>0</v>
      </c>
      <c r="AN14" s="31" t="str">
        <f t="shared" si="2"/>
        <v>#DIV/0!</v>
      </c>
      <c r="AO14" s="10">
        <f t="shared" si="3"/>
        <v>0</v>
      </c>
      <c r="AP14" s="10">
        <f t="shared" si="4"/>
        <v>0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IFERROR(__xludf.DUMMYFUNCTION("""COMPUTED_VALUE"""),"Form G4 Incompleto Outros")</f>
        <v>Form G4 Incompleto Outros</v>
      </c>
      <c r="B15" s="18"/>
      <c r="C15" s="19">
        <f>IFERROR(__xludf.DUMMYFUNCTION("""COMPUTED_VALUE"""),0.0)</f>
        <v>0</v>
      </c>
      <c r="D15" s="20">
        <f>IFERROR(__xludf.DUMMYFUNCTION("""COMPUTED_VALUE"""),0.0)</f>
        <v>0</v>
      </c>
      <c r="E15" s="21" t="str">
        <f>IFERROR(__xludf.DUMMYFUNCTION("""COMPUTED_VALUE"""),"")</f>
        <v/>
      </c>
      <c r="F15" s="22"/>
      <c r="G15" s="22" t="str">
        <f>IFERROR(__xludf.DUMMYFUNCTION("""COMPUTED_VALUE"""),"")</f>
        <v/>
      </c>
      <c r="H15" s="23" t="str">
        <f>IFERROR(__xludf.DUMMYFUNCTION("""COMPUTED_VALUE"""),"")</f>
        <v/>
      </c>
      <c r="I15" s="18"/>
      <c r="J15" s="19">
        <f>IFERROR(__xludf.DUMMYFUNCTION("""COMPUTED_VALUE"""),0.0)</f>
        <v>0</v>
      </c>
      <c r="K15" s="20">
        <f>IFERROR(__xludf.DUMMYFUNCTION("""COMPUTED_VALUE"""),0.0)</f>
        <v>0</v>
      </c>
      <c r="L15" s="21" t="str">
        <f>IFERROR(__xludf.DUMMYFUNCTION("""COMPUTED_VALUE"""),"")</f>
        <v/>
      </c>
      <c r="M15" s="24"/>
      <c r="N15" s="22" t="str">
        <f>IFERROR(__xludf.DUMMYFUNCTION("""COMPUTED_VALUE"""),"")</f>
        <v/>
      </c>
      <c r="O15" s="25" t="str">
        <f>IFERROR(__xludf.DUMMYFUNCTION("""COMPUTED_VALUE"""),"")</f>
        <v/>
      </c>
      <c r="P15" s="18"/>
      <c r="Q15" s="19">
        <f>IFERROR(__xludf.DUMMYFUNCTION("""COMPUTED_VALUE"""),1.0)</f>
        <v>1</v>
      </c>
      <c r="R15" s="20">
        <f>IFERROR(__xludf.DUMMYFUNCTION("""COMPUTED_VALUE"""),1.0)</f>
        <v>1</v>
      </c>
      <c r="S15" s="26" t="str">
        <f>IFERROR(__xludf.DUMMYFUNCTION("""COMPUTED_VALUE"""),"")</f>
        <v/>
      </c>
      <c r="T15" s="22"/>
      <c r="U15" s="22">
        <f>IFERROR(__xludf.DUMMYFUNCTION("""COMPUTED_VALUE"""),0.0)</f>
        <v>0</v>
      </c>
      <c r="V15" s="23" t="str">
        <f>IFERROR(__xludf.DUMMYFUNCTION("""COMPUTED_VALUE"""),"")</f>
        <v/>
      </c>
      <c r="W15" s="18"/>
      <c r="X15" s="19">
        <f>IFERROR(__xludf.DUMMYFUNCTION("""COMPUTED_VALUE"""),0.0)</f>
        <v>0</v>
      </c>
      <c r="Y15" s="20">
        <f>IFERROR(__xludf.DUMMYFUNCTION("""COMPUTED_VALUE"""),0.0)</f>
        <v>0</v>
      </c>
      <c r="Z15" s="27" t="str">
        <f>IFERROR(__xludf.DUMMYFUNCTION("""COMPUTED_VALUE"""),"")</f>
        <v/>
      </c>
      <c r="AA15" s="18"/>
      <c r="AB15" s="19">
        <f>IFERROR(__xludf.DUMMYFUNCTION("""COMPUTED_VALUE"""),0.0)</f>
        <v>0</v>
      </c>
      <c r="AC15" s="20">
        <f>IFERROR(__xludf.DUMMYFUNCTION("""COMPUTED_VALUE"""),0.0)</f>
        <v>0</v>
      </c>
      <c r="AD15" s="27" t="str">
        <f>IFERROR(__xludf.DUMMYFUNCTION("""COMPUTED_VALUE"""),"")</f>
        <v/>
      </c>
      <c r="AE15" s="18"/>
      <c r="AF15" s="19">
        <f>IFERROR(__xludf.DUMMYFUNCTION("""COMPUTED_VALUE"""),0.0)</f>
        <v>0</v>
      </c>
      <c r="AG15" s="20">
        <f>IFERROR(__xludf.DUMMYFUNCTION("""COMPUTED_VALUE"""),0.0)</f>
        <v>0</v>
      </c>
      <c r="AH15" s="28" t="str">
        <f>IFERROR(__xludf.DUMMYFUNCTION("""COMPUTED_VALUE"""),"")</f>
        <v/>
      </c>
      <c r="AI15" s="29">
        <f>IFERROR(__xludf.DUMMYFUNCTION("""COMPUTED_VALUE"""),0.0)</f>
        <v>0</v>
      </c>
      <c r="AJ15" s="29">
        <f>IFERROR(__xludf.DUMMYFUNCTION("""COMPUTED_VALUE"""),0.0)</f>
        <v>0</v>
      </c>
      <c r="AK15" s="4"/>
      <c r="AL15" s="30">
        <f>IFERROR(__xludf.DUMMYFUNCTION("""COMPUTED_VALUE"""),0.0)</f>
        <v>0</v>
      </c>
      <c r="AM15" s="29">
        <f t="shared" si="1"/>
        <v>0</v>
      </c>
      <c r="AN15" s="31" t="str">
        <f t="shared" si="2"/>
        <v>#DIV/0!</v>
      </c>
      <c r="AO15" s="10">
        <f t="shared" si="3"/>
        <v>0</v>
      </c>
      <c r="AP15" s="10">
        <f t="shared" si="4"/>
        <v>0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/>
      <c r="B16" s="18"/>
      <c r="C16" s="19"/>
      <c r="D16" s="20"/>
      <c r="E16" s="21"/>
      <c r="F16" s="22"/>
      <c r="G16" s="22"/>
      <c r="H16" s="23"/>
      <c r="I16" s="18"/>
      <c r="J16" s="19"/>
      <c r="K16" s="20"/>
      <c r="L16" s="21"/>
      <c r="M16" s="24"/>
      <c r="N16" s="22"/>
      <c r="O16" s="25"/>
      <c r="P16" s="18"/>
      <c r="Q16" s="19"/>
      <c r="R16" s="20"/>
      <c r="S16" s="26"/>
      <c r="T16" s="22"/>
      <c r="U16" s="22"/>
      <c r="V16" s="23"/>
      <c r="W16" s="18"/>
      <c r="X16" s="19"/>
      <c r="Y16" s="20"/>
      <c r="Z16" s="27"/>
      <c r="AA16" s="18"/>
      <c r="AB16" s="19"/>
      <c r="AC16" s="20"/>
      <c r="AD16" s="27"/>
      <c r="AE16" s="18"/>
      <c r="AF16" s="19"/>
      <c r="AG16" s="20"/>
      <c r="AH16" s="28"/>
      <c r="AI16" s="29"/>
      <c r="AJ16" s="29"/>
      <c r="AK16" s="4"/>
      <c r="AL16" s="30"/>
      <c r="AM16" s="29">
        <f t="shared" si="1"/>
        <v>0</v>
      </c>
      <c r="AN16" s="31" t="str">
        <f t="shared" si="2"/>
        <v>#DIV/0!</v>
      </c>
      <c r="AO16" s="10">
        <f t="shared" si="3"/>
        <v>0</v>
      </c>
      <c r="AP16" s="10">
        <f t="shared" si="4"/>
        <v>0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/>
      <c r="B17" s="18"/>
      <c r="C17" s="19"/>
      <c r="D17" s="20"/>
      <c r="E17" s="21"/>
      <c r="F17" s="22"/>
      <c r="G17" s="22"/>
      <c r="H17" s="23"/>
      <c r="I17" s="18"/>
      <c r="J17" s="19"/>
      <c r="K17" s="20"/>
      <c r="L17" s="21"/>
      <c r="M17" s="24"/>
      <c r="N17" s="22"/>
      <c r="O17" s="25"/>
      <c r="P17" s="18"/>
      <c r="Q17" s="19"/>
      <c r="R17" s="20"/>
      <c r="S17" s="26"/>
      <c r="T17" s="22"/>
      <c r="U17" s="22"/>
      <c r="V17" s="23"/>
      <c r="W17" s="18"/>
      <c r="X17" s="19"/>
      <c r="Y17" s="20"/>
      <c r="Z17" s="27"/>
      <c r="AA17" s="18"/>
      <c r="AB17" s="19"/>
      <c r="AC17" s="20"/>
      <c r="AD17" s="27"/>
      <c r="AE17" s="18"/>
      <c r="AF17" s="19"/>
      <c r="AG17" s="20"/>
      <c r="AH17" s="28"/>
      <c r="AI17" s="29"/>
      <c r="AJ17" s="29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/>
      <c r="B18" s="18"/>
      <c r="C18" s="19"/>
      <c r="D18" s="20"/>
      <c r="E18" s="21"/>
      <c r="F18" s="22"/>
      <c r="G18" s="22"/>
      <c r="H18" s="23"/>
      <c r="I18" s="18"/>
      <c r="J18" s="19"/>
      <c r="K18" s="20"/>
      <c r="L18" s="21"/>
      <c r="M18" s="24"/>
      <c r="N18" s="22"/>
      <c r="O18" s="25"/>
      <c r="P18" s="18"/>
      <c r="Q18" s="19"/>
      <c r="R18" s="20"/>
      <c r="S18" s="26"/>
      <c r="T18" s="22"/>
      <c r="U18" s="22"/>
      <c r="V18" s="23"/>
      <c r="W18" s="18"/>
      <c r="X18" s="19"/>
      <c r="Y18" s="20"/>
      <c r="Z18" s="27"/>
      <c r="AA18" s="18"/>
      <c r="AB18" s="19"/>
      <c r="AC18" s="20"/>
      <c r="AD18" s="27"/>
      <c r="AE18" s="18"/>
      <c r="AF18" s="19"/>
      <c r="AG18" s="20"/>
      <c r="AH18" s="28"/>
      <c r="AI18" s="29"/>
      <c r="AJ18" s="29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/>
      <c r="B19" s="18"/>
      <c r="C19" s="19"/>
      <c r="D19" s="20"/>
      <c r="E19" s="21"/>
      <c r="F19" s="22"/>
      <c r="G19" s="22"/>
      <c r="H19" s="23"/>
      <c r="I19" s="18"/>
      <c r="J19" s="19"/>
      <c r="K19" s="20"/>
      <c r="L19" s="21"/>
      <c r="M19" s="24"/>
      <c r="N19" s="22"/>
      <c r="O19" s="25"/>
      <c r="P19" s="18"/>
      <c r="Q19" s="19"/>
      <c r="R19" s="20"/>
      <c r="S19" s="26"/>
      <c r="T19" s="22"/>
      <c r="U19" s="22"/>
      <c r="V19" s="23"/>
      <c r="W19" s="18"/>
      <c r="X19" s="19"/>
      <c r="Y19" s="20"/>
      <c r="Z19" s="27"/>
      <c r="AA19" s="18"/>
      <c r="AB19" s="19"/>
      <c r="AC19" s="20"/>
      <c r="AD19" s="27"/>
      <c r="AE19" s="18"/>
      <c r="AF19" s="19"/>
      <c r="AG19" s="20"/>
      <c r="AH19" s="28"/>
      <c r="AI19" s="29"/>
      <c r="AJ19" s="29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/>
      <c r="B20" s="18"/>
      <c r="C20" s="19"/>
      <c r="D20" s="20"/>
      <c r="E20" s="21"/>
      <c r="F20" s="22"/>
      <c r="G20" s="22"/>
      <c r="H20" s="23"/>
      <c r="I20" s="18"/>
      <c r="J20" s="19"/>
      <c r="K20" s="20"/>
      <c r="L20" s="21"/>
      <c r="M20" s="24"/>
      <c r="N20" s="22"/>
      <c r="O20" s="25"/>
      <c r="P20" s="18"/>
      <c r="Q20" s="19"/>
      <c r="R20" s="20"/>
      <c r="S20" s="26"/>
      <c r="T20" s="22"/>
      <c r="U20" s="22"/>
      <c r="V20" s="23"/>
      <c r="W20" s="18"/>
      <c r="X20" s="19"/>
      <c r="Y20" s="20"/>
      <c r="Z20" s="27"/>
      <c r="AA20" s="18"/>
      <c r="AB20" s="19"/>
      <c r="AC20" s="20"/>
      <c r="AD20" s="27"/>
      <c r="AE20" s="18"/>
      <c r="AF20" s="19"/>
      <c r="AG20" s="20"/>
      <c r="AH20" s="28"/>
      <c r="AI20" s="29"/>
      <c r="AJ20" s="29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/>
      <c r="B21" s="18"/>
      <c r="C21" s="19"/>
      <c r="D21" s="20"/>
      <c r="E21" s="21"/>
      <c r="F21" s="22"/>
      <c r="G21" s="22"/>
      <c r="H21" s="23"/>
      <c r="I21" s="18"/>
      <c r="J21" s="19"/>
      <c r="K21" s="20"/>
      <c r="L21" s="21"/>
      <c r="M21" s="24"/>
      <c r="N21" s="22"/>
      <c r="O21" s="25"/>
      <c r="P21" s="18"/>
      <c r="Q21" s="19"/>
      <c r="R21" s="20"/>
      <c r="S21" s="26"/>
      <c r="T21" s="22"/>
      <c r="U21" s="22"/>
      <c r="V21" s="23"/>
      <c r="W21" s="18"/>
      <c r="X21" s="19"/>
      <c r="Y21" s="20"/>
      <c r="Z21" s="27"/>
      <c r="AA21" s="18"/>
      <c r="AB21" s="19"/>
      <c r="AC21" s="20"/>
      <c r="AD21" s="27"/>
      <c r="AE21" s="18"/>
      <c r="AF21" s="19"/>
      <c r="AG21" s="20"/>
      <c r="AH21" s="28"/>
      <c r="AI21" s="29"/>
      <c r="AJ21" s="29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/>
      <c r="B22" s="18"/>
      <c r="C22" s="19"/>
      <c r="D22" s="20"/>
      <c r="E22" s="21"/>
      <c r="F22" s="22"/>
      <c r="G22" s="22"/>
      <c r="H22" s="23"/>
      <c r="I22" s="18"/>
      <c r="J22" s="19"/>
      <c r="K22" s="20"/>
      <c r="L22" s="21"/>
      <c r="M22" s="24"/>
      <c r="N22" s="22"/>
      <c r="O22" s="25"/>
      <c r="P22" s="18"/>
      <c r="Q22" s="19"/>
      <c r="R22" s="20"/>
      <c r="S22" s="26"/>
      <c r="T22" s="22"/>
      <c r="U22" s="22"/>
      <c r="V22" s="23"/>
      <c r="W22" s="18"/>
      <c r="X22" s="19"/>
      <c r="Y22" s="20"/>
      <c r="Z22" s="27"/>
      <c r="AA22" s="18"/>
      <c r="AB22" s="19"/>
      <c r="AC22" s="20"/>
      <c r="AD22" s="27"/>
      <c r="AE22" s="18"/>
      <c r="AF22" s="19"/>
      <c r="AG22" s="20"/>
      <c r="AH22" s="28"/>
      <c r="AI22" s="29"/>
      <c r="AJ22" s="29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/>
      <c r="B23" s="18"/>
      <c r="C23" s="19"/>
      <c r="D23" s="20"/>
      <c r="E23" s="21"/>
      <c r="F23" s="22"/>
      <c r="G23" s="22"/>
      <c r="H23" s="23"/>
      <c r="I23" s="18"/>
      <c r="J23" s="19"/>
      <c r="K23" s="20"/>
      <c r="L23" s="21"/>
      <c r="M23" s="24"/>
      <c r="N23" s="22"/>
      <c r="O23" s="25"/>
      <c r="P23" s="18"/>
      <c r="Q23" s="19"/>
      <c r="R23" s="20"/>
      <c r="S23" s="26"/>
      <c r="T23" s="22"/>
      <c r="U23" s="22"/>
      <c r="V23" s="23"/>
      <c r="W23" s="18"/>
      <c r="X23" s="19"/>
      <c r="Y23" s="20"/>
      <c r="Z23" s="27"/>
      <c r="AA23" s="18"/>
      <c r="AB23" s="19"/>
      <c r="AC23" s="20"/>
      <c r="AD23" s="27"/>
      <c r="AE23" s="18"/>
      <c r="AF23" s="19"/>
      <c r="AG23" s="20"/>
      <c r="AH23" s="28"/>
      <c r="AI23" s="29"/>
      <c r="AJ23" s="29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/>
      <c r="B24" s="18"/>
      <c r="C24" s="19"/>
      <c r="D24" s="20"/>
      <c r="E24" s="21"/>
      <c r="F24" s="22"/>
      <c r="G24" s="22"/>
      <c r="H24" s="23"/>
      <c r="I24" s="18"/>
      <c r="J24" s="19"/>
      <c r="K24" s="20"/>
      <c r="L24" s="21"/>
      <c r="M24" s="24"/>
      <c r="N24" s="22"/>
      <c r="O24" s="25"/>
      <c r="P24" s="18"/>
      <c r="Q24" s="19"/>
      <c r="R24" s="20"/>
      <c r="S24" s="26"/>
      <c r="T24" s="22"/>
      <c r="U24" s="22"/>
      <c r="V24" s="23"/>
      <c r="W24" s="18"/>
      <c r="X24" s="19"/>
      <c r="Y24" s="20"/>
      <c r="Z24" s="27"/>
      <c r="AA24" s="18"/>
      <c r="AB24" s="19"/>
      <c r="AC24" s="20"/>
      <c r="AD24" s="27"/>
      <c r="AE24" s="18"/>
      <c r="AF24" s="19"/>
      <c r="AG24" s="20"/>
      <c r="AH24" s="28"/>
      <c r="AI24" s="29"/>
      <c r="AJ24" s="29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/>
      <c r="B25" s="18"/>
      <c r="C25" s="19"/>
      <c r="D25" s="20"/>
      <c r="E25" s="21"/>
      <c r="F25" s="22"/>
      <c r="G25" s="22"/>
      <c r="H25" s="23"/>
      <c r="I25" s="18"/>
      <c r="J25" s="19"/>
      <c r="K25" s="20"/>
      <c r="L25" s="21"/>
      <c r="M25" s="24"/>
      <c r="N25" s="22"/>
      <c r="O25" s="25"/>
      <c r="P25" s="18"/>
      <c r="Q25" s="19"/>
      <c r="R25" s="20"/>
      <c r="S25" s="26"/>
      <c r="T25" s="22"/>
      <c r="U25" s="22"/>
      <c r="V25" s="23"/>
      <c r="W25" s="18"/>
      <c r="X25" s="19"/>
      <c r="Y25" s="20"/>
      <c r="Z25" s="27"/>
      <c r="AA25" s="18"/>
      <c r="AB25" s="19"/>
      <c r="AC25" s="20"/>
      <c r="AD25" s="27"/>
      <c r="AE25" s="18"/>
      <c r="AF25" s="19"/>
      <c r="AG25" s="20"/>
      <c r="AH25" s="28"/>
      <c r="AI25" s="29"/>
      <c r="AJ25" s="29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/>
      <c r="B26" s="18"/>
      <c r="C26" s="19"/>
      <c r="D26" s="20"/>
      <c r="E26" s="21"/>
      <c r="F26" s="22"/>
      <c r="G26" s="22"/>
      <c r="H26" s="23"/>
      <c r="I26" s="18"/>
      <c r="J26" s="19"/>
      <c r="K26" s="20"/>
      <c r="L26" s="21"/>
      <c r="M26" s="24"/>
      <c r="N26" s="22"/>
      <c r="O26" s="25"/>
      <c r="P26" s="18"/>
      <c r="Q26" s="19"/>
      <c r="R26" s="20"/>
      <c r="S26" s="26"/>
      <c r="T26" s="22"/>
      <c r="U26" s="22"/>
      <c r="V26" s="23"/>
      <c r="W26" s="18"/>
      <c r="X26" s="19"/>
      <c r="Y26" s="20"/>
      <c r="Z26" s="27"/>
      <c r="AA26" s="18"/>
      <c r="AB26" s="19"/>
      <c r="AC26" s="20"/>
      <c r="AD26" s="27"/>
      <c r="AE26" s="18"/>
      <c r="AF26" s="19"/>
      <c r="AG26" s="20"/>
      <c r="AH26" s="28"/>
      <c r="AI26" s="29"/>
      <c r="AJ26" s="29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/>
      <c r="B27" s="18"/>
      <c r="C27" s="19"/>
      <c r="D27" s="20"/>
      <c r="E27" s="21"/>
      <c r="F27" s="22"/>
      <c r="G27" s="22"/>
      <c r="H27" s="23"/>
      <c r="I27" s="18"/>
      <c r="J27" s="19"/>
      <c r="K27" s="20"/>
      <c r="L27" s="21"/>
      <c r="M27" s="24"/>
      <c r="N27" s="22"/>
      <c r="O27" s="25"/>
      <c r="P27" s="18"/>
      <c r="Q27" s="19"/>
      <c r="R27" s="20"/>
      <c r="S27" s="26"/>
      <c r="T27" s="22"/>
      <c r="U27" s="22"/>
      <c r="V27" s="23"/>
      <c r="W27" s="18"/>
      <c r="X27" s="19"/>
      <c r="Y27" s="20"/>
      <c r="Z27" s="27"/>
      <c r="AA27" s="18"/>
      <c r="AB27" s="19"/>
      <c r="AC27" s="20"/>
      <c r="AD27" s="27"/>
      <c r="AE27" s="18"/>
      <c r="AF27" s="19"/>
      <c r="AG27" s="20"/>
      <c r="AH27" s="28"/>
      <c r="AI27" s="29"/>
      <c r="AJ27" s="29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/>
      <c r="B28" s="18"/>
      <c r="C28" s="19"/>
      <c r="D28" s="20"/>
      <c r="E28" s="21"/>
      <c r="F28" s="22"/>
      <c r="G28" s="22"/>
      <c r="H28" s="23"/>
      <c r="I28" s="18"/>
      <c r="J28" s="19"/>
      <c r="K28" s="20"/>
      <c r="L28" s="21"/>
      <c r="M28" s="24"/>
      <c r="N28" s="22"/>
      <c r="O28" s="25"/>
      <c r="P28" s="18"/>
      <c r="Q28" s="19"/>
      <c r="R28" s="20"/>
      <c r="S28" s="26"/>
      <c r="T28" s="22"/>
      <c r="U28" s="22"/>
      <c r="V28" s="23"/>
      <c r="W28" s="18"/>
      <c r="X28" s="19"/>
      <c r="Y28" s="20"/>
      <c r="Z28" s="27"/>
      <c r="AA28" s="18"/>
      <c r="AB28" s="19"/>
      <c r="AC28" s="20"/>
      <c r="AD28" s="27"/>
      <c r="AE28" s="18"/>
      <c r="AF28" s="19"/>
      <c r="AG28" s="20"/>
      <c r="AH28" s="28"/>
      <c r="AI28" s="29"/>
      <c r="AJ28" s="29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/>
      <c r="B29" s="18"/>
      <c r="C29" s="19"/>
      <c r="D29" s="20"/>
      <c r="E29" s="21"/>
      <c r="F29" s="22"/>
      <c r="G29" s="22"/>
      <c r="H29" s="23"/>
      <c r="I29" s="18"/>
      <c r="J29" s="19"/>
      <c r="K29" s="20"/>
      <c r="L29" s="21"/>
      <c r="M29" s="24"/>
      <c r="N29" s="22"/>
      <c r="O29" s="25"/>
      <c r="P29" s="18"/>
      <c r="Q29" s="19"/>
      <c r="R29" s="20"/>
      <c r="S29" s="26"/>
      <c r="T29" s="22"/>
      <c r="U29" s="22"/>
      <c r="V29" s="23"/>
      <c r="W29" s="18"/>
      <c r="X29" s="19"/>
      <c r="Y29" s="20"/>
      <c r="Z29" s="27"/>
      <c r="AA29" s="18"/>
      <c r="AB29" s="19"/>
      <c r="AC29" s="20"/>
      <c r="AD29" s="27"/>
      <c r="AE29" s="18"/>
      <c r="AF29" s="19"/>
      <c r="AG29" s="20"/>
      <c r="AH29" s="28"/>
      <c r="AI29" s="29"/>
      <c r="AJ29" s="29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/>
      <c r="B30" s="18"/>
      <c r="C30" s="19"/>
      <c r="D30" s="20"/>
      <c r="E30" s="21"/>
      <c r="F30" s="22"/>
      <c r="G30" s="22"/>
      <c r="H30" s="23"/>
      <c r="I30" s="18"/>
      <c r="J30" s="19"/>
      <c r="K30" s="20"/>
      <c r="L30" s="21"/>
      <c r="M30" s="24"/>
      <c r="N30" s="22"/>
      <c r="O30" s="25"/>
      <c r="P30" s="18"/>
      <c r="Q30" s="19"/>
      <c r="R30" s="20"/>
      <c r="S30" s="26"/>
      <c r="T30" s="22"/>
      <c r="U30" s="22"/>
      <c r="V30" s="23"/>
      <c r="W30" s="18"/>
      <c r="X30" s="19"/>
      <c r="Y30" s="20"/>
      <c r="Z30" s="27"/>
      <c r="AA30" s="18"/>
      <c r="AB30" s="19"/>
      <c r="AC30" s="20"/>
      <c r="AD30" s="27"/>
      <c r="AE30" s="18"/>
      <c r="AF30" s="19"/>
      <c r="AG30" s="20"/>
      <c r="AH30" s="28"/>
      <c r="AI30" s="29"/>
      <c r="AJ30" s="29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/>
      <c r="B31" s="18"/>
      <c r="C31" s="19"/>
      <c r="D31" s="20"/>
      <c r="E31" s="21"/>
      <c r="F31" s="22"/>
      <c r="G31" s="22"/>
      <c r="H31" s="23"/>
      <c r="I31" s="18"/>
      <c r="J31" s="19"/>
      <c r="K31" s="20"/>
      <c r="L31" s="21"/>
      <c r="M31" s="24"/>
      <c r="N31" s="22"/>
      <c r="O31" s="25"/>
      <c r="P31" s="18"/>
      <c r="Q31" s="19"/>
      <c r="R31" s="20"/>
      <c r="S31" s="26"/>
      <c r="T31" s="22"/>
      <c r="U31" s="22"/>
      <c r="V31" s="23"/>
      <c r="W31" s="18"/>
      <c r="X31" s="19"/>
      <c r="Y31" s="20"/>
      <c r="Z31" s="27"/>
      <c r="AA31" s="18"/>
      <c r="AB31" s="19"/>
      <c r="AC31" s="20"/>
      <c r="AD31" s="27"/>
      <c r="AE31" s="18"/>
      <c r="AF31" s="19"/>
      <c r="AG31" s="20"/>
      <c r="AH31" s="28"/>
      <c r="AI31" s="29"/>
      <c r="AJ31" s="29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/>
      <c r="B32" s="18"/>
      <c r="C32" s="19"/>
      <c r="D32" s="20"/>
      <c r="E32" s="21"/>
      <c r="F32" s="22"/>
      <c r="G32" s="22"/>
      <c r="H32" s="23"/>
      <c r="I32" s="18"/>
      <c r="J32" s="19"/>
      <c r="K32" s="20"/>
      <c r="L32" s="21"/>
      <c r="M32" s="24"/>
      <c r="N32" s="22"/>
      <c r="O32" s="25"/>
      <c r="P32" s="18"/>
      <c r="Q32" s="19"/>
      <c r="R32" s="20"/>
      <c r="S32" s="26"/>
      <c r="T32" s="22"/>
      <c r="U32" s="22"/>
      <c r="V32" s="23"/>
      <c r="W32" s="18"/>
      <c r="X32" s="19"/>
      <c r="Y32" s="20"/>
      <c r="Z32" s="27"/>
      <c r="AA32" s="18"/>
      <c r="AB32" s="19"/>
      <c r="AC32" s="20"/>
      <c r="AD32" s="27"/>
      <c r="AE32" s="18"/>
      <c r="AF32" s="19"/>
      <c r="AG32" s="20"/>
      <c r="AH32" s="28"/>
      <c r="AI32" s="29"/>
      <c r="AJ32" s="29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/>
      <c r="B33" s="18"/>
      <c r="C33" s="19"/>
      <c r="D33" s="20"/>
      <c r="E33" s="21"/>
      <c r="F33" s="22"/>
      <c r="G33" s="22"/>
      <c r="H33" s="23"/>
      <c r="I33" s="18"/>
      <c r="J33" s="19"/>
      <c r="K33" s="20"/>
      <c r="L33" s="21"/>
      <c r="M33" s="24"/>
      <c r="N33" s="22"/>
      <c r="O33" s="25"/>
      <c r="P33" s="18"/>
      <c r="Q33" s="19"/>
      <c r="R33" s="20"/>
      <c r="S33" s="26"/>
      <c r="T33" s="22"/>
      <c r="U33" s="22"/>
      <c r="V33" s="23"/>
      <c r="W33" s="18"/>
      <c r="X33" s="19"/>
      <c r="Y33" s="20"/>
      <c r="Z33" s="27"/>
      <c r="AA33" s="18"/>
      <c r="AB33" s="19"/>
      <c r="AC33" s="20"/>
      <c r="AD33" s="27"/>
      <c r="AE33" s="18"/>
      <c r="AF33" s="19"/>
      <c r="AG33" s="20"/>
      <c r="AH33" s="28"/>
      <c r="AI33" s="29"/>
      <c r="AJ33" s="29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/>
      <c r="B34" s="18"/>
      <c r="C34" s="19"/>
      <c r="D34" s="20"/>
      <c r="E34" s="21"/>
      <c r="F34" s="22"/>
      <c r="G34" s="22"/>
      <c r="H34" s="23"/>
      <c r="I34" s="18"/>
      <c r="J34" s="19"/>
      <c r="K34" s="20"/>
      <c r="L34" s="21"/>
      <c r="M34" s="24"/>
      <c r="N34" s="22"/>
      <c r="O34" s="25"/>
      <c r="P34" s="18"/>
      <c r="Q34" s="19"/>
      <c r="R34" s="20"/>
      <c r="S34" s="26"/>
      <c r="T34" s="22"/>
      <c r="U34" s="22"/>
      <c r="V34" s="23"/>
      <c r="W34" s="18"/>
      <c r="X34" s="19"/>
      <c r="Y34" s="20"/>
      <c r="Z34" s="27"/>
      <c r="AA34" s="18"/>
      <c r="AB34" s="19"/>
      <c r="AC34" s="20"/>
      <c r="AD34" s="27"/>
      <c r="AE34" s="18"/>
      <c r="AF34" s="19"/>
      <c r="AG34" s="20"/>
      <c r="AH34" s="28"/>
      <c r="AI34" s="29"/>
      <c r="AJ34" s="29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/>
      <c r="B35" s="18"/>
      <c r="C35" s="19"/>
      <c r="D35" s="20"/>
      <c r="E35" s="21"/>
      <c r="F35" s="22"/>
      <c r="G35" s="22"/>
      <c r="H35" s="23"/>
      <c r="I35" s="18"/>
      <c r="J35" s="19"/>
      <c r="K35" s="20"/>
      <c r="L35" s="21"/>
      <c r="M35" s="24"/>
      <c r="N35" s="22"/>
      <c r="O35" s="25"/>
      <c r="P35" s="18"/>
      <c r="Q35" s="19"/>
      <c r="R35" s="20"/>
      <c r="S35" s="26"/>
      <c r="T35" s="22"/>
      <c r="U35" s="22"/>
      <c r="V35" s="23"/>
      <c r="W35" s="18"/>
      <c r="X35" s="19"/>
      <c r="Y35" s="20"/>
      <c r="Z35" s="27"/>
      <c r="AA35" s="18"/>
      <c r="AB35" s="19"/>
      <c r="AC35" s="20"/>
      <c r="AD35" s="27"/>
      <c r="AE35" s="18"/>
      <c r="AF35" s="19"/>
      <c r="AG35" s="20"/>
      <c r="AH35" s="28"/>
      <c r="AI35" s="29"/>
      <c r="AJ35" s="29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/>
      <c r="B36" s="18"/>
      <c r="C36" s="19"/>
      <c r="D36" s="20"/>
      <c r="E36" s="21"/>
      <c r="F36" s="22"/>
      <c r="G36" s="22"/>
      <c r="H36" s="23"/>
      <c r="I36" s="18"/>
      <c r="J36" s="19"/>
      <c r="K36" s="20"/>
      <c r="L36" s="21"/>
      <c r="M36" s="24"/>
      <c r="N36" s="22"/>
      <c r="O36" s="25"/>
      <c r="P36" s="18"/>
      <c r="Q36" s="19"/>
      <c r="R36" s="20"/>
      <c r="S36" s="26"/>
      <c r="T36" s="22"/>
      <c r="U36" s="22"/>
      <c r="V36" s="23"/>
      <c r="W36" s="18"/>
      <c r="X36" s="19"/>
      <c r="Y36" s="20"/>
      <c r="Z36" s="27"/>
      <c r="AA36" s="18"/>
      <c r="AB36" s="19"/>
      <c r="AC36" s="20"/>
      <c r="AD36" s="27"/>
      <c r="AE36" s="18"/>
      <c r="AF36" s="19"/>
      <c r="AG36" s="20"/>
      <c r="AH36" s="28"/>
      <c r="AI36" s="29"/>
      <c r="AJ36" s="29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/>
      <c r="B37" s="18"/>
      <c r="C37" s="19"/>
      <c r="D37" s="20"/>
      <c r="E37" s="21"/>
      <c r="F37" s="22"/>
      <c r="G37" s="22"/>
      <c r="H37" s="23"/>
      <c r="I37" s="18"/>
      <c r="J37" s="19"/>
      <c r="K37" s="20"/>
      <c r="L37" s="21"/>
      <c r="M37" s="24"/>
      <c r="N37" s="22"/>
      <c r="O37" s="25"/>
      <c r="P37" s="18"/>
      <c r="Q37" s="19"/>
      <c r="R37" s="20"/>
      <c r="S37" s="26"/>
      <c r="T37" s="22"/>
      <c r="U37" s="22"/>
      <c r="V37" s="23"/>
      <c r="W37" s="18"/>
      <c r="X37" s="19"/>
      <c r="Y37" s="20"/>
      <c r="Z37" s="27"/>
      <c r="AA37" s="18"/>
      <c r="AB37" s="19"/>
      <c r="AC37" s="20"/>
      <c r="AD37" s="27"/>
      <c r="AE37" s="18"/>
      <c r="AF37" s="19"/>
      <c r="AG37" s="20"/>
      <c r="AH37" s="28"/>
      <c r="AI37" s="29"/>
      <c r="AJ37" s="29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3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2">
        <f>IFERROR(__xludf.DUMMYFUNCTION("""COMPUTED_VALUE"""),329.58064516129014)</f>
        <v>329.5806452</v>
      </c>
      <c r="C2" s="12">
        <f>IFERROR(__xludf.DUMMYFUNCTION("""COMPUTED_VALUE"""),391.0)</f>
        <v>391</v>
      </c>
      <c r="D2" s="12">
        <f>IFERROR(__xludf.DUMMYFUNCTION("""COMPUTED_VALUE"""),61.419354838709864)</f>
        <v>61.41935484</v>
      </c>
      <c r="E2" s="13">
        <f>IFERROR(__xludf.DUMMYFUNCTION("""COMPUTED_VALUE"""),0.18635607321131514)</f>
        <v>0.1863560732</v>
      </c>
      <c r="F2" s="13">
        <f>IFERROR(__xludf.DUMMYFUNCTION("""COMPUTED_VALUE"""),0.814661134163209)</f>
        <v>0.8146611342</v>
      </c>
      <c r="G2" s="13">
        <f>IFERROR(__xludf.DUMMYFUNCTION("""COMPUTED_VALUE"""),0.7877237851662404)</f>
        <v>0.7877237852</v>
      </c>
      <c r="H2" s="35">
        <f>IFERROR(__xludf.DUMMYFUNCTION("""COMPUTED_VALUE"""),-2.6937348996968535)</f>
        <v>-2.6937349</v>
      </c>
      <c r="I2" s="12">
        <f>IFERROR(__xludf.DUMMYFUNCTION("""COMPUTED_VALUE"""),268.49654218533874)</f>
        <v>268.4965422</v>
      </c>
      <c r="J2" s="12">
        <f>IFERROR(__xludf.DUMMYFUNCTION("""COMPUTED_VALUE"""),308.0)</f>
        <v>308</v>
      </c>
      <c r="K2" s="12">
        <f>IFERROR(__xludf.DUMMYFUNCTION("""COMPUTED_VALUE"""),39.50345781466126)</f>
        <v>39.50345781</v>
      </c>
      <c r="L2" s="13">
        <f>IFERROR(__xludf.DUMMYFUNCTION("""COMPUTED_VALUE"""),0.14712836706624205)</f>
        <v>0.1471283671</v>
      </c>
      <c r="M2" s="13">
        <f>IFERROR(__xludf.DUMMYFUNCTION("""COMPUTED_VALUE"""),0.3047987616099072)</f>
        <v>0.3047987616</v>
      </c>
      <c r="N2" s="13">
        <f>IFERROR(__xludf.DUMMYFUNCTION("""COMPUTED_VALUE"""),0.24025974025974026)</f>
        <v>0.2402597403</v>
      </c>
      <c r="O2" s="35">
        <f>IFERROR(__xludf.DUMMYFUNCTION("""COMPUTED_VALUE"""),-6.453902135016695)</f>
        <v>-6.453902135</v>
      </c>
      <c r="P2" s="12">
        <f>IFERROR(__xludf.DUMMYFUNCTION("""COMPUTED_VALUE"""),81.83741355463346)</f>
        <v>81.83741355</v>
      </c>
      <c r="Q2" s="12">
        <f>IFERROR(__xludf.DUMMYFUNCTION("""COMPUTED_VALUE"""),74.0)</f>
        <v>74</v>
      </c>
      <c r="R2" s="12">
        <f>IFERROR(__xludf.DUMMYFUNCTION("""COMPUTED_VALUE"""),-7.837413554633457)</f>
        <v>-7.837413555</v>
      </c>
      <c r="S2" s="13">
        <f>IFERROR(__xludf.DUMMYFUNCTION("""COMPUTED_VALUE"""),-0.09576809938404657)</f>
        <v>-0.09576809938</v>
      </c>
      <c r="T2" s="12">
        <f>IFERROR(__xludf.DUMMYFUNCTION("""COMPUTED_VALUE"""),302865.5147197787)</f>
        <v>302865.5147</v>
      </c>
      <c r="U2" s="36">
        <f>IFERROR(__xludf.DUMMYFUNCTION("""COMPUTED_VALUE"""),1128.0052705882358)</f>
        <v>1128.005271</v>
      </c>
      <c r="V2" s="36">
        <f>IFERROR(__xludf.DUMMYFUNCTION("""COMPUTED_VALUE"""),44560.108621397936)</f>
        <v>44560.10862</v>
      </c>
      <c r="W2" s="13">
        <f>IFERROR(__xludf.DUMMYFUNCTION("""COMPUTED_VALUE"""),0.14712836706624208)</f>
        <v>0.1471283671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2">
        <f>IFERROR(__xludf.DUMMYFUNCTION("""COMPUTED_VALUE"""),71.29032258064512)</f>
        <v>71.29032258</v>
      </c>
      <c r="C3" s="12">
        <f>IFERROR(__xludf.DUMMYFUNCTION("""COMPUTED_VALUE"""),93.0)</f>
        <v>93</v>
      </c>
      <c r="D3" s="12">
        <f>IFERROR(__xludf.DUMMYFUNCTION("""COMPUTED_VALUE"""),21.709677419354875)</f>
        <v>21.70967742</v>
      </c>
      <c r="E3" s="13">
        <f>IFERROR(__xludf.DUMMYFUNCTION("""COMPUTED_VALUE"""),0.30452488687782875)</f>
        <v>0.3045248869</v>
      </c>
      <c r="F3" s="13">
        <f>IFERROR(__xludf.DUMMYFUNCTION("""COMPUTED_VALUE"""),0.8)</f>
        <v>0.8</v>
      </c>
      <c r="G3" s="13">
        <f>IFERROR(__xludf.DUMMYFUNCTION("""COMPUTED_VALUE"""),0.8709677419354839)</f>
        <v>0.8709677419</v>
      </c>
      <c r="H3" s="35">
        <f>IFERROR(__xludf.DUMMYFUNCTION("""COMPUTED_VALUE"""),7.096774193548383)</f>
        <v>7.096774194</v>
      </c>
      <c r="I3" s="12">
        <f>IFERROR(__xludf.DUMMYFUNCTION("""COMPUTED_VALUE"""),57.0322580645161)</f>
        <v>57.03225806</v>
      </c>
      <c r="J3" s="12">
        <f>IFERROR(__xludf.DUMMYFUNCTION("""COMPUTED_VALUE"""),81.0)</f>
        <v>81</v>
      </c>
      <c r="K3" s="12">
        <f>IFERROR(__xludf.DUMMYFUNCTION("""COMPUTED_VALUE"""),23.9677419354839)</f>
        <v>23.96774194</v>
      </c>
      <c r="L3" s="13">
        <f>IFERROR(__xludf.DUMMYFUNCTION("""COMPUTED_VALUE"""),0.42024886877828127)</f>
        <v>0.4202488688</v>
      </c>
      <c r="M3" s="13">
        <f>IFERROR(__xludf.DUMMYFUNCTION("""COMPUTED_VALUE"""),0.30859728506787343)</f>
        <v>0.3085972851</v>
      </c>
      <c r="N3" s="13">
        <f>IFERROR(__xludf.DUMMYFUNCTION("""COMPUTED_VALUE"""),0.2716049382716049)</f>
        <v>0.2716049383</v>
      </c>
      <c r="O3" s="35">
        <f>IFERROR(__xludf.DUMMYFUNCTION("""COMPUTED_VALUE"""),-3.6992346796268505)</f>
        <v>-3.69923468</v>
      </c>
      <c r="P3" s="12">
        <f>IFERROR(__xludf.DUMMYFUNCTION("""COMPUTED_VALUE"""),17.599999999999998)</f>
        <v>17.6</v>
      </c>
      <c r="Q3" s="12">
        <f>IFERROR(__xludf.DUMMYFUNCTION("""COMPUTED_VALUE"""),22.0)</f>
        <v>22</v>
      </c>
      <c r="R3" s="12">
        <f>IFERROR(__xludf.DUMMYFUNCTION("""COMPUTED_VALUE"""),4.400000000000002)</f>
        <v>4.4</v>
      </c>
      <c r="S3" s="13">
        <f>IFERROR(__xludf.DUMMYFUNCTION("""COMPUTED_VALUE"""),0.25000000000000017)</f>
        <v>0.25</v>
      </c>
      <c r="T3" s="12">
        <f>IFERROR(__xludf.DUMMYFUNCTION("""COMPUTED_VALUE"""),62004.0658944)</f>
        <v>62004.06589</v>
      </c>
      <c r="U3" s="36">
        <f>IFERROR(__xludf.DUMMYFUNCTION("""COMPUTED_VALUE"""),1087.1753635330322)</f>
        <v>1087.175364</v>
      </c>
      <c r="V3" s="36">
        <f>IFERROR(__xludf.DUMMYFUNCTION("""COMPUTED_VALUE"""),26057.13855177561)</f>
        <v>26057.13855</v>
      </c>
      <c r="W3" s="13">
        <f>IFERROR(__xludf.DUMMYFUNCTION("""COMPUTED_VALUE"""),0.4202488687782812)</f>
        <v>0.4202488688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2">
        <f>IFERROR(__xludf.DUMMYFUNCTION("""COMPUTED_VALUE"""),1250.3225806451608)</f>
        <v>1250.322581</v>
      </c>
      <c r="C4" s="12">
        <f>IFERROR(__xludf.DUMMYFUNCTION("""COMPUTED_VALUE"""),1137.0)</f>
        <v>1137</v>
      </c>
      <c r="D4" s="12">
        <f>IFERROR(__xludf.DUMMYFUNCTION("""COMPUTED_VALUE"""),-113.32258064516077)</f>
        <v>-113.3225806</v>
      </c>
      <c r="E4" s="13">
        <f>IFERROR(__xludf.DUMMYFUNCTION("""COMPUTED_VALUE"""),-0.09063467492260024)</f>
        <v>-0.09063467492</v>
      </c>
      <c r="F4" s="13">
        <f>IFERROR(__xludf.DUMMYFUNCTION("""COMPUTED_VALUE"""),0.7882218697919465)</f>
        <v>0.7882218698</v>
      </c>
      <c r="G4" s="13">
        <f>IFERROR(__xludf.DUMMYFUNCTION("""COMPUTED_VALUE"""),0.8671943711521548)</f>
        <v>0.8671943712</v>
      </c>
      <c r="H4" s="35">
        <f>IFERROR(__xludf.DUMMYFUNCTION("""COMPUTED_VALUE"""),7.897250136020828)</f>
        <v>7.897250136</v>
      </c>
      <c r="I4" s="12">
        <f>IFERROR(__xludf.DUMMYFUNCTION("""COMPUTED_VALUE"""),985.5316023592205)</f>
        <v>985.5316024</v>
      </c>
      <c r="J4" s="12">
        <f>IFERROR(__xludf.DUMMYFUNCTION("""COMPUTED_VALUE"""),986.0)</f>
        <v>986</v>
      </c>
      <c r="K4" s="12">
        <f>IFERROR(__xludf.DUMMYFUNCTION("""COMPUTED_VALUE"""),0.46839764077947166)</f>
        <v>0.4683976408</v>
      </c>
      <c r="L4" s="13">
        <f>IFERROR(__xludf.DUMMYFUNCTION("""COMPUTED_VALUE"""),4.752740953797882E-4)</f>
        <v>0.0004752740954</v>
      </c>
      <c r="M4" s="13">
        <f>IFERROR(__xludf.DUMMYFUNCTION("""COMPUTED_VALUE"""),0.366544922676706)</f>
        <v>0.3665449227</v>
      </c>
      <c r="N4" s="13" t="str">
        <f>IFERROR(__xludf.DUMMYFUNCTION("""COMPUTED_VALUE"""),"#REF!")</f>
        <v>#REF!</v>
      </c>
      <c r="O4" s="35" t="str">
        <f>IFERROR(__xludf.DUMMYFUNCTION("""COMPUTED_VALUE"""),"#REF!")</f>
        <v>#REF!</v>
      </c>
      <c r="P4" s="12">
        <f>IFERROR(__xludf.DUMMYFUNCTION("""COMPUTED_VALUE"""),361.2416049822107)</f>
        <v>361.241605</v>
      </c>
      <c r="Q4" s="12" t="str">
        <f>IFERROR(__xludf.DUMMYFUNCTION("""COMPUTED_VALUE"""),"#REF!")</f>
        <v>#REF!</v>
      </c>
      <c r="R4" s="9" t="str">
        <f>IFERROR(__xludf.DUMMYFUNCTION("""COMPUTED_VALUE"""),"#REF!")</f>
        <v>#REF!</v>
      </c>
      <c r="S4" s="13" t="str">
        <f>IFERROR(__xludf.DUMMYFUNCTION("""COMPUTED_VALUE"""),"#REF!")</f>
        <v>#REF!</v>
      </c>
      <c r="T4" s="12">
        <f>IFERROR(__xludf.DUMMYFUNCTION("""COMPUTED_VALUE"""),1506746.286993485)</f>
        <v>1506746.287</v>
      </c>
      <c r="U4" s="36">
        <f>IFERROR(__xludf.DUMMYFUNCTION("""COMPUTED_VALUE"""),1528.866535975662)</f>
        <v>1528.866536</v>
      </c>
      <c r="V4" s="36">
        <f>IFERROR(__xludf.DUMMYFUNCTION("""COMPUTED_VALUE"""),-186645.97547089402)</f>
        <v>-186645.9755</v>
      </c>
      <c r="W4" s="13">
        <f>IFERROR(__xludf.DUMMYFUNCTION("""COMPUTED_VALUE"""),-0.1238735260753963)</f>
        <v>-0.1238735261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2">
        <f>IFERROR(__xludf.DUMMYFUNCTION("""COMPUTED_VALUE"""),767.7419354838706)</f>
        <v>767.7419355</v>
      </c>
      <c r="C5" s="12">
        <f>IFERROR(__xludf.DUMMYFUNCTION("""COMPUTED_VALUE"""),856.0)</f>
        <v>856</v>
      </c>
      <c r="D5" s="12">
        <f>IFERROR(__xludf.DUMMYFUNCTION("""COMPUTED_VALUE"""),88.25806451612937)</f>
        <v>88.25806452</v>
      </c>
      <c r="E5" s="13">
        <f>IFERROR(__xludf.DUMMYFUNCTION("""COMPUTED_VALUE"""),0.1149579831932778)</f>
        <v>0.1149579832</v>
      </c>
      <c r="F5" s="13">
        <f>IFERROR(__xludf.DUMMYFUNCTION("""COMPUTED_VALUE"""),0.7999999999999999)</f>
        <v>0.8</v>
      </c>
      <c r="G5" s="13">
        <f>IFERROR(__xludf.DUMMYFUNCTION("""COMPUTED_VALUE"""),0.7698598130841121)</f>
        <v>0.7698598131</v>
      </c>
      <c r="H5" s="35">
        <f>IFERROR(__xludf.DUMMYFUNCTION("""COMPUTED_VALUE"""),-3.0140186915887823)</f>
        <v>-3.014018692</v>
      </c>
      <c r="I5" s="12">
        <f>IFERROR(__xludf.DUMMYFUNCTION("""COMPUTED_VALUE"""),614.1935483870965)</f>
        <v>614.1935484</v>
      </c>
      <c r="J5" s="12">
        <f>IFERROR(__xludf.DUMMYFUNCTION("""COMPUTED_VALUE"""),659.0)</f>
        <v>659</v>
      </c>
      <c r="K5" s="12">
        <f>IFERROR(__xludf.DUMMYFUNCTION("""COMPUTED_VALUE"""),44.806451612903516)</f>
        <v>44.80645161</v>
      </c>
      <c r="L5" s="13">
        <f>IFERROR(__xludf.DUMMYFUNCTION("""COMPUTED_VALUE"""),0.07295168067226941)</f>
        <v>0.07295168067</v>
      </c>
      <c r="M5" s="13">
        <f>IFERROR(__xludf.DUMMYFUNCTION("""COMPUTED_VALUE"""),0.3630014081802471)</f>
        <v>0.3630014082</v>
      </c>
      <c r="N5" s="13">
        <f>IFERROR(__xludf.DUMMYFUNCTION("""COMPUTED_VALUE"""),0.3095599393019727)</f>
        <v>0.3095599393</v>
      </c>
      <c r="O5" s="35">
        <f>IFERROR(__xludf.DUMMYFUNCTION("""COMPUTED_VALUE"""),-5.344146887827445)</f>
        <v>-5.344146888</v>
      </c>
      <c r="P5" s="12">
        <f>IFERROR(__xludf.DUMMYFUNCTION("""COMPUTED_VALUE"""),222.95312295973878)</f>
        <v>222.953123</v>
      </c>
      <c r="Q5" s="12">
        <f>IFERROR(__xludf.DUMMYFUNCTION("""COMPUTED_VALUE"""),204.0)</f>
        <v>204</v>
      </c>
      <c r="R5" s="12">
        <f>IFERROR(__xludf.DUMMYFUNCTION("""COMPUTED_VALUE"""),-18.953122959738778)</f>
        <v>-18.95312296</v>
      </c>
      <c r="S5" s="13">
        <f>IFERROR(__xludf.DUMMYFUNCTION("""COMPUTED_VALUE"""),-0.08500945269630228)</f>
        <v>-0.0850094527</v>
      </c>
      <c r="T5" s="12">
        <f>IFERROR(__xludf.DUMMYFUNCTION("""COMPUTED_VALUE"""),867075.2347926005)</f>
        <v>867075.2348</v>
      </c>
      <c r="U5" s="36">
        <f>IFERROR(__xludf.DUMMYFUNCTION("""COMPUTED_VALUE"""),1411.7296364795498)</f>
        <v>1411.729636</v>
      </c>
      <c r="V5" s="36">
        <f>IFERROR(__xludf.DUMMYFUNCTION("""COMPUTED_VALUE"""),63254.595647422815)</f>
        <v>63254.59565</v>
      </c>
      <c r="W5" s="13">
        <f>IFERROR(__xludf.DUMMYFUNCTION("""COMPUTED_VALUE"""),0.07295168067226941)</f>
        <v>0.07295168067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2">
        <f>IFERROR(__xludf.DUMMYFUNCTION("""COMPUTED_VALUE"""),159.0)</f>
        <v>159</v>
      </c>
      <c r="D6" s="9"/>
      <c r="E6" s="9"/>
      <c r="F6" s="9"/>
      <c r="G6" s="13">
        <f>IFERROR(__xludf.DUMMYFUNCTION("""COMPUTED_VALUE"""),0.8679245283018868)</f>
        <v>0.8679245283</v>
      </c>
      <c r="H6" s="9"/>
      <c r="I6" s="9"/>
      <c r="J6" s="12">
        <f>IFERROR(__xludf.DUMMYFUNCTION("""COMPUTED_VALUE"""),138.0)</f>
        <v>138</v>
      </c>
      <c r="K6" s="9"/>
      <c r="L6" s="9"/>
      <c r="M6" s="13">
        <f>IFERROR(__xludf.DUMMYFUNCTION("""COMPUTED_VALUE"""),0.3630014081802471)</f>
        <v>0.3630014082</v>
      </c>
      <c r="N6" s="13">
        <f>IFERROR(__xludf.DUMMYFUNCTION("""COMPUTED_VALUE"""),0.4057971014492754)</f>
        <v>0.4057971014</v>
      </c>
      <c r="O6" s="35">
        <f>IFERROR(__xludf.DUMMYFUNCTION("""COMPUTED_VALUE"""),4.279569326902827)</f>
        <v>4.279569327</v>
      </c>
      <c r="P6" s="9"/>
      <c r="Q6" s="12">
        <f>IFERROR(__xludf.DUMMYFUNCTION("""COMPUTED_VALUE"""),56.0)</f>
        <v>56</v>
      </c>
      <c r="R6" s="9"/>
      <c r="S6" s="9"/>
      <c r="T6" s="9"/>
      <c r="U6" s="36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2">
        <f>IFERROR(__xludf.DUMMYFUNCTION("""COMPUTED_VALUE"""),133.0)</f>
        <v>133</v>
      </c>
      <c r="D7" s="9"/>
      <c r="E7" s="9"/>
      <c r="F7" s="9"/>
      <c r="G7" s="13">
        <f>IFERROR(__xludf.DUMMYFUNCTION("""COMPUTED_VALUE"""),0.849624060150376)</f>
        <v>0.8496240602</v>
      </c>
      <c r="H7" s="9"/>
      <c r="I7" s="9"/>
      <c r="J7" s="12">
        <f>IFERROR(__xludf.DUMMYFUNCTION("""COMPUTED_VALUE"""),113.0)</f>
        <v>113</v>
      </c>
      <c r="K7" s="9"/>
      <c r="L7" s="9"/>
      <c r="M7" s="9"/>
      <c r="N7" s="13">
        <f>IFERROR(__xludf.DUMMYFUNCTION("""COMPUTED_VALUE"""),0.40707964601769914)</f>
        <v>0.407079646</v>
      </c>
      <c r="O7" s="9"/>
      <c r="P7" s="9"/>
      <c r="Q7" s="12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2">
        <f>IFERROR(__xludf.DUMMYFUNCTION("""COMPUTED_VALUE"""),143.0)</f>
        <v>143</v>
      </c>
      <c r="D8" s="9"/>
      <c r="E8" s="9"/>
      <c r="F8" s="9"/>
      <c r="G8" s="13">
        <f>IFERROR(__xludf.DUMMYFUNCTION("""COMPUTED_VALUE"""),0.8321678321678322)</f>
        <v>0.8321678322</v>
      </c>
      <c r="H8" s="9"/>
      <c r="I8" s="9"/>
      <c r="J8" s="12">
        <f>IFERROR(__xludf.DUMMYFUNCTION("""COMPUTED_VALUE"""),119.0)</f>
        <v>119</v>
      </c>
      <c r="K8" s="9"/>
      <c r="L8" s="9"/>
      <c r="M8" s="13">
        <f>IFERROR(__xludf.DUMMYFUNCTION("""COMPUTED_VALUE"""),0.3630014081802471)</f>
        <v>0.3630014082</v>
      </c>
      <c r="N8" s="13">
        <f>IFERROR(__xludf.DUMMYFUNCTION("""COMPUTED_VALUE"""),0.3865546218487395)</f>
        <v>0.3865546218</v>
      </c>
      <c r="O8" s="35">
        <f>IFERROR(__xludf.DUMMYFUNCTION("""COMPUTED_VALUE"""),2.355321366849239)</f>
        <v>2.355321367</v>
      </c>
      <c r="P8" s="9"/>
      <c r="Q8" s="12">
        <f>IFERROR(__xludf.DUMMYFUNCTION("""COMPUTED_VALUE"""),46.0)</f>
        <v>46</v>
      </c>
      <c r="R8" s="9"/>
      <c r="S8" s="9"/>
      <c r="T8" s="9"/>
      <c r="U8" s="36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2">
        <f>IFERROR(__xludf.DUMMYFUNCTION("""COMPUTED_VALUE"""),152.0)</f>
        <v>152</v>
      </c>
      <c r="D9" s="9"/>
      <c r="E9" s="9"/>
      <c r="F9" s="9"/>
      <c r="G9" s="13">
        <f>IFERROR(__xludf.DUMMYFUNCTION("""COMPUTED_VALUE"""),0.7894736842105263)</f>
        <v>0.7894736842</v>
      </c>
      <c r="H9" s="9"/>
      <c r="I9" s="9"/>
      <c r="J9" s="12">
        <f>IFERROR(__xludf.DUMMYFUNCTION("""COMPUTED_VALUE"""),120.0)</f>
        <v>120</v>
      </c>
      <c r="K9" s="9"/>
      <c r="L9" s="9"/>
      <c r="M9" s="13">
        <f>IFERROR(__xludf.DUMMYFUNCTION("""COMPUTED_VALUE"""),0.3630014081802471)</f>
        <v>0.3630014082</v>
      </c>
      <c r="N9" s="13">
        <f>IFERROR(__xludf.DUMMYFUNCTION("""COMPUTED_VALUE"""),0.375)</f>
        <v>0.375</v>
      </c>
      <c r="O9" s="35">
        <f>IFERROR(__xludf.DUMMYFUNCTION("""COMPUTED_VALUE"""),1.199859181975288)</f>
        <v>1.199859182</v>
      </c>
      <c r="P9" s="9"/>
      <c r="Q9" s="12">
        <f>IFERROR(__xludf.DUMMYFUNCTION("""COMPUTED_VALUE"""),45.0)</f>
        <v>45</v>
      </c>
      <c r="R9" s="9"/>
      <c r="S9" s="9"/>
      <c r="T9" s="9"/>
      <c r="U9" s="36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2">
        <f>IFERROR(__xludf.DUMMYFUNCTION("""COMPUTED_VALUE"""),134.0)</f>
        <v>134</v>
      </c>
      <c r="D10" s="9"/>
      <c r="E10" s="9"/>
      <c r="F10" s="9"/>
      <c r="G10" s="13">
        <f>IFERROR(__xludf.DUMMYFUNCTION("""COMPUTED_VALUE"""),0.8507462686567164)</f>
        <v>0.8507462687</v>
      </c>
      <c r="H10" s="9"/>
      <c r="I10" s="9"/>
      <c r="J10" s="12">
        <f>IFERROR(__xludf.DUMMYFUNCTION("""COMPUTED_VALUE"""),114.0)</f>
        <v>114</v>
      </c>
      <c r="K10" s="9"/>
      <c r="L10" s="9"/>
      <c r="M10" s="13">
        <f>IFERROR(__xludf.DUMMYFUNCTION("""COMPUTED_VALUE"""),0.3630014081802471)</f>
        <v>0.3630014082</v>
      </c>
      <c r="N10" s="13">
        <f>IFERROR(__xludf.DUMMYFUNCTION("""COMPUTED_VALUE"""),0.38596491228070173)</f>
        <v>0.3859649123</v>
      </c>
      <c r="O10" s="35">
        <f>IFERROR(__xludf.DUMMYFUNCTION("""COMPUTED_VALUE"""),2.296350410045461)</f>
        <v>2.29635041</v>
      </c>
      <c r="P10" s="9"/>
      <c r="Q10" s="12">
        <f>IFERROR(__xludf.DUMMYFUNCTION("""COMPUTED_VALUE"""),44.0)</f>
        <v>44</v>
      </c>
      <c r="R10" s="9"/>
      <c r="S10" s="9"/>
      <c r="T10" s="9"/>
      <c r="U10" s="36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2">
        <f>IFERROR(__xludf.DUMMYFUNCTION("""COMPUTED_VALUE"""),145.0)</f>
        <v>145</v>
      </c>
      <c r="D11" s="9"/>
      <c r="E11" s="9"/>
      <c r="F11" s="9"/>
      <c r="G11" s="13">
        <f>IFERROR(__xludf.DUMMYFUNCTION("""COMPUTED_VALUE"""),0.8068965517241379)</f>
        <v>0.8068965517</v>
      </c>
      <c r="H11" s="9"/>
      <c r="I11" s="9"/>
      <c r="J11" s="12">
        <f>IFERROR(__xludf.DUMMYFUNCTION("""COMPUTED_VALUE"""),117.0)</f>
        <v>117</v>
      </c>
      <c r="K11" s="9"/>
      <c r="L11" s="9"/>
      <c r="M11" s="13">
        <f>IFERROR(__xludf.DUMMYFUNCTION("""COMPUTED_VALUE"""),0.3630014081802471)</f>
        <v>0.3630014082</v>
      </c>
      <c r="N11" s="13">
        <f>IFERROR(__xludf.DUMMYFUNCTION("""COMPUTED_VALUE"""),0.3504273504273504)</f>
        <v>0.3504273504</v>
      </c>
      <c r="O11" s="35">
        <f>IFERROR(__xludf.DUMMYFUNCTION("""COMPUTED_VALUE"""),-1.2574057752896717)</f>
        <v>-1.257405775</v>
      </c>
      <c r="P11" s="9"/>
      <c r="Q11" s="12">
        <f>IFERROR(__xludf.DUMMYFUNCTION("""COMPUTED_VALUE"""),41.0)</f>
        <v>41</v>
      </c>
      <c r="R11" s="9"/>
      <c r="S11" s="9"/>
      <c r="T11" s="9"/>
      <c r="U11" s="36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2">
        <f>IFERROR(__xludf.DUMMYFUNCTION("""COMPUTED_VALUE"""),124.0)</f>
        <v>124</v>
      </c>
      <c r="D12" s="9"/>
      <c r="E12" s="9"/>
      <c r="F12" s="9"/>
      <c r="G12" s="13">
        <f>IFERROR(__xludf.DUMMYFUNCTION("""COMPUTED_VALUE"""),0.9112903225806451)</f>
        <v>0.9112903226</v>
      </c>
      <c r="H12" s="9"/>
      <c r="I12" s="9"/>
      <c r="J12" s="12">
        <f>IFERROR(__xludf.DUMMYFUNCTION("""COMPUTED_VALUE"""),113.0)</f>
        <v>113</v>
      </c>
      <c r="K12" s="9"/>
      <c r="L12" s="9"/>
      <c r="M12" s="13">
        <f>IFERROR(__xludf.DUMMYFUNCTION("""COMPUTED_VALUE"""),0.3630014081802471)</f>
        <v>0.3630014082</v>
      </c>
      <c r="N12" s="13">
        <f>IFERROR(__xludf.DUMMYFUNCTION("""COMPUTED_VALUE"""),0.34513274336283184)</f>
        <v>0.3451327434</v>
      </c>
      <c r="O12" s="35">
        <f>IFERROR(__xludf.DUMMYFUNCTION("""COMPUTED_VALUE"""),-1.786866481741528)</f>
        <v>-1.786866482</v>
      </c>
      <c r="P12" s="9"/>
      <c r="Q12" s="12">
        <f>IFERROR(__xludf.DUMMYFUNCTION("""COMPUTED_VALUE"""),39.0)</f>
        <v>39</v>
      </c>
      <c r="R12" s="9"/>
      <c r="S12" s="9"/>
      <c r="T12" s="9"/>
      <c r="U12" s="36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2">
        <f>IFERROR(__xludf.DUMMYFUNCTION("""COMPUTED_VALUE"""),91.0)</f>
        <v>91</v>
      </c>
      <c r="D13" s="9"/>
      <c r="E13" s="9"/>
      <c r="F13" s="9"/>
      <c r="G13" s="13">
        <f>IFERROR(__xludf.DUMMYFUNCTION("""COMPUTED_VALUE"""),0.8901098901098901)</f>
        <v>0.8901098901</v>
      </c>
      <c r="H13" s="9"/>
      <c r="I13" s="9"/>
      <c r="J13" s="12">
        <f>IFERROR(__xludf.DUMMYFUNCTION("""COMPUTED_VALUE"""),81.0)</f>
        <v>81</v>
      </c>
      <c r="K13" s="9"/>
      <c r="L13" s="9"/>
      <c r="M13" s="13">
        <f>IFERROR(__xludf.DUMMYFUNCTION("""COMPUTED_VALUE"""),0.3630014081802471)</f>
        <v>0.3630014082</v>
      </c>
      <c r="N13" s="13">
        <f>IFERROR(__xludf.DUMMYFUNCTION("""COMPUTED_VALUE"""),0.37037037037037035)</f>
        <v>0.3703703704</v>
      </c>
      <c r="O13" s="35">
        <f>IFERROR(__xludf.DUMMYFUNCTION("""COMPUTED_VALUE"""),0.7368962190123229)</f>
        <v>0.736896219</v>
      </c>
      <c r="P13" s="9"/>
      <c r="Q13" s="12">
        <f>IFERROR(__xludf.DUMMYFUNCTION("""COMPUTED_VALUE"""),30.0)</f>
        <v>30</v>
      </c>
      <c r="R13" s="9"/>
      <c r="S13" s="9"/>
      <c r="T13" s="9"/>
      <c r="U13" s="36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2">
        <f>IFERROR(__xludf.DUMMYFUNCTION("""COMPUTED_VALUE"""),127.0)</f>
        <v>127</v>
      </c>
      <c r="D14" s="9"/>
      <c r="E14" s="9"/>
      <c r="F14" s="9"/>
      <c r="G14" s="13">
        <f>IFERROR(__xludf.DUMMYFUNCTION("""COMPUTED_VALUE"""),0.6850393700787402)</f>
        <v>0.6850393701</v>
      </c>
      <c r="H14" s="9"/>
      <c r="I14" s="9"/>
      <c r="J14" s="12">
        <f>IFERROR(__xludf.DUMMYFUNCTION("""COMPUTED_VALUE"""),87.0)</f>
        <v>87</v>
      </c>
      <c r="K14" s="9"/>
      <c r="L14" s="9"/>
      <c r="M14" s="13">
        <f>IFERROR(__xludf.DUMMYFUNCTION("""COMPUTED_VALUE"""),0.3630014081802471)</f>
        <v>0.3630014082</v>
      </c>
      <c r="N14" s="13">
        <f>IFERROR(__xludf.DUMMYFUNCTION("""COMPUTED_VALUE"""),0.3218390804597701)</f>
        <v>0.3218390805</v>
      </c>
      <c r="O14" s="35">
        <f>IFERROR(__xludf.DUMMYFUNCTION("""COMPUTED_VALUE"""),-4.1162327720477005)</f>
        <v>-4.116232772</v>
      </c>
      <c r="P14" s="9"/>
      <c r="Q14" s="12">
        <f>IFERROR(__xludf.DUMMYFUNCTION("""COMPUTED_VALUE"""),28.0)</f>
        <v>28</v>
      </c>
      <c r="R14" s="9"/>
      <c r="S14" s="9"/>
      <c r="T14" s="9"/>
      <c r="U14" s="36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2">
        <f>IFERROR(__xludf.DUMMYFUNCTION("""COMPUTED_VALUE"""),141.0)</f>
        <v>141</v>
      </c>
      <c r="D15" s="9"/>
      <c r="E15" s="9"/>
      <c r="F15" s="9"/>
      <c r="G15" s="13">
        <f>IFERROR(__xludf.DUMMYFUNCTION("""COMPUTED_VALUE"""),0.8297872340425532)</f>
        <v>0.829787234</v>
      </c>
      <c r="H15" s="9"/>
      <c r="I15" s="9"/>
      <c r="J15" s="12">
        <f>IFERROR(__xludf.DUMMYFUNCTION("""COMPUTED_VALUE"""),117.0)</f>
        <v>117</v>
      </c>
      <c r="K15" s="9"/>
      <c r="L15" s="9"/>
      <c r="M15" s="13">
        <f>IFERROR(__xludf.DUMMYFUNCTION("""COMPUTED_VALUE"""),0.3630014081802471)</f>
        <v>0.3630014082</v>
      </c>
      <c r="N15" s="13">
        <f>IFERROR(__xludf.DUMMYFUNCTION("""COMPUTED_VALUE"""),0.2222222222222222)</f>
        <v>0.2222222222</v>
      </c>
      <c r="O15" s="35">
        <f>IFERROR(__xludf.DUMMYFUNCTION("""COMPUTED_VALUE"""),-14.07791859580249)</f>
        <v>-14.0779186</v>
      </c>
      <c r="P15" s="9"/>
      <c r="Q15" s="12">
        <f>IFERROR(__xludf.DUMMYFUNCTION("""COMPUTED_VALUE"""),26.0)</f>
        <v>26</v>
      </c>
      <c r="R15" s="9"/>
      <c r="S15" s="9"/>
      <c r="T15" s="9"/>
      <c r="U15" s="36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2">
        <f>IFERROR(__xludf.DUMMYFUNCTION("""COMPUTED_VALUE"""),65.0)</f>
        <v>65</v>
      </c>
      <c r="D16" s="9"/>
      <c r="E16" s="9"/>
      <c r="F16" s="9"/>
      <c r="G16" s="13">
        <f>IFERROR(__xludf.DUMMYFUNCTION("""COMPUTED_VALUE"""),0.8461538461538461)</f>
        <v>0.8461538462</v>
      </c>
      <c r="H16" s="9"/>
      <c r="I16" s="9"/>
      <c r="J16" s="12">
        <f>IFERROR(__xludf.DUMMYFUNCTION("""COMPUTED_VALUE"""),55.0)</f>
        <v>55</v>
      </c>
      <c r="K16" s="9"/>
      <c r="L16" s="9"/>
      <c r="M16" s="13">
        <f>IFERROR(__xludf.DUMMYFUNCTION("""COMPUTED_VALUE"""),0.3630014081802471)</f>
        <v>0.3630014082</v>
      </c>
      <c r="N16" s="13">
        <f>IFERROR(__xludf.DUMMYFUNCTION("""COMPUTED_VALUE"""),0.23636363636363636)</f>
        <v>0.2363636364</v>
      </c>
      <c r="O16" s="35">
        <f>IFERROR(__xludf.DUMMYFUNCTION("""COMPUTED_VALUE"""),-12.663777181661077)</f>
        <v>-12.66377718</v>
      </c>
      <c r="P16" s="9"/>
      <c r="Q16" s="12">
        <f>IFERROR(__xludf.DUMMYFUNCTION("""COMPUTED_VALUE"""),13.0)</f>
        <v>13</v>
      </c>
      <c r="R16" s="9"/>
      <c r="S16" s="9"/>
      <c r="T16" s="9"/>
      <c r="U16" s="36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2">
        <f>IFERROR(__xludf.DUMMYFUNCTION("""COMPUTED_VALUE"""),8.0)</f>
        <v>8</v>
      </c>
      <c r="D17" s="9"/>
      <c r="E17" s="9"/>
      <c r="F17" s="9"/>
      <c r="G17" s="13">
        <f>IFERROR(__xludf.DUMMYFUNCTION("""COMPUTED_VALUE"""),1.125)</f>
        <v>1.125</v>
      </c>
      <c r="H17" s="9"/>
      <c r="I17" s="9"/>
      <c r="J17" s="12">
        <f>IFERROR(__xludf.DUMMYFUNCTION("""COMPUTED_VALUE"""),9.0)</f>
        <v>9</v>
      </c>
      <c r="K17" s="9"/>
      <c r="L17" s="9"/>
      <c r="M17" s="13">
        <f>IFERROR(__xludf.DUMMYFUNCTION("""COMPUTED_VALUE"""),0.3630014081802471)</f>
        <v>0.3630014082</v>
      </c>
      <c r="N17" s="13">
        <f>IFERROR(__xludf.DUMMYFUNCTION("""COMPUTED_VALUE"""),0.8888888888888888)</f>
        <v>0.8888888889</v>
      </c>
      <c r="O17" s="35">
        <f>IFERROR(__xludf.DUMMYFUNCTION("""COMPUTED_VALUE"""),52.58874807086418)</f>
        <v>52.58874807</v>
      </c>
      <c r="P17" s="9"/>
      <c r="Q17" s="12">
        <f>IFERROR(__xludf.DUMMYFUNCTION("""COMPUTED_VALUE"""),8.0)</f>
        <v>8</v>
      </c>
      <c r="R17" s="9"/>
      <c r="S17" s="9"/>
      <c r="T17" s="9"/>
      <c r="U17" s="36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2">
        <f>IFERROR(__xludf.DUMMYFUNCTION("""COMPUTED_VALUE"""),9.0)</f>
        <v>9</v>
      </c>
      <c r="D18" s="9"/>
      <c r="E18" s="9"/>
      <c r="F18" s="9"/>
      <c r="G18" s="13">
        <f>IFERROR(__xludf.DUMMYFUNCTION("""COMPUTED_VALUE"""),1.0)</f>
        <v>1</v>
      </c>
      <c r="H18" s="9"/>
      <c r="I18" s="9"/>
      <c r="J18" s="12">
        <f>IFERROR(__xludf.DUMMYFUNCTION("""COMPUTED_VALUE"""),9.0)</f>
        <v>9</v>
      </c>
      <c r="K18" s="9"/>
      <c r="L18" s="9"/>
      <c r="M18" s="13">
        <f>IFERROR(__xludf.DUMMYFUNCTION("""COMPUTED_VALUE"""),0.3630014081802471)</f>
        <v>0.3630014082</v>
      </c>
      <c r="N18" s="13">
        <f>IFERROR(__xludf.DUMMYFUNCTION("""COMPUTED_VALUE"""),0.7777777777777778)</f>
        <v>0.7777777778</v>
      </c>
      <c r="O18" s="35">
        <f>IFERROR(__xludf.DUMMYFUNCTION("""COMPUTED_VALUE"""),41.47763695975307)</f>
        <v>41.47763696</v>
      </c>
      <c r="P18" s="9"/>
      <c r="Q18" s="12">
        <f>IFERROR(__xludf.DUMMYFUNCTION("""COMPUTED_VALUE"""),7.0)</f>
        <v>7</v>
      </c>
      <c r="R18" s="9"/>
      <c r="S18" s="9"/>
      <c r="T18" s="9"/>
      <c r="U18" s="36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2">
        <f>IFERROR(__xludf.DUMMYFUNCTION("""COMPUTED_VALUE"""),11.0)</f>
        <v>11</v>
      </c>
      <c r="D19" s="9"/>
      <c r="E19" s="9"/>
      <c r="F19" s="9"/>
      <c r="G19" s="13">
        <f>IFERROR(__xludf.DUMMYFUNCTION("""COMPUTED_VALUE"""),1.0)</f>
        <v>1</v>
      </c>
      <c r="H19" s="9"/>
      <c r="I19" s="9"/>
      <c r="J19" s="12">
        <f>IFERROR(__xludf.DUMMYFUNCTION("""COMPUTED_VALUE"""),11.0)</f>
        <v>11</v>
      </c>
      <c r="K19" s="9"/>
      <c r="L19" s="9"/>
      <c r="M19" s="13">
        <f>IFERROR(__xludf.DUMMYFUNCTION("""COMPUTED_VALUE"""),0.3630014081802471)</f>
        <v>0.3630014082</v>
      </c>
      <c r="N19" s="13">
        <f>IFERROR(__xludf.DUMMYFUNCTION("""COMPUTED_VALUE"""),0.5454545454545454)</f>
        <v>0.5454545455</v>
      </c>
      <c r="O19" s="35">
        <f>IFERROR(__xludf.DUMMYFUNCTION("""COMPUTED_VALUE"""),18.245313727429828)</f>
        <v>18.24531373</v>
      </c>
      <c r="P19" s="9"/>
      <c r="Q19" s="12">
        <f>IFERROR(__xludf.DUMMYFUNCTION("""COMPUTED_VALUE"""),6.0)</f>
        <v>6</v>
      </c>
      <c r="R19" s="9"/>
      <c r="S19" s="9"/>
      <c r="T19" s="9"/>
      <c r="U19" s="36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2">
        <f>IFERROR(__xludf.DUMMYFUNCTION("""COMPUTED_VALUE"""),1.0)</f>
        <v>1</v>
      </c>
      <c r="D20" s="9"/>
      <c r="E20" s="9"/>
      <c r="F20" s="9"/>
      <c r="G20" s="13">
        <f>IFERROR(__xludf.DUMMYFUNCTION("""COMPUTED_VALUE"""),1.0)</f>
        <v>1</v>
      </c>
      <c r="H20" s="9"/>
      <c r="I20" s="9"/>
      <c r="J20" s="12">
        <f>IFERROR(__xludf.DUMMYFUNCTION("""COMPUTED_VALUE"""),1.0)</f>
        <v>1</v>
      </c>
      <c r="K20" s="9"/>
      <c r="L20" s="9"/>
      <c r="M20" s="13">
        <f>IFERROR(__xludf.DUMMYFUNCTION("""COMPUTED_VALUE"""),0.3630014081802471)</f>
        <v>0.3630014082</v>
      </c>
      <c r="N20" s="13">
        <f>IFERROR(__xludf.DUMMYFUNCTION("""COMPUTED_VALUE"""),1.0)</f>
        <v>1</v>
      </c>
      <c r="O20" s="35">
        <f>IFERROR(__xludf.DUMMYFUNCTION("""COMPUTED_VALUE"""),63.69985918197529)</f>
        <v>63.69985918</v>
      </c>
      <c r="P20" s="9"/>
      <c r="Q20" s="12">
        <f>IFERROR(__xludf.DUMMYFUNCTION("""COMPUTED_VALUE"""),1.0)</f>
        <v>1</v>
      </c>
      <c r="R20" s="9"/>
      <c r="S20" s="9"/>
      <c r="T20" s="9"/>
      <c r="U20" s="36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2">
        <f>IFERROR(__xludf.DUMMYFUNCTION("""COMPUTED_VALUE"""),1.0)</f>
        <v>1</v>
      </c>
      <c r="D21" s="9"/>
      <c r="E21" s="9"/>
      <c r="F21" s="9"/>
      <c r="G21" s="13">
        <f>IFERROR(__xludf.DUMMYFUNCTION("""COMPUTED_VALUE"""),1.0)</f>
        <v>1</v>
      </c>
      <c r="H21" s="9"/>
      <c r="I21" s="9"/>
      <c r="J21" s="12">
        <f>IFERROR(__xludf.DUMMYFUNCTION("""COMPUTED_VALUE"""),1.0)</f>
        <v>1</v>
      </c>
      <c r="K21" s="9"/>
      <c r="L21" s="9"/>
      <c r="M21" s="13">
        <f>IFERROR(__xludf.DUMMYFUNCTION("""COMPUTED_VALUE"""),0.3630014081802471)</f>
        <v>0.3630014082</v>
      </c>
      <c r="N21" s="13">
        <f>IFERROR(__xludf.DUMMYFUNCTION("""COMPUTED_VALUE"""),1.0)</f>
        <v>1</v>
      </c>
      <c r="O21" s="35">
        <f>IFERROR(__xludf.DUMMYFUNCTION("""COMPUTED_VALUE"""),63.69985918197529)</f>
        <v>63.69985918</v>
      </c>
      <c r="P21" s="9"/>
      <c r="Q21" s="12">
        <f>IFERROR(__xludf.DUMMYFUNCTION("""COMPUTED_VALUE"""),1.0)</f>
        <v>1</v>
      </c>
      <c r="R21" s="9"/>
      <c r="S21" s="9"/>
      <c r="T21" s="9"/>
      <c r="U21" s="36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2">
        <f>IFERROR(__xludf.DUMMYFUNCTION("""COMPUTED_VALUE"""),1.0)</f>
        <v>1</v>
      </c>
      <c r="D22" s="9"/>
      <c r="E22" s="9"/>
      <c r="F22" s="9"/>
      <c r="G22" s="13">
        <f>IFERROR(__xludf.DUMMYFUNCTION("""COMPUTED_VALUE"""),0.0)</f>
        <v>0</v>
      </c>
      <c r="H22" s="9"/>
      <c r="I22" s="9"/>
      <c r="J22" s="12">
        <f>IFERROR(__xludf.DUMMYFUNCTION("""COMPUTED_VALUE"""),0.0)</f>
        <v>0</v>
      </c>
      <c r="K22" s="9"/>
      <c r="L22" s="9"/>
      <c r="M22" s="13">
        <f>IFERROR(__xludf.DUMMYFUNCTION("""COMPUTED_VALUE"""),0.3630014081802471)</f>
        <v>0.3630014082</v>
      </c>
      <c r="N22" s="13">
        <f>IFERROR(__xludf.DUMMYFUNCTION("""COMPUTED_VALUE"""),0.0)</f>
        <v>0</v>
      </c>
      <c r="O22" s="35">
        <f>IFERROR(__xludf.DUMMYFUNCTION("""COMPUTED_VALUE"""),-36.300140818024715)</f>
        <v>-36.30014082</v>
      </c>
      <c r="P22" s="9"/>
      <c r="Q22" s="12">
        <f>IFERROR(__xludf.DUMMYFUNCTION("""COMPUTED_VALUE"""),0.0)</f>
        <v>0</v>
      </c>
      <c r="R22" s="9"/>
      <c r="S22" s="9"/>
      <c r="T22" s="9"/>
      <c r="U22" s="36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2">
        <f>IFERROR(__xludf.DUMMYFUNCTION("""COMPUTED_VALUE"""),2.0)</f>
        <v>2</v>
      </c>
      <c r="D23" s="9"/>
      <c r="E23" s="9"/>
      <c r="F23" s="9"/>
      <c r="G23" s="13">
        <f>IFERROR(__xludf.DUMMYFUNCTION("""COMPUTED_VALUE"""),1.0)</f>
        <v>1</v>
      </c>
      <c r="H23" s="9"/>
      <c r="I23" s="9"/>
      <c r="J23" s="12">
        <f>IFERROR(__xludf.DUMMYFUNCTION("""COMPUTED_VALUE"""),2.0)</f>
        <v>2</v>
      </c>
      <c r="K23" s="9"/>
      <c r="L23" s="9"/>
      <c r="M23" s="13">
        <f>IFERROR(__xludf.DUMMYFUNCTION("""COMPUTED_VALUE"""),0.3630014081802471)</f>
        <v>0.3630014082</v>
      </c>
      <c r="N23" s="13">
        <f>IFERROR(__xludf.DUMMYFUNCTION("""COMPUTED_VALUE"""),0.0)</f>
        <v>0</v>
      </c>
      <c r="O23" s="35">
        <f>IFERROR(__xludf.DUMMYFUNCTION("""COMPUTED_VALUE"""),-36.300140818024715)</f>
        <v>-36.30014082</v>
      </c>
      <c r="P23" s="9"/>
      <c r="Q23" s="12">
        <f>IFERROR(__xludf.DUMMYFUNCTION("""COMPUTED_VALUE"""),0.0)</f>
        <v>0</v>
      </c>
      <c r="R23" s="9"/>
      <c r="S23" s="9"/>
      <c r="T23" s="9"/>
      <c r="U23" s="36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2">
        <f>IFERROR(__xludf.DUMMYFUNCTION("""COMPUTED_VALUE"""),1.0)</f>
        <v>1</v>
      </c>
      <c r="D24" s="9"/>
      <c r="E24" s="9"/>
      <c r="F24" s="9"/>
      <c r="G24" s="13">
        <f>IFERROR(__xludf.DUMMYFUNCTION("""COMPUTED_VALUE"""),0.0)</f>
        <v>0</v>
      </c>
      <c r="H24" s="9"/>
      <c r="I24" s="9"/>
      <c r="J24" s="12">
        <f>IFERROR(__xludf.DUMMYFUNCTION("""COMPUTED_VALUE"""),0.0)</f>
        <v>0</v>
      </c>
      <c r="K24" s="9"/>
      <c r="L24" s="9"/>
      <c r="M24" s="13">
        <f>IFERROR(__xludf.DUMMYFUNCTION("""COMPUTED_VALUE"""),0.3630014081802471)</f>
        <v>0.3630014082</v>
      </c>
      <c r="N24" s="13">
        <f>IFERROR(__xludf.DUMMYFUNCTION("""COMPUTED_VALUE"""),0.0)</f>
        <v>0</v>
      </c>
      <c r="O24" s="35">
        <f>IFERROR(__xludf.DUMMYFUNCTION("""COMPUTED_VALUE"""),-36.300140818024715)</f>
        <v>-36.30014082</v>
      </c>
      <c r="P24" s="9"/>
      <c r="Q24" s="12">
        <f>IFERROR(__xludf.DUMMYFUNCTION("""COMPUTED_VALUE"""),0.0)</f>
        <v>0</v>
      </c>
      <c r="R24" s="9"/>
      <c r="S24" s="9"/>
      <c r="T24" s="9"/>
      <c r="U24" s="36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2">
        <f>IFERROR(__xludf.DUMMYFUNCTION("""COMPUTED_VALUE"""),230.32258064516117)</f>
        <v>230.3225806</v>
      </c>
      <c r="C25" s="12">
        <f>IFERROR(__xludf.DUMMYFUNCTION("""COMPUTED_VALUE"""),121.0)</f>
        <v>121</v>
      </c>
      <c r="D25" s="12">
        <f>IFERROR(__xludf.DUMMYFUNCTION("""COMPUTED_VALUE"""),-109.32258064516117)</f>
        <v>-109.3225806</v>
      </c>
      <c r="E25" s="13">
        <f>IFERROR(__xludf.DUMMYFUNCTION("""COMPUTED_VALUE"""),-0.4746498599439773)</f>
        <v>-0.4746498599</v>
      </c>
      <c r="F25" s="13">
        <f>IFERROR(__xludf.DUMMYFUNCTION("""COMPUTED_VALUE"""),0.8100000000000002)</f>
        <v>0.81</v>
      </c>
      <c r="G25" s="13">
        <f>IFERROR(__xludf.DUMMYFUNCTION("""COMPUTED_VALUE"""),0.8347107438016529)</f>
        <v>0.8347107438</v>
      </c>
      <c r="H25" s="35">
        <f>IFERROR(__xludf.DUMMYFUNCTION("""COMPUTED_VALUE"""),2.4710743801652724)</f>
        <v>2.47107438</v>
      </c>
      <c r="I25" s="12">
        <f>IFERROR(__xludf.DUMMYFUNCTION("""COMPUTED_VALUE"""),186.5612903225806)</f>
        <v>186.5612903</v>
      </c>
      <c r="J25" s="12">
        <f>IFERROR(__xludf.DUMMYFUNCTION("""COMPUTED_VALUE"""),101.0)</f>
        <v>101</v>
      </c>
      <c r="K25" s="12">
        <f>IFERROR(__xludf.DUMMYFUNCTION("""COMPUTED_VALUE"""),-85.56129032258059)</f>
        <v>-85.56129032</v>
      </c>
      <c r="L25" s="13">
        <f>IFERROR(__xludf.DUMMYFUNCTION("""COMPUTED_VALUE"""),-0.4586229553549813)</f>
        <v>-0.4586229554</v>
      </c>
      <c r="M25" s="13">
        <f>IFERROR(__xludf.DUMMYFUNCTION("""COMPUTED_VALUE"""),0.31091176470588244)</f>
        <v>0.3109117647</v>
      </c>
      <c r="N25" s="13">
        <f>IFERROR(__xludf.DUMMYFUNCTION("""COMPUTED_VALUE"""),0.38613861386138615)</f>
        <v>0.3861386139</v>
      </c>
      <c r="O25" s="35">
        <f>IFERROR(__xludf.DUMMYFUNCTION("""COMPUTED_VALUE"""),7.5226849155503706)</f>
        <v>7.522684916</v>
      </c>
      <c r="P25" s="12">
        <f>IFERROR(__xludf.DUMMYFUNCTION("""COMPUTED_VALUE"""),58.0041)</f>
        <v>58.0041</v>
      </c>
      <c r="Q25" s="12">
        <f>IFERROR(__xludf.DUMMYFUNCTION("""COMPUTED_VALUE"""),39.0)</f>
        <v>39</v>
      </c>
      <c r="R25" s="12">
        <f>IFERROR(__xludf.DUMMYFUNCTION("""COMPUTED_VALUE"""),-19.0041)</f>
        <v>-19.0041</v>
      </c>
      <c r="S25" s="13">
        <f>IFERROR(__xludf.DUMMYFUNCTION("""COMPUTED_VALUE"""),-0.32763373623588676)</f>
        <v>-0.3276337362</v>
      </c>
      <c r="T25" s="12">
        <f>IFERROR(__xludf.DUMMYFUNCTION("""COMPUTED_VALUE"""),308830.70232000004)</f>
        <v>308830.7023</v>
      </c>
      <c r="U25" s="36">
        <f>IFERROR(__xludf.DUMMYFUNCTION("""COMPUTED_VALUE"""),1655.3846823529418)</f>
        <v>1655.384682</v>
      </c>
      <c r="V25" s="36">
        <f>IFERROR(__xludf.DUMMYFUNCTION("""COMPUTED_VALUE"""),-141636.8494023529)</f>
        <v>-141636.8494</v>
      </c>
      <c r="W25" s="13">
        <f>IFERROR(__xludf.DUMMYFUNCTION("""COMPUTED_VALUE"""),-0.4586229553549813)</f>
        <v>-0.4586229554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2">
        <f>IFERROR(__xludf.DUMMYFUNCTION("""COMPUTED_VALUE"""),38.0)</f>
        <v>38</v>
      </c>
      <c r="D26" s="9"/>
      <c r="E26" s="9"/>
      <c r="F26" s="9"/>
      <c r="G26" s="13">
        <f>IFERROR(__xludf.DUMMYFUNCTION("""COMPUTED_VALUE"""),0.9473684210526315)</f>
        <v>0.9473684211</v>
      </c>
      <c r="H26" s="9"/>
      <c r="I26" s="9"/>
      <c r="J26" s="12">
        <f>IFERROR(__xludf.DUMMYFUNCTION("""COMPUTED_VALUE"""),36.0)</f>
        <v>36</v>
      </c>
      <c r="K26" s="9"/>
      <c r="L26" s="9"/>
      <c r="M26" s="9"/>
      <c r="N26" s="13">
        <f>IFERROR(__xludf.DUMMYFUNCTION("""COMPUTED_VALUE"""),0.4722222222222222)</f>
        <v>0.4722222222</v>
      </c>
      <c r="O26" s="9"/>
      <c r="P26" s="9"/>
      <c r="Q26" s="12">
        <f>IFERROR(__xludf.DUMMYFUNCTION("""COMPUTED_VALUE"""),17.0)</f>
        <v>17</v>
      </c>
      <c r="R26" s="9"/>
      <c r="S26" s="9"/>
      <c r="T26" s="9"/>
      <c r="U26" s="36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2">
        <f>IFERROR(__xludf.DUMMYFUNCTION("""COMPUTED_VALUE"""),51.0)</f>
        <v>51</v>
      </c>
      <c r="D27" s="9"/>
      <c r="E27" s="9"/>
      <c r="F27" s="9"/>
      <c r="G27" s="13">
        <f>IFERROR(__xludf.DUMMYFUNCTION("""COMPUTED_VALUE"""),0.7450980392156863)</f>
        <v>0.7450980392</v>
      </c>
      <c r="H27" s="9"/>
      <c r="I27" s="9"/>
      <c r="J27" s="12">
        <f>IFERROR(__xludf.DUMMYFUNCTION("""COMPUTED_VALUE"""),38.0)</f>
        <v>38</v>
      </c>
      <c r="K27" s="9"/>
      <c r="L27" s="9"/>
      <c r="M27" s="9"/>
      <c r="N27" s="13">
        <f>IFERROR(__xludf.DUMMYFUNCTION("""COMPUTED_VALUE"""),0.4473684210526316)</f>
        <v>0.4473684211</v>
      </c>
      <c r="O27" s="9"/>
      <c r="P27" s="9"/>
      <c r="Q27" s="12">
        <f>IFERROR(__xludf.DUMMYFUNCTION("""COMPUTED_VALUE"""),17.0)</f>
        <v>17</v>
      </c>
      <c r="R27" s="9"/>
      <c r="S27" s="9"/>
      <c r="T27" s="9"/>
      <c r="U27" s="36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2">
        <f>IFERROR(__xludf.DUMMYFUNCTION("""COMPUTED_VALUE"""),53.0)</f>
        <v>53</v>
      </c>
      <c r="D28" s="9"/>
      <c r="E28" s="9"/>
      <c r="F28" s="9"/>
      <c r="G28" s="13">
        <f>IFERROR(__xludf.DUMMYFUNCTION("""COMPUTED_VALUE"""),0.8301886792452831)</f>
        <v>0.8301886792</v>
      </c>
      <c r="H28" s="9"/>
      <c r="I28" s="9"/>
      <c r="J28" s="12">
        <f>IFERROR(__xludf.DUMMYFUNCTION("""COMPUTED_VALUE"""),44.0)</f>
        <v>44</v>
      </c>
      <c r="K28" s="9"/>
      <c r="L28" s="9"/>
      <c r="M28" s="9"/>
      <c r="N28" s="13">
        <f>IFERROR(__xludf.DUMMYFUNCTION("""COMPUTED_VALUE"""),0.36363636363636365)</f>
        <v>0.3636363636</v>
      </c>
      <c r="O28" s="9"/>
      <c r="P28" s="9"/>
      <c r="Q28" s="12">
        <f>IFERROR(__xludf.DUMMYFUNCTION("""COMPUTED_VALUE"""),16.0)</f>
        <v>16</v>
      </c>
      <c r="R28" s="9"/>
      <c r="S28" s="9"/>
      <c r="T28" s="9"/>
      <c r="U28" s="36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2">
        <f>IFERROR(__xludf.DUMMYFUNCTION("""COMPUTED_VALUE"""),50.0)</f>
        <v>50</v>
      </c>
      <c r="D29" s="9"/>
      <c r="E29" s="9"/>
      <c r="F29" s="9"/>
      <c r="G29" s="13">
        <f>IFERROR(__xludf.DUMMYFUNCTION("""COMPUTED_VALUE"""),0.84)</f>
        <v>0.84</v>
      </c>
      <c r="H29" s="9"/>
      <c r="I29" s="9"/>
      <c r="J29" s="12">
        <f>IFERROR(__xludf.DUMMYFUNCTION("""COMPUTED_VALUE"""),42.0)</f>
        <v>42</v>
      </c>
      <c r="K29" s="9"/>
      <c r="L29" s="9"/>
      <c r="M29" s="9"/>
      <c r="N29" s="13">
        <f>IFERROR(__xludf.DUMMYFUNCTION("""COMPUTED_VALUE"""),0.3333333333333333)</f>
        <v>0.3333333333</v>
      </c>
      <c r="O29" s="9"/>
      <c r="P29" s="9"/>
      <c r="Q29" s="12">
        <f>IFERROR(__xludf.DUMMYFUNCTION("""COMPUTED_VALUE"""),14.0)</f>
        <v>14</v>
      </c>
      <c r="R29" s="9"/>
      <c r="S29" s="9"/>
      <c r="T29" s="9"/>
      <c r="U29" s="36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2">
        <f>IFERROR(__xludf.DUMMYFUNCTION("""COMPUTED_VALUE"""),40.0)</f>
        <v>40</v>
      </c>
      <c r="D30" s="9"/>
      <c r="E30" s="9"/>
      <c r="F30" s="9"/>
      <c r="G30" s="13">
        <f>IFERROR(__xludf.DUMMYFUNCTION("""COMPUTED_VALUE"""),0.8)</f>
        <v>0.8</v>
      </c>
      <c r="H30" s="9"/>
      <c r="I30" s="9"/>
      <c r="J30" s="12">
        <f>IFERROR(__xludf.DUMMYFUNCTION("""COMPUTED_VALUE"""),32.0)</f>
        <v>32</v>
      </c>
      <c r="K30" s="9"/>
      <c r="L30" s="9"/>
      <c r="M30" s="9"/>
      <c r="N30" s="13">
        <f>IFERROR(__xludf.DUMMYFUNCTION("""COMPUTED_VALUE"""),0.40625)</f>
        <v>0.40625</v>
      </c>
      <c r="O30" s="9"/>
      <c r="P30" s="9"/>
      <c r="Q30" s="12">
        <f>IFERROR(__xludf.DUMMYFUNCTION("""COMPUTED_VALUE"""),13.0)</f>
        <v>13</v>
      </c>
      <c r="R30" s="9"/>
      <c r="S30" s="9"/>
      <c r="T30" s="9"/>
      <c r="U30" s="36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2">
        <f>IFERROR(__xludf.DUMMYFUNCTION("""COMPUTED_VALUE"""),47.0)</f>
        <v>47</v>
      </c>
      <c r="D31" s="9"/>
      <c r="E31" s="9"/>
      <c r="F31" s="9"/>
      <c r="G31" s="13">
        <f>IFERROR(__xludf.DUMMYFUNCTION("""COMPUTED_VALUE"""),0.8936170212765957)</f>
        <v>0.8936170213</v>
      </c>
      <c r="H31" s="9"/>
      <c r="I31" s="9"/>
      <c r="J31" s="12">
        <f>IFERROR(__xludf.DUMMYFUNCTION("""COMPUTED_VALUE"""),42.0)</f>
        <v>42</v>
      </c>
      <c r="K31" s="9"/>
      <c r="L31" s="9"/>
      <c r="M31" s="9"/>
      <c r="N31" s="13">
        <f>IFERROR(__xludf.DUMMYFUNCTION("""COMPUTED_VALUE"""),0.2857142857142857)</f>
        <v>0.2857142857</v>
      </c>
      <c r="O31" s="9"/>
      <c r="P31" s="9"/>
      <c r="Q31" s="12">
        <f>IFERROR(__xludf.DUMMYFUNCTION("""COMPUTED_VALUE"""),12.0)</f>
        <v>12</v>
      </c>
      <c r="R31" s="9"/>
      <c r="S31" s="9"/>
      <c r="T31" s="9"/>
      <c r="U31" s="36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2">
        <f>IFERROR(__xludf.DUMMYFUNCTION("""COMPUTED_VALUE"""),42.0)</f>
        <v>42</v>
      </c>
      <c r="D32" s="9"/>
      <c r="E32" s="9"/>
      <c r="F32" s="9"/>
      <c r="G32" s="13">
        <f>IFERROR(__xludf.DUMMYFUNCTION("""COMPUTED_VALUE"""),0.7619047619047619)</f>
        <v>0.7619047619</v>
      </c>
      <c r="H32" s="9"/>
      <c r="I32" s="9"/>
      <c r="J32" s="12">
        <f>IFERROR(__xludf.DUMMYFUNCTION("""COMPUTED_VALUE"""),32.0)</f>
        <v>32</v>
      </c>
      <c r="K32" s="9"/>
      <c r="L32" s="9"/>
      <c r="M32" s="9"/>
      <c r="N32" s="13">
        <f>IFERROR(__xludf.DUMMYFUNCTION("""COMPUTED_VALUE"""),0.3125)</f>
        <v>0.3125</v>
      </c>
      <c r="O32" s="9"/>
      <c r="P32" s="9"/>
      <c r="Q32" s="12">
        <f>IFERROR(__xludf.DUMMYFUNCTION("""COMPUTED_VALUE"""),10.0)</f>
        <v>10</v>
      </c>
      <c r="R32" s="9"/>
      <c r="S32" s="9"/>
      <c r="T32" s="9"/>
      <c r="U32" s="36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2">
        <f>IFERROR(__xludf.DUMMYFUNCTION("""COMPUTED_VALUE"""),32.0)</f>
        <v>32</v>
      </c>
      <c r="D33" s="9"/>
      <c r="E33" s="9"/>
      <c r="F33" s="9"/>
      <c r="G33" s="13">
        <f>IFERROR(__xludf.DUMMYFUNCTION("""COMPUTED_VALUE"""),0.90625)</f>
        <v>0.90625</v>
      </c>
      <c r="H33" s="9"/>
      <c r="I33" s="9"/>
      <c r="J33" s="12">
        <f>IFERROR(__xludf.DUMMYFUNCTION("""COMPUTED_VALUE"""),29.0)</f>
        <v>29</v>
      </c>
      <c r="K33" s="9"/>
      <c r="L33" s="9"/>
      <c r="M33" s="9"/>
      <c r="N33" s="13">
        <f>IFERROR(__xludf.DUMMYFUNCTION("""COMPUTED_VALUE"""),0.27586206896551724)</f>
        <v>0.275862069</v>
      </c>
      <c r="O33" s="9"/>
      <c r="P33" s="9"/>
      <c r="Q33" s="12">
        <f>IFERROR(__xludf.DUMMYFUNCTION("""COMPUTED_VALUE"""),8.0)</f>
        <v>8</v>
      </c>
      <c r="R33" s="9"/>
      <c r="S33" s="9"/>
      <c r="T33" s="9"/>
      <c r="U33" s="36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2">
        <f>IFERROR(__xludf.DUMMYFUNCTION("""COMPUTED_VALUE"""),38.0)</f>
        <v>38</v>
      </c>
      <c r="D34" s="9"/>
      <c r="E34" s="9"/>
      <c r="F34" s="9"/>
      <c r="G34" s="13">
        <f>IFERROR(__xludf.DUMMYFUNCTION("""COMPUTED_VALUE"""),0.7631578947368421)</f>
        <v>0.7631578947</v>
      </c>
      <c r="H34" s="9"/>
      <c r="I34" s="9"/>
      <c r="J34" s="12">
        <f>IFERROR(__xludf.DUMMYFUNCTION("""COMPUTED_VALUE"""),29.0)</f>
        <v>29</v>
      </c>
      <c r="K34" s="9"/>
      <c r="L34" s="9"/>
      <c r="M34" s="9"/>
      <c r="N34" s="13">
        <f>IFERROR(__xludf.DUMMYFUNCTION("""COMPUTED_VALUE"""),0.2413793103448276)</f>
        <v>0.2413793103</v>
      </c>
      <c r="O34" s="9"/>
      <c r="P34" s="9"/>
      <c r="Q34" s="12">
        <f>IFERROR(__xludf.DUMMYFUNCTION("""COMPUTED_VALUE"""),7.0)</f>
        <v>7</v>
      </c>
      <c r="R34" s="9"/>
      <c r="S34" s="9"/>
      <c r="T34" s="9"/>
      <c r="U34" s="36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2">
        <f>IFERROR(__xludf.DUMMYFUNCTION("""COMPUTED_VALUE"""),11.0)</f>
        <v>11</v>
      </c>
      <c r="D35" s="9"/>
      <c r="E35" s="9"/>
      <c r="F35" s="9"/>
      <c r="G35" s="13">
        <f>IFERROR(__xludf.DUMMYFUNCTION("""COMPUTED_VALUE"""),1.0)</f>
        <v>1</v>
      </c>
      <c r="H35" s="9"/>
      <c r="I35" s="9"/>
      <c r="J35" s="12">
        <f>IFERROR(__xludf.DUMMYFUNCTION("""COMPUTED_VALUE"""),11.0)</f>
        <v>11</v>
      </c>
      <c r="K35" s="9"/>
      <c r="L35" s="9"/>
      <c r="M35" s="9"/>
      <c r="N35" s="13">
        <f>IFERROR(__xludf.DUMMYFUNCTION("""COMPUTED_VALUE"""),0.36363636363636365)</f>
        <v>0.3636363636</v>
      </c>
      <c r="O35" s="9"/>
      <c r="P35" s="9"/>
      <c r="Q35" s="12">
        <f>IFERROR(__xludf.DUMMYFUNCTION("""COMPUTED_VALUE"""),4.0)</f>
        <v>4</v>
      </c>
      <c r="R35" s="9"/>
      <c r="S35" s="9"/>
      <c r="T35" s="9"/>
      <c r="U35" s="36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2">
        <f>IFERROR(__xludf.DUMMYFUNCTION("""COMPUTED_VALUE"""),31.0)</f>
        <v>31</v>
      </c>
      <c r="D36" s="9"/>
      <c r="E36" s="9"/>
      <c r="F36" s="9"/>
      <c r="G36" s="13">
        <f>IFERROR(__xludf.DUMMYFUNCTION("""COMPUTED_VALUE"""),0.6774193548387096)</f>
        <v>0.6774193548</v>
      </c>
      <c r="H36" s="9"/>
      <c r="I36" s="9"/>
      <c r="J36" s="12">
        <f>IFERROR(__xludf.DUMMYFUNCTION("""COMPUTED_VALUE"""),21.0)</f>
        <v>21</v>
      </c>
      <c r="K36" s="9"/>
      <c r="L36" s="9"/>
      <c r="M36" s="9"/>
      <c r="N36" s="13">
        <f>IFERROR(__xludf.DUMMYFUNCTION("""COMPUTED_VALUE"""),0.14285714285714285)</f>
        <v>0.1428571429</v>
      </c>
      <c r="O36" s="9"/>
      <c r="P36" s="9"/>
      <c r="Q36" s="12">
        <f>IFERROR(__xludf.DUMMYFUNCTION("""COMPUTED_VALUE"""),3.0)</f>
        <v>3</v>
      </c>
      <c r="R36" s="9"/>
      <c r="S36" s="9"/>
      <c r="T36" s="9"/>
      <c r="U36" s="36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2">
        <f>IFERROR(__xludf.DUMMYFUNCTION("""COMPUTED_VALUE"""),4.0)</f>
        <v>4</v>
      </c>
      <c r="D37" s="9"/>
      <c r="E37" s="9"/>
      <c r="F37" s="9"/>
      <c r="G37" s="13">
        <f>IFERROR(__xludf.DUMMYFUNCTION("""COMPUTED_VALUE"""),1.25)</f>
        <v>1.25</v>
      </c>
      <c r="H37" s="9"/>
      <c r="I37" s="9"/>
      <c r="J37" s="12">
        <f>IFERROR(__xludf.DUMMYFUNCTION("""COMPUTED_VALUE"""),5.0)</f>
        <v>5</v>
      </c>
      <c r="K37" s="9"/>
      <c r="L37" s="9"/>
      <c r="M37" s="9"/>
      <c r="N37" s="13">
        <f>IFERROR(__xludf.DUMMYFUNCTION("""COMPUTED_VALUE"""),0.4)</f>
        <v>0.4</v>
      </c>
      <c r="O37" s="9"/>
      <c r="P37" s="9"/>
      <c r="Q37" s="12">
        <f>IFERROR(__xludf.DUMMYFUNCTION("""COMPUTED_VALUE"""),2.0)</f>
        <v>2</v>
      </c>
      <c r="R37" s="9"/>
      <c r="S37" s="9"/>
      <c r="T37" s="9"/>
      <c r="U37" s="36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2">
        <f>IFERROR(__xludf.DUMMYFUNCTION("""COMPUTED_VALUE"""),219.35483870967732)</f>
        <v>219.3548387</v>
      </c>
      <c r="C38" s="12">
        <f>IFERROR(__xludf.DUMMYFUNCTION("""COMPUTED_VALUE"""),128.0)</f>
        <v>128</v>
      </c>
      <c r="D38" s="12">
        <f>IFERROR(__xludf.DUMMYFUNCTION("""COMPUTED_VALUE"""),-91.35483870967732)</f>
        <v>-91.35483871</v>
      </c>
      <c r="E38" s="13">
        <f>IFERROR(__xludf.DUMMYFUNCTION("""COMPUTED_VALUE"""),-0.41647058823529387)</f>
        <v>-0.4164705882</v>
      </c>
      <c r="F38" s="13">
        <f>IFERROR(__xludf.DUMMYFUNCTION("""COMPUTED_VALUE"""),0.7454545454545455)</f>
        <v>0.7454545455</v>
      </c>
      <c r="G38" s="13">
        <f>IFERROR(__xludf.DUMMYFUNCTION("""COMPUTED_VALUE"""),0.828125)</f>
        <v>0.828125</v>
      </c>
      <c r="H38" s="35">
        <f>IFERROR(__xludf.DUMMYFUNCTION("""COMPUTED_VALUE"""),8.267045454545451)</f>
        <v>8.267045455</v>
      </c>
      <c r="I38" s="12">
        <f>IFERROR(__xludf.DUMMYFUNCTION("""COMPUTED_VALUE"""),163.51906158357764)</f>
        <v>163.5190616</v>
      </c>
      <c r="J38" s="12">
        <f>IFERROR(__xludf.DUMMYFUNCTION("""COMPUTED_VALUE"""),106.0)</f>
        <v>106</v>
      </c>
      <c r="K38" s="12">
        <f>IFERROR(__xludf.DUMMYFUNCTION("""COMPUTED_VALUE"""),-57.51906158357764)</f>
        <v>-57.51906158</v>
      </c>
      <c r="L38" s="13">
        <f>IFERROR(__xludf.DUMMYFUNCTION("""COMPUTED_VALUE"""),-0.3517575322812049)</f>
        <v>-0.3517575323</v>
      </c>
      <c r="M38" s="13">
        <f>IFERROR(__xludf.DUMMYFUNCTION("""COMPUTED_VALUE"""),0.45499282639885236)</f>
        <v>0.4549928264</v>
      </c>
      <c r="N38" s="13">
        <f>IFERROR(__xludf.DUMMYFUNCTION("""COMPUTED_VALUE"""),0.44339622641509435)</f>
        <v>0.4433962264</v>
      </c>
      <c r="O38" s="35">
        <f>IFERROR(__xludf.DUMMYFUNCTION("""COMPUTED_VALUE"""),-1.1596599983758005)</f>
        <v>-1.159659998</v>
      </c>
      <c r="P38" s="12">
        <f>IFERROR(__xludf.DUMMYFUNCTION("""COMPUTED_VALUE"""),74.39999999999999)</f>
        <v>74.4</v>
      </c>
      <c r="Q38" s="12">
        <f>IFERROR(__xludf.DUMMYFUNCTION("""COMPUTED_VALUE"""),47.0)</f>
        <v>47</v>
      </c>
      <c r="R38" s="12">
        <f>IFERROR(__xludf.DUMMYFUNCTION("""COMPUTED_VALUE"""),-27.39999999999999)</f>
        <v>-27.4</v>
      </c>
      <c r="S38" s="13">
        <f>IFERROR(__xludf.DUMMYFUNCTION("""COMPUTED_VALUE"""),-0.36827956989247307)</f>
        <v>-0.3682795699</v>
      </c>
      <c r="T38" s="12">
        <f>IFERROR(__xludf.DUMMYFUNCTION("""COMPUTED_VALUE"""),297805.02952727274)</f>
        <v>297805.0295</v>
      </c>
      <c r="U38" s="36">
        <f>IFERROR(__xludf.DUMMYFUNCTION("""COMPUTED_VALUE"""),1821.225162639886)</f>
        <v>1821.225163</v>
      </c>
      <c r="V38" s="36">
        <f>IFERROR(__xludf.DUMMYFUNCTION("""COMPUTED_VALUE"""),-104755.16228744481)</f>
        <v>-104755.1623</v>
      </c>
      <c r="W38" s="13">
        <f>IFERROR(__xludf.DUMMYFUNCTION("""COMPUTED_VALUE"""),-0.3517575322812049)</f>
        <v>-0.3517575323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2" t="str">
        <f>IFERROR(__xludf.DUMMYFUNCTION("""COMPUTED_VALUE"""),"#REF!")</f>
        <v>#REF!</v>
      </c>
      <c r="D39" s="9"/>
      <c r="E39" s="9"/>
      <c r="F39" s="9"/>
      <c r="G39" s="13" t="str">
        <f>IFERROR(__xludf.DUMMYFUNCTION("""COMPUTED_VALUE"""),"#REF!")</f>
        <v>#REF!</v>
      </c>
      <c r="H39" s="9"/>
      <c r="I39" s="9"/>
      <c r="J39" s="12" t="str">
        <f>IFERROR(__xludf.DUMMYFUNCTION("""COMPUTED_VALUE"""),"#REF!")</f>
        <v>#REF!</v>
      </c>
      <c r="K39" s="9"/>
      <c r="L39" s="9"/>
      <c r="M39" s="9"/>
      <c r="N39" s="13" t="str">
        <f>IFERROR(__xludf.DUMMYFUNCTION("""COMPUTED_VALUE"""),"#REF!")</f>
        <v>#REF!</v>
      </c>
      <c r="O39" s="9"/>
      <c r="P39" s="9"/>
      <c r="Q39" s="12" t="str">
        <f>IFERROR(__xludf.DUMMYFUNCTION("""COMPUTED_VALUE"""),"#REF!")</f>
        <v>#REF!</v>
      </c>
      <c r="R39" s="9"/>
      <c r="S39" s="9"/>
      <c r="T39" s="9"/>
      <c r="U39" s="36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6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6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6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6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6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6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6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6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6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6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2">
        <f>IFERROR(__xludf.DUMMYFUNCTION("""COMPUTED_VALUE"""),32.903225806451594)</f>
        <v>32.90322581</v>
      </c>
      <c r="C53" s="12">
        <f>IFERROR(__xludf.DUMMYFUNCTION("""COMPUTED_VALUE"""),32.0)</f>
        <v>32</v>
      </c>
      <c r="D53" s="12">
        <f>IFERROR(__xludf.DUMMYFUNCTION("""COMPUTED_VALUE"""),-0.9032258064515943)</f>
        <v>-0.9032258065</v>
      </c>
      <c r="E53" s="13">
        <f>IFERROR(__xludf.DUMMYFUNCTION("""COMPUTED_VALUE"""),-0.027450980392156314)</f>
        <v>-0.02745098039</v>
      </c>
      <c r="F53" s="13">
        <f>IFERROR(__xludf.DUMMYFUNCTION("""COMPUTED_VALUE"""),0.6460674157303372)</f>
        <v>0.6460674157</v>
      </c>
      <c r="G53" s="13">
        <f>IFERROR(__xludf.DUMMYFUNCTION("""COMPUTED_VALUE"""),0.59375)</f>
        <v>0.59375</v>
      </c>
      <c r="H53" s="35">
        <f>IFERROR(__xludf.DUMMYFUNCTION("""COMPUTED_VALUE"""),-5.231741573033721)</f>
        <v>-5.231741573</v>
      </c>
      <c r="I53" s="12">
        <f>IFERROR(__xludf.DUMMYFUNCTION("""COMPUTED_VALUE"""),21.257702065965923)</f>
        <v>21.25770207</v>
      </c>
      <c r="J53" s="12">
        <f>IFERROR(__xludf.DUMMYFUNCTION("""COMPUTED_VALUE"""),19.0)</f>
        <v>19</v>
      </c>
      <c r="K53" s="12">
        <f>IFERROR(__xludf.DUMMYFUNCTION("""COMPUTED_VALUE"""),-2.2577020659659226)</f>
        <v>-2.257702066</v>
      </c>
      <c r="L53" s="13">
        <f>IFERROR(__xludf.DUMMYFUNCTION("""COMPUTED_VALUE"""),-0.10620630861040038)</f>
        <v>-0.1062063086</v>
      </c>
      <c r="M53" s="13">
        <f>IFERROR(__xludf.DUMMYFUNCTION("""COMPUTED_VALUE"""),0.2768117647058824)</f>
        <v>0.2768117647</v>
      </c>
      <c r="N53" s="13">
        <f>IFERROR(__xludf.DUMMYFUNCTION("""COMPUTED_VALUE"""),0.2631578947368421)</f>
        <v>0.2631578947</v>
      </c>
      <c r="O53" s="35">
        <f>IFERROR(__xludf.DUMMYFUNCTION("""COMPUTED_VALUE"""),-1.3653869969040333)</f>
        <v>-1.365386997</v>
      </c>
      <c r="P53" s="12">
        <f>IFERROR(__xludf.DUMMYFUNCTION("""COMPUTED_VALUE"""),5.88438202247191)</f>
        <v>5.884382022</v>
      </c>
      <c r="Q53" s="12">
        <f>IFERROR(__xludf.DUMMYFUNCTION("""COMPUTED_VALUE"""),5.0)</f>
        <v>5</v>
      </c>
      <c r="R53" s="12">
        <f>IFERROR(__xludf.DUMMYFUNCTION("""COMPUTED_VALUE"""),-0.8843820224719101)</f>
        <v>-0.8843820225</v>
      </c>
      <c r="S53" s="13">
        <f>IFERROR(__xludf.DUMMYFUNCTION("""COMPUTED_VALUE"""),-0.15029310114376276)</f>
        <v>-0.1502931011</v>
      </c>
      <c r="T53" s="12">
        <f>IFERROR(__xludf.DUMMYFUNCTION("""COMPUTED_VALUE"""),33035.32035361157)</f>
        <v>33035.32035</v>
      </c>
      <c r="U53" s="36">
        <f>IFERROR(__xludf.DUMMYFUNCTION("""COMPUTED_VALUE"""),1554.0400486890767)</f>
        <v>1554.040049</v>
      </c>
      <c r="V53" s="36">
        <f>IFERROR(__xludf.DUMMYFUNCTION("""COMPUTED_VALUE"""),-3508.5594285191114)</f>
        <v>-3508.559429</v>
      </c>
      <c r="W53" s="13">
        <f>IFERROR(__xludf.DUMMYFUNCTION("""COMPUTED_VALUE"""),-0.10620630861040038)</f>
        <v>-0.1062063086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2">
        <f>IFERROR(__xludf.DUMMYFUNCTION("""COMPUTED_VALUE"""),13.0)</f>
        <v>13</v>
      </c>
      <c r="D54" s="9"/>
      <c r="E54" s="9"/>
      <c r="F54" s="9"/>
      <c r="G54" s="13">
        <f>IFERROR(__xludf.DUMMYFUNCTION("""COMPUTED_VALUE"""),0.5384615384615384)</f>
        <v>0.5384615385</v>
      </c>
      <c r="H54" s="9"/>
      <c r="I54" s="9"/>
      <c r="J54" s="12">
        <f>IFERROR(__xludf.DUMMYFUNCTION("""COMPUTED_VALUE"""),7.0)</f>
        <v>7</v>
      </c>
      <c r="K54" s="9"/>
      <c r="L54" s="9"/>
      <c r="M54" s="9"/>
      <c r="N54" s="13">
        <f>IFERROR(__xludf.DUMMYFUNCTION("""COMPUTED_VALUE"""),0.42857142857142855)</f>
        <v>0.4285714286</v>
      </c>
      <c r="O54" s="9"/>
      <c r="P54" s="9"/>
      <c r="Q54" s="12">
        <f>IFERROR(__xludf.DUMMYFUNCTION("""COMPUTED_VALUE"""),3.0)</f>
        <v>3</v>
      </c>
      <c r="R54" s="9"/>
      <c r="S54" s="9"/>
      <c r="T54" s="9"/>
      <c r="U54" s="36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2">
        <f>IFERROR(__xludf.DUMMYFUNCTION("""COMPUTED_VALUE"""),8.0)</f>
        <v>8</v>
      </c>
      <c r="D55" s="9"/>
      <c r="E55" s="9"/>
      <c r="F55" s="9"/>
      <c r="G55" s="13">
        <f>IFERROR(__xludf.DUMMYFUNCTION("""COMPUTED_VALUE"""),0.5)</f>
        <v>0.5</v>
      </c>
      <c r="H55" s="9"/>
      <c r="I55" s="9"/>
      <c r="J55" s="12">
        <f>IFERROR(__xludf.DUMMYFUNCTION("""COMPUTED_VALUE"""),4.0)</f>
        <v>4</v>
      </c>
      <c r="K55" s="9"/>
      <c r="L55" s="9"/>
      <c r="M55" s="9"/>
      <c r="N55" s="13">
        <f>IFERROR(__xludf.DUMMYFUNCTION("""COMPUTED_VALUE"""),0.5)</f>
        <v>0.5</v>
      </c>
      <c r="O55" s="9"/>
      <c r="P55" s="9"/>
      <c r="Q55" s="12">
        <f>IFERROR(__xludf.DUMMYFUNCTION("""COMPUTED_VALUE"""),2.0)</f>
        <v>2</v>
      </c>
      <c r="R55" s="9"/>
      <c r="S55" s="9"/>
      <c r="T55" s="9"/>
      <c r="U55" s="36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2">
        <f>IFERROR(__xludf.DUMMYFUNCTION("""COMPUTED_VALUE"""),8.0)</f>
        <v>8</v>
      </c>
      <c r="D56" s="9"/>
      <c r="E56" s="9"/>
      <c r="F56" s="9"/>
      <c r="G56" s="13">
        <f>IFERROR(__xludf.DUMMYFUNCTION("""COMPUTED_VALUE"""),0.75)</f>
        <v>0.75</v>
      </c>
      <c r="H56" s="9"/>
      <c r="I56" s="9"/>
      <c r="J56" s="12">
        <f>IFERROR(__xludf.DUMMYFUNCTION("""COMPUTED_VALUE"""),6.0)</f>
        <v>6</v>
      </c>
      <c r="K56" s="9"/>
      <c r="L56" s="9"/>
      <c r="M56" s="9"/>
      <c r="N56" s="13">
        <f>IFERROR(__xludf.DUMMYFUNCTION("""COMPUTED_VALUE"""),0.3333333333333333)</f>
        <v>0.3333333333</v>
      </c>
      <c r="O56" s="9"/>
      <c r="P56" s="9"/>
      <c r="Q56" s="12">
        <f>IFERROR(__xludf.DUMMYFUNCTION("""COMPUTED_VALUE"""),2.0)</f>
        <v>2</v>
      </c>
      <c r="R56" s="9"/>
      <c r="S56" s="9"/>
      <c r="T56" s="9"/>
      <c r="U56" s="36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2">
        <f>IFERROR(__xludf.DUMMYFUNCTION("""COMPUTED_VALUE"""),10.0)</f>
        <v>10</v>
      </c>
      <c r="D57" s="9"/>
      <c r="E57" s="9"/>
      <c r="F57" s="9"/>
      <c r="G57" s="13">
        <f>IFERROR(__xludf.DUMMYFUNCTION("""COMPUTED_VALUE"""),0.8)</f>
        <v>0.8</v>
      </c>
      <c r="H57" s="9"/>
      <c r="I57" s="9"/>
      <c r="J57" s="12">
        <f>IFERROR(__xludf.DUMMYFUNCTION("""COMPUTED_VALUE"""),8.0)</f>
        <v>8</v>
      </c>
      <c r="K57" s="9"/>
      <c r="L57" s="9"/>
      <c r="M57" s="9"/>
      <c r="N57" s="13">
        <f>IFERROR(__xludf.DUMMYFUNCTION("""COMPUTED_VALUE"""),0.25)</f>
        <v>0.25</v>
      </c>
      <c r="O57" s="9"/>
      <c r="P57" s="9"/>
      <c r="Q57" s="12">
        <f>IFERROR(__xludf.DUMMYFUNCTION("""COMPUTED_VALUE"""),2.0)</f>
        <v>2</v>
      </c>
      <c r="R57" s="9"/>
      <c r="S57" s="9"/>
      <c r="T57" s="9"/>
      <c r="U57" s="36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2">
        <f>IFERROR(__xludf.DUMMYFUNCTION("""COMPUTED_VALUE"""),8.0)</f>
        <v>8</v>
      </c>
      <c r="D58" s="9"/>
      <c r="E58" s="9"/>
      <c r="F58" s="9"/>
      <c r="G58" s="13">
        <f>IFERROR(__xludf.DUMMYFUNCTION("""COMPUTED_VALUE"""),1.0)</f>
        <v>1</v>
      </c>
      <c r="H58" s="9"/>
      <c r="I58" s="9"/>
      <c r="J58" s="12">
        <f>IFERROR(__xludf.DUMMYFUNCTION("""COMPUTED_VALUE"""),8.0)</f>
        <v>8</v>
      </c>
      <c r="K58" s="9"/>
      <c r="L58" s="9"/>
      <c r="M58" s="9"/>
      <c r="N58" s="13">
        <f>IFERROR(__xludf.DUMMYFUNCTION("""COMPUTED_VALUE"""),0.25)</f>
        <v>0.25</v>
      </c>
      <c r="O58" s="9"/>
      <c r="P58" s="9"/>
      <c r="Q58" s="12">
        <f>IFERROR(__xludf.DUMMYFUNCTION("""COMPUTED_VALUE"""),2.0)</f>
        <v>2</v>
      </c>
      <c r="R58" s="9"/>
      <c r="S58" s="9"/>
      <c r="T58" s="9"/>
      <c r="U58" s="36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2">
        <f>IFERROR(__xludf.DUMMYFUNCTION("""COMPUTED_VALUE"""),1.0)</f>
        <v>1</v>
      </c>
      <c r="D59" s="9"/>
      <c r="E59" s="9"/>
      <c r="F59" s="9"/>
      <c r="G59" s="13">
        <f>IFERROR(__xludf.DUMMYFUNCTION("""COMPUTED_VALUE"""),1.0)</f>
        <v>1</v>
      </c>
      <c r="H59" s="9"/>
      <c r="I59" s="9"/>
      <c r="J59" s="12">
        <f>IFERROR(__xludf.DUMMYFUNCTION("""COMPUTED_VALUE"""),1.0)</f>
        <v>1</v>
      </c>
      <c r="K59" s="9"/>
      <c r="L59" s="9"/>
      <c r="M59" s="9"/>
      <c r="N59" s="13">
        <f>IFERROR(__xludf.DUMMYFUNCTION("""COMPUTED_VALUE"""),1.0)</f>
        <v>1</v>
      </c>
      <c r="O59" s="9"/>
      <c r="P59" s="9"/>
      <c r="Q59" s="12">
        <f>IFERROR(__xludf.DUMMYFUNCTION("""COMPUTED_VALUE"""),1.0)</f>
        <v>1</v>
      </c>
      <c r="R59" s="9"/>
      <c r="S59" s="9"/>
      <c r="T59" s="9"/>
      <c r="U59" s="36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2">
        <f>IFERROR(__xludf.DUMMYFUNCTION("""COMPUTED_VALUE"""),5.0)</f>
        <v>5</v>
      </c>
      <c r="D60" s="9"/>
      <c r="E60" s="9"/>
      <c r="F60" s="9"/>
      <c r="G60" s="13">
        <f>IFERROR(__xludf.DUMMYFUNCTION("""COMPUTED_VALUE"""),0.6)</f>
        <v>0.6</v>
      </c>
      <c r="H60" s="9"/>
      <c r="I60" s="9"/>
      <c r="J60" s="12">
        <f>IFERROR(__xludf.DUMMYFUNCTION("""COMPUTED_VALUE"""),3.0)</f>
        <v>3</v>
      </c>
      <c r="K60" s="9"/>
      <c r="L60" s="9"/>
      <c r="M60" s="9"/>
      <c r="N60" s="13">
        <f>IFERROR(__xludf.DUMMYFUNCTION("""COMPUTED_VALUE"""),0.3333333333333333)</f>
        <v>0.3333333333</v>
      </c>
      <c r="O60" s="9"/>
      <c r="P60" s="9"/>
      <c r="Q60" s="12">
        <f>IFERROR(__xludf.DUMMYFUNCTION("""COMPUTED_VALUE"""),1.0)</f>
        <v>1</v>
      </c>
      <c r="R60" s="9"/>
      <c r="S60" s="9"/>
      <c r="T60" s="9"/>
      <c r="U60" s="36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2">
        <f>IFERROR(__xludf.DUMMYFUNCTION("""COMPUTED_VALUE"""),8.0)</f>
        <v>8</v>
      </c>
      <c r="D61" s="9"/>
      <c r="E61" s="9"/>
      <c r="F61" s="9"/>
      <c r="G61" s="13">
        <f>IFERROR(__xludf.DUMMYFUNCTION("""COMPUTED_VALUE"""),0.875)</f>
        <v>0.875</v>
      </c>
      <c r="H61" s="9"/>
      <c r="I61" s="9"/>
      <c r="J61" s="12">
        <f>IFERROR(__xludf.DUMMYFUNCTION("""COMPUTED_VALUE"""),7.0)</f>
        <v>7</v>
      </c>
      <c r="K61" s="9"/>
      <c r="L61" s="9"/>
      <c r="M61" s="9"/>
      <c r="N61" s="13">
        <f>IFERROR(__xludf.DUMMYFUNCTION("""COMPUTED_VALUE"""),0.14285714285714285)</f>
        <v>0.1428571429</v>
      </c>
      <c r="O61" s="9"/>
      <c r="P61" s="9"/>
      <c r="Q61" s="12">
        <f>IFERROR(__xludf.DUMMYFUNCTION("""COMPUTED_VALUE"""),1.0)</f>
        <v>1</v>
      </c>
      <c r="R61" s="9"/>
      <c r="S61" s="9"/>
      <c r="T61" s="9"/>
      <c r="U61" s="36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2">
        <f>IFERROR(__xludf.DUMMYFUNCTION("""COMPUTED_VALUE"""),8.0)</f>
        <v>8</v>
      </c>
      <c r="D62" s="9"/>
      <c r="E62" s="9"/>
      <c r="F62" s="9"/>
      <c r="G62" s="13">
        <f>IFERROR(__xludf.DUMMYFUNCTION("""COMPUTED_VALUE"""),1.0)</f>
        <v>1</v>
      </c>
      <c r="H62" s="9"/>
      <c r="I62" s="9"/>
      <c r="J62" s="12">
        <f>IFERROR(__xludf.DUMMYFUNCTION("""COMPUTED_VALUE"""),8.0)</f>
        <v>8</v>
      </c>
      <c r="K62" s="9"/>
      <c r="L62" s="9"/>
      <c r="M62" s="9"/>
      <c r="N62" s="13">
        <f>IFERROR(__xludf.DUMMYFUNCTION("""COMPUTED_VALUE"""),0.125)</f>
        <v>0.125</v>
      </c>
      <c r="O62" s="9"/>
      <c r="P62" s="9"/>
      <c r="Q62" s="12">
        <f>IFERROR(__xludf.DUMMYFUNCTION("""COMPUTED_VALUE"""),1.0)</f>
        <v>1</v>
      </c>
      <c r="R62" s="9"/>
      <c r="S62" s="9"/>
      <c r="T62" s="9"/>
      <c r="U62" s="36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2">
        <f>IFERROR(__xludf.DUMMYFUNCTION("""COMPUTED_VALUE"""),9.0)</f>
        <v>9</v>
      </c>
      <c r="D63" s="9"/>
      <c r="E63" s="9"/>
      <c r="F63" s="9"/>
      <c r="G63" s="13">
        <f>IFERROR(__xludf.DUMMYFUNCTION("""COMPUTED_VALUE"""),0.6666666666666666)</f>
        <v>0.6666666667</v>
      </c>
      <c r="H63" s="9"/>
      <c r="I63" s="9"/>
      <c r="J63" s="12">
        <f>IFERROR(__xludf.DUMMYFUNCTION("""COMPUTED_VALUE"""),6.0)</f>
        <v>6</v>
      </c>
      <c r="K63" s="9"/>
      <c r="L63" s="9"/>
      <c r="M63" s="9"/>
      <c r="N63" s="13">
        <f>IFERROR(__xludf.DUMMYFUNCTION("""COMPUTED_VALUE"""),0.0)</f>
        <v>0</v>
      </c>
      <c r="O63" s="9"/>
      <c r="P63" s="9"/>
      <c r="Q63" s="12">
        <f>IFERROR(__xludf.DUMMYFUNCTION("""COMPUTED_VALUE"""),0.0)</f>
        <v>0</v>
      </c>
      <c r="R63" s="9"/>
      <c r="S63" s="9"/>
      <c r="T63" s="9"/>
      <c r="U63" s="36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2">
        <f>IFERROR(__xludf.DUMMYFUNCTION("""COMPUTED_VALUE"""),1072.5354838709673)</f>
        <v>1072.535484</v>
      </c>
      <c r="C64" s="12">
        <f>IFERROR(__xludf.DUMMYFUNCTION("""COMPUTED_VALUE"""),1073.0)</f>
        <v>1073</v>
      </c>
      <c r="D64" s="12">
        <f>IFERROR(__xludf.DUMMYFUNCTION("""COMPUTED_VALUE"""),0.4645161290327451)</f>
        <v>0.464516129</v>
      </c>
      <c r="E64" s="13">
        <f>IFERROR(__xludf.DUMMYFUNCTION("""COMPUTED_VALUE"""),4.331009425965335E-4)</f>
        <v>0.0004331009426</v>
      </c>
      <c r="F64" s="13">
        <f>IFERROR(__xludf.DUMMYFUNCTION("""COMPUTED_VALUE"""),0.708632118125173)</f>
        <v>0.7086321181</v>
      </c>
      <c r="G64" s="13">
        <f>IFERROR(__xludf.DUMMYFUNCTION("""COMPUTED_VALUE"""),0.6924510717614166)</f>
        <v>0.6924510718</v>
      </c>
      <c r="H64" s="35">
        <f>IFERROR(__xludf.DUMMYFUNCTION("""COMPUTED_VALUE"""),-1.618104636375639)</f>
        <v>-1.618104636</v>
      </c>
      <c r="I64" s="12">
        <f>IFERROR(__xludf.DUMMYFUNCTION("""COMPUTED_VALUE"""),760.0330916998909)</f>
        <v>760.0330917</v>
      </c>
      <c r="J64" s="12">
        <f>IFERROR(__xludf.DUMMYFUNCTION("""COMPUTED_VALUE"""),743.0)</f>
        <v>743</v>
      </c>
      <c r="K64" s="12">
        <f>IFERROR(__xludf.DUMMYFUNCTION("""COMPUTED_VALUE"""),-17.03309169989086)</f>
        <v>-17.0330917</v>
      </c>
      <c r="L64" s="13">
        <f>IFERROR(__xludf.DUMMYFUNCTION("""COMPUTED_VALUE"""),-0.02241098695031111)</f>
        <v>-0.02241098695</v>
      </c>
      <c r="M64" s="13">
        <f>IFERROR(__xludf.DUMMYFUNCTION("""COMPUTED_VALUE"""),0.3616454985315925)</f>
        <v>0.3616454985</v>
      </c>
      <c r="N64" s="13" t="str">
        <f>IFERROR(__xludf.DUMMYFUNCTION("""COMPUTED_VALUE"""),"#REF!")</f>
        <v>#REF!</v>
      </c>
      <c r="O64" s="35" t="str">
        <f>IFERROR(__xludf.DUMMYFUNCTION("""COMPUTED_VALUE"""),"#REF!")</f>
        <v>#REF!</v>
      </c>
      <c r="P64" s="12">
        <f>IFERROR(__xludf.DUMMYFUNCTION("""COMPUTED_VALUE"""),274.8625463483146)</f>
        <v>274.8625463</v>
      </c>
      <c r="Q64" s="12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3" t="str">
        <f>IFERROR(__xludf.DUMMYFUNCTION("""COMPUTED_VALUE"""),"#REF!")</f>
        <v>#REF!</v>
      </c>
      <c r="T64" s="12">
        <f>IFERROR(__xludf.DUMMYFUNCTION("""COMPUTED_VALUE"""),1026917.9161246461)</f>
        <v>1026917.916</v>
      </c>
      <c r="U64" s="36">
        <f>IFERROR(__xludf.DUMMYFUNCTION("""COMPUTED_VALUE"""),1351.1489530381373)</f>
        <v>1351.148953</v>
      </c>
      <c r="V64" s="36">
        <f>IFERROR(__xludf.DUMMYFUNCTION("""COMPUTED_VALUE"""),-76498.36626845069)</f>
        <v>-76498.36627</v>
      </c>
      <c r="W64" s="13">
        <f>IFERROR(__xludf.DUMMYFUNCTION("""COMPUTED_VALUE"""),-0.07449316548798571)</f>
        <v>-0.07449316549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2">
        <f>IFERROR(__xludf.DUMMYFUNCTION("""COMPUTED_VALUE"""),261.85483870967727)</f>
        <v>261.8548387</v>
      </c>
      <c r="C65" s="12">
        <f>IFERROR(__xludf.DUMMYFUNCTION("""COMPUTED_VALUE"""),218.0)</f>
        <v>218</v>
      </c>
      <c r="D65" s="12">
        <f>IFERROR(__xludf.DUMMYFUNCTION("""COMPUTED_VALUE"""),-43.85483870967727)</f>
        <v>-43.85483871</v>
      </c>
      <c r="E65" s="13">
        <f>IFERROR(__xludf.DUMMYFUNCTION("""COMPUTED_VALUE"""),-0.16747767169695055)</f>
        <v>-0.1674776717</v>
      </c>
      <c r="F65" s="13">
        <f>IFERROR(__xludf.DUMMYFUNCTION("""COMPUTED_VALUE"""),0.8)</f>
        <v>0.8</v>
      </c>
      <c r="G65" s="13">
        <f>IFERROR(__xludf.DUMMYFUNCTION("""COMPUTED_VALUE"""),0.6146788990825688)</f>
        <v>0.6146788991</v>
      </c>
      <c r="H65" s="35">
        <f>IFERROR(__xludf.DUMMYFUNCTION("""COMPUTED_VALUE"""),-18.532110091743125)</f>
        <v>-18.53211009</v>
      </c>
      <c r="I65" s="12">
        <f>IFERROR(__xludf.DUMMYFUNCTION("""COMPUTED_VALUE"""),209.48387096774184)</f>
        <v>209.483871</v>
      </c>
      <c r="J65" s="12">
        <f>IFERROR(__xludf.DUMMYFUNCTION("""COMPUTED_VALUE"""),134.0)</f>
        <v>134</v>
      </c>
      <c r="K65" s="12">
        <f>IFERROR(__xludf.DUMMYFUNCTION("""COMPUTED_VALUE"""),-75.48387096774184)</f>
        <v>-75.48387097</v>
      </c>
      <c r="L65" s="13">
        <f>IFERROR(__xludf.DUMMYFUNCTION("""COMPUTED_VALUE"""),-0.36033261472128086)</f>
        <v>-0.3603326147</v>
      </c>
      <c r="M65" s="13">
        <f>IFERROR(__xludf.DUMMYFUNCTION("""COMPUTED_VALUE"""),0.3410000000000001)</f>
        <v>0.341</v>
      </c>
      <c r="N65" s="13">
        <f>IFERROR(__xludf.DUMMYFUNCTION("""COMPUTED_VALUE"""),0.34328358208955223)</f>
        <v>0.3432835821</v>
      </c>
      <c r="O65" s="35">
        <f>IFERROR(__xludf.DUMMYFUNCTION("""COMPUTED_VALUE"""),0.22835820895521497)</f>
        <v>0.228358209</v>
      </c>
      <c r="P65" s="12">
        <f>IFERROR(__xludf.DUMMYFUNCTION("""COMPUTED_VALUE"""),71.43399999999998)</f>
        <v>71.434</v>
      </c>
      <c r="Q65" s="12">
        <f>IFERROR(__xludf.DUMMYFUNCTION("""COMPUTED_VALUE"""),46.0)</f>
        <v>46</v>
      </c>
      <c r="R65" s="12">
        <f>IFERROR(__xludf.DUMMYFUNCTION("""COMPUTED_VALUE"""),-25.433999999999983)</f>
        <v>-25.434</v>
      </c>
      <c r="S65" s="13">
        <f>IFERROR(__xludf.DUMMYFUNCTION("""COMPUTED_VALUE"""),-0.3560489402805385)</f>
        <v>-0.3560489403</v>
      </c>
      <c r="T65" s="12">
        <f>IFERROR(__xludf.DUMMYFUNCTION("""COMPUTED_VALUE"""),255761.77407999997)</f>
        <v>255761.7741</v>
      </c>
      <c r="U65" s="36">
        <f>IFERROR(__xludf.DUMMYFUNCTION("""COMPUTED_VALUE"""),1220.9139200000004)</f>
        <v>1220.91392</v>
      </c>
      <c r="V65" s="36">
        <f>IFERROR(__xludf.DUMMYFUNCTION("""COMPUTED_VALUE"""),-92159.30879999991)</f>
        <v>-92159.3088</v>
      </c>
      <c r="W65" s="13">
        <f>IFERROR(__xludf.DUMMYFUNCTION("""COMPUTED_VALUE"""),-0.36033261472128086)</f>
        <v>-0.3603326147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2">
        <f>IFERROR(__xludf.DUMMYFUNCTION("""COMPUTED_VALUE"""),43.0)</f>
        <v>43</v>
      </c>
      <c r="D66" s="9"/>
      <c r="E66" s="9"/>
      <c r="F66" s="9"/>
      <c r="G66" s="13">
        <f>IFERROR(__xludf.DUMMYFUNCTION("""COMPUTED_VALUE"""),0.8372093023255814)</f>
        <v>0.8372093023</v>
      </c>
      <c r="H66" s="9"/>
      <c r="I66" s="9"/>
      <c r="J66" s="12">
        <f>IFERROR(__xludf.DUMMYFUNCTION("""COMPUTED_VALUE"""),36.0)</f>
        <v>36</v>
      </c>
      <c r="K66" s="9"/>
      <c r="L66" s="9"/>
      <c r="M66" s="9"/>
      <c r="N66" s="13">
        <f>IFERROR(__xludf.DUMMYFUNCTION("""COMPUTED_VALUE"""),0.5277777777777778)</f>
        <v>0.5277777778</v>
      </c>
      <c r="O66" s="9"/>
      <c r="P66" s="9"/>
      <c r="Q66" s="12">
        <f>IFERROR(__xludf.DUMMYFUNCTION("""COMPUTED_VALUE"""),19.0)</f>
        <v>19</v>
      </c>
      <c r="R66" s="9"/>
      <c r="S66" s="9"/>
      <c r="T66" s="9"/>
      <c r="U66" s="36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2">
        <f>IFERROR(__xludf.DUMMYFUNCTION("""COMPUTED_VALUE"""),47.0)</f>
        <v>47</v>
      </c>
      <c r="D67" s="9"/>
      <c r="E67" s="9"/>
      <c r="F67" s="9"/>
      <c r="G67" s="13">
        <f>IFERROR(__xludf.DUMMYFUNCTION("""COMPUTED_VALUE"""),0.7446808510638298)</f>
        <v>0.7446808511</v>
      </c>
      <c r="H67" s="9"/>
      <c r="I67" s="9"/>
      <c r="J67" s="12">
        <f>IFERROR(__xludf.DUMMYFUNCTION("""COMPUTED_VALUE"""),35.0)</f>
        <v>35</v>
      </c>
      <c r="K67" s="9"/>
      <c r="L67" s="9"/>
      <c r="M67" s="9"/>
      <c r="N67" s="13">
        <f>IFERROR(__xludf.DUMMYFUNCTION("""COMPUTED_VALUE"""),0.45714285714285713)</f>
        <v>0.4571428571</v>
      </c>
      <c r="O67" s="9"/>
      <c r="P67" s="9"/>
      <c r="Q67" s="12">
        <f>IFERROR(__xludf.DUMMYFUNCTION("""COMPUTED_VALUE"""),16.0)</f>
        <v>16</v>
      </c>
      <c r="R67" s="9"/>
      <c r="S67" s="9"/>
      <c r="T67" s="9"/>
      <c r="U67" s="36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2">
        <f>IFERROR(__xludf.DUMMYFUNCTION("""COMPUTED_VALUE"""),51.0)</f>
        <v>51</v>
      </c>
      <c r="D68" s="9"/>
      <c r="E68" s="9"/>
      <c r="F68" s="9"/>
      <c r="G68" s="13">
        <f>IFERROR(__xludf.DUMMYFUNCTION("""COMPUTED_VALUE"""),0.6666666666666666)</f>
        <v>0.6666666667</v>
      </c>
      <c r="H68" s="9"/>
      <c r="I68" s="9"/>
      <c r="J68" s="12">
        <f>IFERROR(__xludf.DUMMYFUNCTION("""COMPUTED_VALUE"""),34.0)</f>
        <v>34</v>
      </c>
      <c r="K68" s="9"/>
      <c r="L68" s="9"/>
      <c r="M68" s="9"/>
      <c r="N68" s="13">
        <f>IFERROR(__xludf.DUMMYFUNCTION("""COMPUTED_VALUE"""),0.4411764705882353)</f>
        <v>0.4411764706</v>
      </c>
      <c r="O68" s="9"/>
      <c r="P68" s="9"/>
      <c r="Q68" s="12">
        <f>IFERROR(__xludf.DUMMYFUNCTION("""COMPUTED_VALUE"""),15.0)</f>
        <v>15</v>
      </c>
      <c r="R68" s="9"/>
      <c r="S68" s="9"/>
      <c r="T68" s="9"/>
      <c r="U68" s="36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2">
        <f>IFERROR(__xludf.DUMMYFUNCTION("""COMPUTED_VALUE"""),44.0)</f>
        <v>44</v>
      </c>
      <c r="D69" s="9"/>
      <c r="E69" s="9"/>
      <c r="F69" s="9"/>
      <c r="G69" s="13">
        <f>IFERROR(__xludf.DUMMYFUNCTION("""COMPUTED_VALUE"""),0.6363636363636364)</f>
        <v>0.6363636364</v>
      </c>
      <c r="H69" s="9"/>
      <c r="I69" s="9"/>
      <c r="J69" s="12">
        <f>IFERROR(__xludf.DUMMYFUNCTION("""COMPUTED_VALUE"""),28.0)</f>
        <v>28</v>
      </c>
      <c r="K69" s="9"/>
      <c r="L69" s="9"/>
      <c r="M69" s="9"/>
      <c r="N69" s="13">
        <f>IFERROR(__xludf.DUMMYFUNCTION("""COMPUTED_VALUE"""),0.5)</f>
        <v>0.5</v>
      </c>
      <c r="O69" s="9"/>
      <c r="P69" s="9"/>
      <c r="Q69" s="12">
        <f>IFERROR(__xludf.DUMMYFUNCTION("""COMPUTED_VALUE"""),14.0)</f>
        <v>14</v>
      </c>
      <c r="R69" s="9"/>
      <c r="S69" s="9"/>
      <c r="T69" s="9"/>
      <c r="U69" s="36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2">
        <f>IFERROR(__xludf.DUMMYFUNCTION("""COMPUTED_VALUE"""),51.0)</f>
        <v>51</v>
      </c>
      <c r="D70" s="9"/>
      <c r="E70" s="9"/>
      <c r="F70" s="9"/>
      <c r="G70" s="13">
        <f>IFERROR(__xludf.DUMMYFUNCTION("""COMPUTED_VALUE"""),0.803921568627451)</f>
        <v>0.8039215686</v>
      </c>
      <c r="H70" s="9"/>
      <c r="I70" s="9"/>
      <c r="J70" s="12">
        <f>IFERROR(__xludf.DUMMYFUNCTION("""COMPUTED_VALUE"""),41.0)</f>
        <v>41</v>
      </c>
      <c r="K70" s="9"/>
      <c r="L70" s="9"/>
      <c r="M70" s="9"/>
      <c r="N70" s="13">
        <f>IFERROR(__xludf.DUMMYFUNCTION("""COMPUTED_VALUE"""),0.34146341463414637)</f>
        <v>0.3414634146</v>
      </c>
      <c r="O70" s="9"/>
      <c r="P70" s="9"/>
      <c r="Q70" s="12">
        <f>IFERROR(__xludf.DUMMYFUNCTION("""COMPUTED_VALUE"""),14.0)</f>
        <v>14</v>
      </c>
      <c r="R70" s="9"/>
      <c r="S70" s="9"/>
      <c r="T70" s="9"/>
      <c r="U70" s="36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2">
        <f>IFERROR(__xludf.DUMMYFUNCTION("""COMPUTED_VALUE"""),46.0)</f>
        <v>46</v>
      </c>
      <c r="D71" s="9"/>
      <c r="E71" s="9"/>
      <c r="F71" s="9"/>
      <c r="G71" s="13">
        <f>IFERROR(__xludf.DUMMYFUNCTION("""COMPUTED_VALUE"""),0.6304347826086957)</f>
        <v>0.6304347826</v>
      </c>
      <c r="H71" s="9"/>
      <c r="I71" s="9"/>
      <c r="J71" s="12">
        <f>IFERROR(__xludf.DUMMYFUNCTION("""COMPUTED_VALUE"""),29.0)</f>
        <v>29</v>
      </c>
      <c r="K71" s="9"/>
      <c r="L71" s="9"/>
      <c r="M71" s="9"/>
      <c r="N71" s="13">
        <f>IFERROR(__xludf.DUMMYFUNCTION("""COMPUTED_VALUE"""),0.4482758620689655)</f>
        <v>0.4482758621</v>
      </c>
      <c r="O71" s="9"/>
      <c r="P71" s="9"/>
      <c r="Q71" s="12">
        <f>IFERROR(__xludf.DUMMYFUNCTION("""COMPUTED_VALUE"""),13.0)</f>
        <v>13</v>
      </c>
      <c r="R71" s="9"/>
      <c r="S71" s="9"/>
      <c r="T71" s="9"/>
      <c r="U71" s="36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2">
        <f>IFERROR(__xludf.DUMMYFUNCTION("""COMPUTED_VALUE"""),35.0)</f>
        <v>35</v>
      </c>
      <c r="D72" s="9"/>
      <c r="E72" s="9"/>
      <c r="F72" s="9"/>
      <c r="G72" s="13">
        <f>IFERROR(__xludf.DUMMYFUNCTION("""COMPUTED_VALUE"""),0.7714285714285715)</f>
        <v>0.7714285714</v>
      </c>
      <c r="H72" s="9"/>
      <c r="I72" s="9"/>
      <c r="J72" s="12">
        <f>IFERROR(__xludf.DUMMYFUNCTION("""COMPUTED_VALUE"""),27.0)</f>
        <v>27</v>
      </c>
      <c r="K72" s="9"/>
      <c r="L72" s="9"/>
      <c r="M72" s="9"/>
      <c r="N72" s="13">
        <f>IFERROR(__xludf.DUMMYFUNCTION("""COMPUTED_VALUE"""),0.4444444444444444)</f>
        <v>0.4444444444</v>
      </c>
      <c r="O72" s="9"/>
      <c r="P72" s="9"/>
      <c r="Q72" s="12">
        <f>IFERROR(__xludf.DUMMYFUNCTION("""COMPUTED_VALUE"""),12.0)</f>
        <v>12</v>
      </c>
      <c r="R72" s="9"/>
      <c r="S72" s="9"/>
      <c r="T72" s="9"/>
      <c r="U72" s="36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2">
        <f>IFERROR(__xludf.DUMMYFUNCTION("""COMPUTED_VALUE"""),45.0)</f>
        <v>45</v>
      </c>
      <c r="D73" s="9"/>
      <c r="E73" s="9"/>
      <c r="F73" s="9"/>
      <c r="G73" s="13">
        <f>IFERROR(__xludf.DUMMYFUNCTION("""COMPUTED_VALUE"""),0.6222222222222222)</f>
        <v>0.6222222222</v>
      </c>
      <c r="H73" s="9"/>
      <c r="I73" s="9"/>
      <c r="J73" s="12">
        <f>IFERROR(__xludf.DUMMYFUNCTION("""COMPUTED_VALUE"""),28.0)</f>
        <v>28</v>
      </c>
      <c r="K73" s="9"/>
      <c r="L73" s="9"/>
      <c r="M73" s="9"/>
      <c r="N73" s="13">
        <f>IFERROR(__xludf.DUMMYFUNCTION("""COMPUTED_VALUE"""),0.42857142857142855)</f>
        <v>0.4285714286</v>
      </c>
      <c r="O73" s="9"/>
      <c r="P73" s="9"/>
      <c r="Q73" s="12">
        <f>IFERROR(__xludf.DUMMYFUNCTION("""COMPUTED_VALUE"""),12.0)</f>
        <v>12</v>
      </c>
      <c r="R73" s="9"/>
      <c r="S73" s="9"/>
      <c r="T73" s="9"/>
      <c r="U73" s="36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2">
        <f>IFERROR(__xludf.DUMMYFUNCTION("""COMPUTED_VALUE"""),42.0)</f>
        <v>42</v>
      </c>
      <c r="D74" s="9"/>
      <c r="E74" s="9"/>
      <c r="F74" s="9"/>
      <c r="G74" s="13">
        <f>IFERROR(__xludf.DUMMYFUNCTION("""COMPUTED_VALUE"""),0.7619047619047619)</f>
        <v>0.7619047619</v>
      </c>
      <c r="H74" s="9"/>
      <c r="I74" s="9"/>
      <c r="J74" s="12">
        <f>IFERROR(__xludf.DUMMYFUNCTION("""COMPUTED_VALUE"""),32.0)</f>
        <v>32</v>
      </c>
      <c r="K74" s="9"/>
      <c r="L74" s="9"/>
      <c r="M74" s="9"/>
      <c r="N74" s="13">
        <f>IFERROR(__xludf.DUMMYFUNCTION("""COMPUTED_VALUE"""),0.375)</f>
        <v>0.375</v>
      </c>
      <c r="O74" s="9"/>
      <c r="P74" s="9"/>
      <c r="Q74" s="12">
        <f>IFERROR(__xludf.DUMMYFUNCTION("""COMPUTED_VALUE"""),12.0)</f>
        <v>12</v>
      </c>
      <c r="R74" s="9"/>
      <c r="S74" s="9"/>
      <c r="T74" s="9"/>
      <c r="U74" s="36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2">
        <f>IFERROR(__xludf.DUMMYFUNCTION("""COMPUTED_VALUE"""),6.0)</f>
        <v>6</v>
      </c>
      <c r="D75" s="9"/>
      <c r="E75" s="9"/>
      <c r="F75" s="9"/>
      <c r="G75" s="13">
        <f>IFERROR(__xludf.DUMMYFUNCTION("""COMPUTED_VALUE"""),0.8333333333333334)</f>
        <v>0.8333333333</v>
      </c>
      <c r="H75" s="9"/>
      <c r="I75" s="9"/>
      <c r="J75" s="12">
        <f>IFERROR(__xludf.DUMMYFUNCTION("""COMPUTED_VALUE"""),5.0)</f>
        <v>5</v>
      </c>
      <c r="K75" s="9"/>
      <c r="L75" s="9"/>
      <c r="M75" s="9"/>
      <c r="N75" s="13">
        <f>IFERROR(__xludf.DUMMYFUNCTION("""COMPUTED_VALUE"""),1.2)</f>
        <v>1.2</v>
      </c>
      <c r="O75" s="9"/>
      <c r="P75" s="9"/>
      <c r="Q75" s="12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2">
        <f>IFERROR(__xludf.DUMMYFUNCTION("""COMPUTED_VALUE"""),1.0)</f>
        <v>1</v>
      </c>
      <c r="D76" s="9"/>
      <c r="E76" s="9"/>
      <c r="F76" s="9"/>
      <c r="G76" s="13">
        <f>IFERROR(__xludf.DUMMYFUNCTION("""COMPUTED_VALUE"""),1.0)</f>
        <v>1</v>
      </c>
      <c r="H76" s="9"/>
      <c r="I76" s="9"/>
      <c r="J76" s="12">
        <f>IFERROR(__xludf.DUMMYFUNCTION("""COMPUTED_VALUE"""),1.0)</f>
        <v>1</v>
      </c>
      <c r="K76" s="9"/>
      <c r="L76" s="9"/>
      <c r="M76" s="9"/>
      <c r="N76" s="13">
        <f>IFERROR(__xludf.DUMMYFUNCTION("""COMPUTED_VALUE"""),1.0)</f>
        <v>1</v>
      </c>
      <c r="O76" s="9"/>
      <c r="P76" s="9"/>
      <c r="Q76" s="12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2">
        <f>IFERROR(__xludf.DUMMYFUNCTION("""COMPUTED_VALUE"""),1.0)</f>
        <v>1</v>
      </c>
      <c r="D77" s="9"/>
      <c r="E77" s="9"/>
      <c r="F77" s="9"/>
      <c r="G77" s="13">
        <f>IFERROR(__xludf.DUMMYFUNCTION("""COMPUTED_VALUE"""),1.0)</f>
        <v>1</v>
      </c>
      <c r="H77" s="9"/>
      <c r="I77" s="9"/>
      <c r="J77" s="12">
        <f>IFERROR(__xludf.DUMMYFUNCTION("""COMPUTED_VALUE"""),1.0)</f>
        <v>1</v>
      </c>
      <c r="K77" s="9"/>
      <c r="L77" s="9"/>
      <c r="M77" s="9"/>
      <c r="N77" s="13">
        <f>IFERROR(__xludf.DUMMYFUNCTION("""COMPUTED_VALUE"""),1.0)</f>
        <v>1</v>
      </c>
      <c r="O77" s="9"/>
      <c r="P77" s="9"/>
      <c r="Q77" s="12">
        <f>IFERROR(__xludf.DUMMYFUNCTION("""COMPUTED_VALUE"""),1.0)</f>
        <v>1</v>
      </c>
      <c r="R77" s="9"/>
      <c r="S77" s="9"/>
      <c r="T77" s="9"/>
      <c r="U77" s="36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2">
        <f>IFERROR(__xludf.DUMMYFUNCTION("""COMPUTED_VALUE"""),191.93548387096766)</f>
        <v>191.9354839</v>
      </c>
      <c r="C78" s="12">
        <f>IFERROR(__xludf.DUMMYFUNCTION("""COMPUTED_VALUE"""),320.0)</f>
        <v>320</v>
      </c>
      <c r="D78" s="12">
        <f>IFERROR(__xludf.DUMMYFUNCTION("""COMPUTED_VALUE"""),128.06451612903234)</f>
        <v>128.0645161</v>
      </c>
      <c r="E78" s="13">
        <f>IFERROR(__xludf.DUMMYFUNCTION("""COMPUTED_VALUE"""),0.6672268907563033)</f>
        <v>0.6672268908</v>
      </c>
      <c r="F78" s="13">
        <f>IFERROR(__xludf.DUMMYFUNCTION("""COMPUTED_VALUE"""),0.73)</f>
        <v>0.73</v>
      </c>
      <c r="G78" s="13">
        <f>IFERROR(__xludf.DUMMYFUNCTION("""COMPUTED_VALUE"""),0.75)</f>
        <v>0.75</v>
      </c>
      <c r="H78" s="35">
        <f>IFERROR(__xludf.DUMMYFUNCTION("""COMPUTED_VALUE"""),2.0000000000000018)</f>
        <v>2</v>
      </c>
      <c r="I78" s="12">
        <f>IFERROR(__xludf.DUMMYFUNCTION("""COMPUTED_VALUE"""),140.11290322580638)</f>
        <v>140.1129032</v>
      </c>
      <c r="J78" s="12">
        <f>IFERROR(__xludf.DUMMYFUNCTION("""COMPUTED_VALUE"""),240.0)</f>
        <v>240</v>
      </c>
      <c r="K78" s="12">
        <f>IFERROR(__xludf.DUMMYFUNCTION("""COMPUTED_VALUE"""),99.88709677419362)</f>
        <v>99.88709677</v>
      </c>
      <c r="L78" s="13">
        <f>IFERROR(__xludf.DUMMYFUNCTION("""COMPUTED_VALUE"""),0.71290433981812)</f>
        <v>0.7129043398</v>
      </c>
      <c r="M78" s="13">
        <f>IFERROR(__xludf.DUMMYFUNCTION("""COMPUTED_VALUE"""),0.2650630252100842)</f>
        <v>0.2650630252</v>
      </c>
      <c r="N78" s="13">
        <f>IFERROR(__xludf.DUMMYFUNCTION("""COMPUTED_VALUE"""),0.2625)</f>
        <v>0.2625</v>
      </c>
      <c r="O78" s="35">
        <f>IFERROR(__xludf.DUMMYFUNCTION("""COMPUTED_VALUE"""),-0.2563025210084169)</f>
        <v>-0.256302521</v>
      </c>
      <c r="P78" s="12">
        <f>IFERROR(__xludf.DUMMYFUNCTION("""COMPUTED_VALUE"""),37.13875)</f>
        <v>37.13875</v>
      </c>
      <c r="Q78" s="12">
        <f>IFERROR(__xludf.DUMMYFUNCTION("""COMPUTED_VALUE"""),63.0)</f>
        <v>63</v>
      </c>
      <c r="R78" s="12">
        <f>IFERROR(__xludf.DUMMYFUNCTION("""COMPUTED_VALUE"""),25.86125)</f>
        <v>25.86125</v>
      </c>
      <c r="S78" s="13">
        <f>IFERROR(__xludf.DUMMYFUNCTION("""COMPUTED_VALUE"""),0.6963414223688196)</f>
        <v>0.6963414224</v>
      </c>
      <c r="T78" s="12">
        <f>IFERROR(__xludf.DUMMYFUNCTION("""COMPUTED_VALUE"""),101708.06232153845)</f>
        <v>101708.0623</v>
      </c>
      <c r="U78" s="36">
        <f>IFERROR(__xludf.DUMMYFUNCTION("""COMPUTED_VALUE"""),725.900755604396)</f>
        <v>725.9007556</v>
      </c>
      <c r="V78" s="36">
        <f>IFERROR(__xludf.DUMMYFUNCTION("""COMPUTED_VALUE"""),72508.11902351657)</f>
        <v>72508.11902</v>
      </c>
      <c r="W78" s="13">
        <f>IFERROR(__xludf.DUMMYFUNCTION("""COMPUTED_VALUE"""),0.71290433981812)</f>
        <v>0.7129043398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2">
        <f>IFERROR(__xludf.DUMMYFUNCTION("""COMPUTED_VALUE"""),29.0)</f>
        <v>29</v>
      </c>
      <c r="D79" s="9"/>
      <c r="E79" s="9"/>
      <c r="F79" s="9"/>
      <c r="G79" s="13">
        <f>IFERROR(__xludf.DUMMYFUNCTION("""COMPUTED_VALUE"""),0.7241379310344828)</f>
        <v>0.724137931</v>
      </c>
      <c r="H79" s="9"/>
      <c r="I79" s="9"/>
      <c r="J79" s="12">
        <f>IFERROR(__xludf.DUMMYFUNCTION("""COMPUTED_VALUE"""),21.0)</f>
        <v>21</v>
      </c>
      <c r="K79" s="9"/>
      <c r="L79" s="9"/>
      <c r="M79" s="9"/>
      <c r="N79" s="13">
        <f>IFERROR(__xludf.DUMMYFUNCTION("""COMPUTED_VALUE"""),0.47619047619047616)</f>
        <v>0.4761904762</v>
      </c>
      <c r="O79" s="9"/>
      <c r="P79" s="9"/>
      <c r="Q79" s="12">
        <f>IFERROR(__xludf.DUMMYFUNCTION("""COMPUTED_VALUE"""),10.0)</f>
        <v>10</v>
      </c>
      <c r="R79" s="9"/>
      <c r="S79" s="9"/>
      <c r="T79" s="9"/>
      <c r="U79" s="36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2">
        <f>IFERROR(__xludf.DUMMYFUNCTION("""COMPUTED_VALUE"""),31.0)</f>
        <v>31</v>
      </c>
      <c r="D80" s="9"/>
      <c r="E80" s="9"/>
      <c r="F80" s="9"/>
      <c r="G80" s="13">
        <f>IFERROR(__xludf.DUMMYFUNCTION("""COMPUTED_VALUE"""),0.7096774193548387)</f>
        <v>0.7096774194</v>
      </c>
      <c r="H80" s="9"/>
      <c r="I80" s="9"/>
      <c r="J80" s="12">
        <f>IFERROR(__xludf.DUMMYFUNCTION("""COMPUTED_VALUE"""),22.0)</f>
        <v>22</v>
      </c>
      <c r="K80" s="9"/>
      <c r="L80" s="9"/>
      <c r="M80" s="9"/>
      <c r="N80" s="13">
        <f>IFERROR(__xludf.DUMMYFUNCTION("""COMPUTED_VALUE"""),0.45454545454545453)</f>
        <v>0.4545454545</v>
      </c>
      <c r="O80" s="9"/>
      <c r="P80" s="9"/>
      <c r="Q80" s="12">
        <f>IFERROR(__xludf.DUMMYFUNCTION("""COMPUTED_VALUE"""),10.0)</f>
        <v>10</v>
      </c>
      <c r="R80" s="9"/>
      <c r="S80" s="9"/>
      <c r="T80" s="9"/>
      <c r="U80" s="36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2">
        <f>IFERROR(__xludf.DUMMYFUNCTION("""COMPUTED_VALUE"""),31.0)</f>
        <v>31</v>
      </c>
      <c r="D81" s="9"/>
      <c r="E81" s="9"/>
      <c r="F81" s="9"/>
      <c r="G81" s="13">
        <f>IFERROR(__xludf.DUMMYFUNCTION("""COMPUTED_VALUE"""),0.7741935483870968)</f>
        <v>0.7741935484</v>
      </c>
      <c r="H81" s="9"/>
      <c r="I81" s="9"/>
      <c r="J81" s="12">
        <f>IFERROR(__xludf.DUMMYFUNCTION("""COMPUTED_VALUE"""),24.0)</f>
        <v>24</v>
      </c>
      <c r="K81" s="9"/>
      <c r="L81" s="9"/>
      <c r="M81" s="9"/>
      <c r="N81" s="13">
        <f>IFERROR(__xludf.DUMMYFUNCTION("""COMPUTED_VALUE"""),0.3333333333333333)</f>
        <v>0.3333333333</v>
      </c>
      <c r="O81" s="9"/>
      <c r="P81" s="9"/>
      <c r="Q81" s="12">
        <f>IFERROR(__xludf.DUMMYFUNCTION("""COMPUTED_VALUE"""),8.0)</f>
        <v>8</v>
      </c>
      <c r="R81" s="9"/>
      <c r="S81" s="9"/>
      <c r="T81" s="9"/>
      <c r="U81" s="36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2">
        <f>IFERROR(__xludf.DUMMYFUNCTION("""COMPUTED_VALUE"""),28.0)</f>
        <v>28</v>
      </c>
      <c r="D82" s="9"/>
      <c r="E82" s="9"/>
      <c r="F82" s="9"/>
      <c r="G82" s="13">
        <f>IFERROR(__xludf.DUMMYFUNCTION("""COMPUTED_VALUE"""),0.7142857142857143)</f>
        <v>0.7142857143</v>
      </c>
      <c r="H82" s="9"/>
      <c r="I82" s="9"/>
      <c r="J82" s="12">
        <f>IFERROR(__xludf.DUMMYFUNCTION("""COMPUTED_VALUE"""),20.0)</f>
        <v>20</v>
      </c>
      <c r="K82" s="9"/>
      <c r="L82" s="9"/>
      <c r="M82" s="9"/>
      <c r="N82" s="13">
        <f>IFERROR(__xludf.DUMMYFUNCTION("""COMPUTED_VALUE"""),0.25)</f>
        <v>0.25</v>
      </c>
      <c r="O82" s="9"/>
      <c r="P82" s="9"/>
      <c r="Q82" s="12">
        <f>IFERROR(__xludf.DUMMYFUNCTION("""COMPUTED_VALUE"""),5.0)</f>
        <v>5</v>
      </c>
      <c r="R82" s="9"/>
      <c r="S82" s="9"/>
      <c r="T82" s="9"/>
      <c r="U82" s="36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2">
        <f>IFERROR(__xludf.DUMMYFUNCTION("""COMPUTED_VALUE"""),28.0)</f>
        <v>28</v>
      </c>
      <c r="D83" s="9"/>
      <c r="E83" s="9"/>
      <c r="F83" s="9"/>
      <c r="G83" s="13">
        <f>IFERROR(__xludf.DUMMYFUNCTION("""COMPUTED_VALUE"""),0.8214285714285714)</f>
        <v>0.8214285714</v>
      </c>
      <c r="H83" s="9"/>
      <c r="I83" s="9"/>
      <c r="J83" s="12">
        <f>IFERROR(__xludf.DUMMYFUNCTION("""COMPUTED_VALUE"""),23.0)</f>
        <v>23</v>
      </c>
      <c r="K83" s="9"/>
      <c r="L83" s="9"/>
      <c r="M83" s="9"/>
      <c r="N83" s="13">
        <f>IFERROR(__xludf.DUMMYFUNCTION("""COMPUTED_VALUE"""),0.21739130434782608)</f>
        <v>0.2173913043</v>
      </c>
      <c r="O83" s="9"/>
      <c r="P83" s="9"/>
      <c r="Q83" s="12">
        <f>IFERROR(__xludf.DUMMYFUNCTION("""COMPUTED_VALUE"""),5.0)</f>
        <v>5</v>
      </c>
      <c r="R83" s="9"/>
      <c r="S83" s="9"/>
      <c r="T83" s="9"/>
      <c r="U83" s="36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2">
        <f>IFERROR(__xludf.DUMMYFUNCTION("""COMPUTED_VALUE"""),24.0)</f>
        <v>24</v>
      </c>
      <c r="D84" s="9"/>
      <c r="E84" s="9"/>
      <c r="F84" s="9"/>
      <c r="G84" s="13">
        <f>IFERROR(__xludf.DUMMYFUNCTION("""COMPUTED_VALUE"""),0.625)</f>
        <v>0.625</v>
      </c>
      <c r="H84" s="9"/>
      <c r="I84" s="9"/>
      <c r="J84" s="12">
        <f>IFERROR(__xludf.DUMMYFUNCTION("""COMPUTED_VALUE"""),15.0)</f>
        <v>15</v>
      </c>
      <c r="K84" s="9"/>
      <c r="L84" s="9"/>
      <c r="M84" s="9"/>
      <c r="N84" s="13">
        <f>IFERROR(__xludf.DUMMYFUNCTION("""COMPUTED_VALUE"""),0.26666666666666666)</f>
        <v>0.2666666667</v>
      </c>
      <c r="O84" s="9"/>
      <c r="P84" s="9"/>
      <c r="Q84" s="12">
        <f>IFERROR(__xludf.DUMMYFUNCTION("""COMPUTED_VALUE"""),4.0)</f>
        <v>4</v>
      </c>
      <c r="R84" s="9"/>
      <c r="S84" s="9"/>
      <c r="T84" s="9"/>
      <c r="U84" s="36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2">
        <f>IFERROR(__xludf.DUMMYFUNCTION("""COMPUTED_VALUE"""),33.0)</f>
        <v>33</v>
      </c>
      <c r="D85" s="9"/>
      <c r="E85" s="9"/>
      <c r="F85" s="9"/>
      <c r="G85" s="13">
        <f>IFERROR(__xludf.DUMMYFUNCTION("""COMPUTED_VALUE"""),0.6363636363636364)</f>
        <v>0.6363636364</v>
      </c>
      <c r="H85" s="9"/>
      <c r="I85" s="9"/>
      <c r="J85" s="12">
        <f>IFERROR(__xludf.DUMMYFUNCTION("""COMPUTED_VALUE"""),21.0)</f>
        <v>21</v>
      </c>
      <c r="K85" s="9"/>
      <c r="L85" s="9"/>
      <c r="M85" s="9"/>
      <c r="N85" s="13">
        <f>IFERROR(__xludf.DUMMYFUNCTION("""COMPUTED_VALUE"""),0.14285714285714285)</f>
        <v>0.1428571429</v>
      </c>
      <c r="O85" s="9"/>
      <c r="P85" s="9"/>
      <c r="Q85" s="12">
        <f>IFERROR(__xludf.DUMMYFUNCTION("""COMPUTED_VALUE"""),3.0)</f>
        <v>3</v>
      </c>
      <c r="R85" s="9"/>
      <c r="S85" s="9"/>
      <c r="T85" s="9"/>
      <c r="U85" s="36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2">
        <f>IFERROR(__xludf.DUMMYFUNCTION("""COMPUTED_VALUE"""),23.0)</f>
        <v>23</v>
      </c>
      <c r="D86" s="9"/>
      <c r="E86" s="9"/>
      <c r="F86" s="9"/>
      <c r="G86" s="13">
        <f>IFERROR(__xludf.DUMMYFUNCTION("""COMPUTED_VALUE"""),0.6956521739130435)</f>
        <v>0.6956521739</v>
      </c>
      <c r="H86" s="9"/>
      <c r="I86" s="9"/>
      <c r="J86" s="12">
        <f>IFERROR(__xludf.DUMMYFUNCTION("""COMPUTED_VALUE"""),16.0)</f>
        <v>16</v>
      </c>
      <c r="K86" s="9"/>
      <c r="L86" s="9"/>
      <c r="M86" s="9"/>
      <c r="N86" s="13">
        <f>IFERROR(__xludf.DUMMYFUNCTION("""COMPUTED_VALUE"""),0.125)</f>
        <v>0.125</v>
      </c>
      <c r="O86" s="9"/>
      <c r="P86" s="9"/>
      <c r="Q86" s="12">
        <f>IFERROR(__xludf.DUMMYFUNCTION("""COMPUTED_VALUE"""),2.0)</f>
        <v>2</v>
      </c>
      <c r="R86" s="9"/>
      <c r="S86" s="9"/>
      <c r="T86" s="9"/>
      <c r="U86" s="36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2">
        <f>IFERROR(__xludf.DUMMYFUNCTION("""COMPUTED_VALUE"""),1.0)</f>
        <v>1</v>
      </c>
      <c r="D87" s="9"/>
      <c r="E87" s="9"/>
      <c r="F87" s="9"/>
      <c r="G87" s="13">
        <f>IFERROR(__xludf.DUMMYFUNCTION("""COMPUTED_VALUE"""),1.0)</f>
        <v>1</v>
      </c>
      <c r="H87" s="9"/>
      <c r="I87" s="9"/>
      <c r="J87" s="12">
        <f>IFERROR(__xludf.DUMMYFUNCTION("""COMPUTED_VALUE"""),1.0)</f>
        <v>1</v>
      </c>
      <c r="K87" s="9"/>
      <c r="L87" s="9"/>
      <c r="M87" s="9"/>
      <c r="N87" s="13">
        <f>IFERROR(__xludf.DUMMYFUNCTION("""COMPUTED_VALUE"""),1.0)</f>
        <v>1</v>
      </c>
      <c r="O87" s="9"/>
      <c r="P87" s="9"/>
      <c r="Q87" s="12">
        <f>IFERROR(__xludf.DUMMYFUNCTION("""COMPUTED_VALUE"""),1.0)</f>
        <v>1</v>
      </c>
      <c r="R87" s="9"/>
      <c r="S87" s="9"/>
      <c r="T87" s="9"/>
      <c r="U87" s="36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2">
        <f>IFERROR(__xludf.DUMMYFUNCTION("""COMPUTED_VALUE"""),7.0)</f>
        <v>7</v>
      </c>
      <c r="D88" s="9"/>
      <c r="E88" s="9"/>
      <c r="F88" s="9"/>
      <c r="G88" s="13">
        <f>IFERROR(__xludf.DUMMYFUNCTION("""COMPUTED_VALUE"""),0.8571428571428571)</f>
        <v>0.8571428571</v>
      </c>
      <c r="H88" s="9"/>
      <c r="I88" s="9"/>
      <c r="J88" s="12">
        <f>IFERROR(__xludf.DUMMYFUNCTION("""COMPUTED_VALUE"""),6.0)</f>
        <v>6</v>
      </c>
      <c r="K88" s="9"/>
      <c r="L88" s="9"/>
      <c r="M88" s="9"/>
      <c r="N88" s="13">
        <f>IFERROR(__xludf.DUMMYFUNCTION("""COMPUTED_VALUE"""),0.16666666666666666)</f>
        <v>0.1666666667</v>
      </c>
      <c r="O88" s="9"/>
      <c r="P88" s="9"/>
      <c r="Q88" s="12">
        <f>IFERROR(__xludf.DUMMYFUNCTION("""COMPUTED_VALUE"""),1.0)</f>
        <v>1</v>
      </c>
      <c r="R88" s="9"/>
      <c r="S88" s="9"/>
      <c r="T88" s="9"/>
      <c r="U88" s="36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2">
        <f>IFERROR(__xludf.DUMMYFUNCTION("""COMPUTED_VALUE"""),1.0)</f>
        <v>1</v>
      </c>
      <c r="D89" s="9"/>
      <c r="E89" s="9"/>
      <c r="F89" s="9"/>
      <c r="G89" s="13">
        <f>IFERROR(__xludf.DUMMYFUNCTION("""COMPUTED_VALUE"""),1.0)</f>
        <v>1</v>
      </c>
      <c r="H89" s="9"/>
      <c r="I89" s="9"/>
      <c r="J89" s="12">
        <f>IFERROR(__xludf.DUMMYFUNCTION("""COMPUTED_VALUE"""),1.0)</f>
        <v>1</v>
      </c>
      <c r="K89" s="9"/>
      <c r="L89" s="9"/>
      <c r="M89" s="9"/>
      <c r="N89" s="13">
        <f>IFERROR(__xludf.DUMMYFUNCTION("""COMPUTED_VALUE"""),0.0)</f>
        <v>0</v>
      </c>
      <c r="O89" s="9"/>
      <c r="P89" s="9"/>
      <c r="Q89" s="12">
        <f>IFERROR(__xludf.DUMMYFUNCTION("""COMPUTED_VALUE"""),0.0)</f>
        <v>0</v>
      </c>
      <c r="R89" s="9"/>
      <c r="S89" s="9"/>
      <c r="T89" s="9"/>
      <c r="U89" s="36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2">
        <f>IFERROR(__xludf.DUMMYFUNCTION("""COMPUTED_VALUE"""),159.03225806451604)</f>
        <v>159.0322581</v>
      </c>
      <c r="C90" s="12">
        <f>IFERROR(__xludf.DUMMYFUNCTION("""COMPUTED_VALUE"""),142.0)</f>
        <v>142</v>
      </c>
      <c r="D90" s="12">
        <f>IFERROR(__xludf.DUMMYFUNCTION("""COMPUTED_VALUE"""),-17.032258064516043)</f>
        <v>-17.03225806</v>
      </c>
      <c r="E90" s="13">
        <f>IFERROR(__xludf.DUMMYFUNCTION("""COMPUTED_VALUE"""),-0.10709939148072974)</f>
        <v>-0.1070993915</v>
      </c>
      <c r="F90" s="13">
        <f>IFERROR(__xludf.DUMMYFUNCTION("""COMPUTED_VALUE"""),0.7900000000000001)</f>
        <v>0.79</v>
      </c>
      <c r="G90" s="13">
        <f>IFERROR(__xludf.DUMMYFUNCTION("""COMPUTED_VALUE"""),0.7535211267605634)</f>
        <v>0.7535211268</v>
      </c>
      <c r="H90" s="35">
        <f>IFERROR(__xludf.DUMMYFUNCTION("""COMPUTED_VALUE"""),-3.647887323943677)</f>
        <v>-3.647887324</v>
      </c>
      <c r="I90" s="12">
        <f>IFERROR(__xludf.DUMMYFUNCTION("""COMPUTED_VALUE"""),125.63548387096769)</f>
        <v>125.6354839</v>
      </c>
      <c r="J90" s="12">
        <f>IFERROR(__xludf.DUMMYFUNCTION("""COMPUTED_VALUE"""),107.0)</f>
        <v>107</v>
      </c>
      <c r="K90" s="12">
        <f>IFERROR(__xludf.DUMMYFUNCTION("""COMPUTED_VALUE"""),-18.63548387096769)</f>
        <v>-18.63548387</v>
      </c>
      <c r="L90" s="13">
        <f>IFERROR(__xludf.DUMMYFUNCTION("""COMPUTED_VALUE"""),-0.14832978149793274)</f>
        <v>-0.1483297815</v>
      </c>
      <c r="M90" s="13">
        <f>IFERROR(__xludf.DUMMYFUNCTION("""COMPUTED_VALUE"""),0.37610294117647075)</f>
        <v>0.3761029412</v>
      </c>
      <c r="N90" s="13">
        <f>IFERROR(__xludf.DUMMYFUNCTION("""COMPUTED_VALUE"""),0.3925233644859813)</f>
        <v>0.3925233645</v>
      </c>
      <c r="O90" s="35">
        <f>IFERROR(__xludf.DUMMYFUNCTION("""COMPUTED_VALUE"""),1.6420423309510546)</f>
        <v>1.642042331</v>
      </c>
      <c r="P90" s="12">
        <f>IFERROR(__xludf.DUMMYFUNCTION("""COMPUTED_VALUE"""),47.251875)</f>
        <v>47.251875</v>
      </c>
      <c r="Q90" s="12">
        <f>IFERROR(__xludf.DUMMYFUNCTION("""COMPUTED_VALUE"""),42.0)</f>
        <v>42</v>
      </c>
      <c r="R90" s="12">
        <f>IFERROR(__xludf.DUMMYFUNCTION("""COMPUTED_VALUE"""),-5.251874999999998)</f>
        <v>-5.251875</v>
      </c>
      <c r="S90" s="13">
        <f>IFERROR(__xludf.DUMMYFUNCTION("""COMPUTED_VALUE"""),-0.11114638308003648)</f>
        <v>-0.1111463831</v>
      </c>
      <c r="T90" s="12">
        <f>IFERROR(__xludf.DUMMYFUNCTION("""COMPUTED_VALUE"""),177507.29330070002)</f>
        <v>177507.2933</v>
      </c>
      <c r="U90" s="36">
        <f>IFERROR(__xludf.DUMMYFUNCTION("""COMPUTED_VALUE"""),1412.8754698235302)</f>
        <v>1412.87547</v>
      </c>
      <c r="V90" s="36">
        <f>IFERROR(__xludf.DUMMYFUNCTION("""COMPUTED_VALUE"""),-26329.618029582296)</f>
        <v>-26329.61803</v>
      </c>
      <c r="W90" s="13">
        <f>IFERROR(__xludf.DUMMYFUNCTION("""COMPUTED_VALUE"""),-0.14832978149793274)</f>
        <v>-0.1483297815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2">
        <f>IFERROR(__xludf.DUMMYFUNCTION("""COMPUTED_VALUE"""),38.0)</f>
        <v>38</v>
      </c>
      <c r="D91" s="9"/>
      <c r="E91" s="9"/>
      <c r="F91" s="9"/>
      <c r="G91" s="13">
        <f>IFERROR(__xludf.DUMMYFUNCTION("""COMPUTED_VALUE"""),0.7105263157894737)</f>
        <v>0.7105263158</v>
      </c>
      <c r="H91" s="9"/>
      <c r="I91" s="9"/>
      <c r="J91" s="12">
        <f>IFERROR(__xludf.DUMMYFUNCTION("""COMPUTED_VALUE"""),27.0)</f>
        <v>27</v>
      </c>
      <c r="K91" s="9"/>
      <c r="L91" s="9"/>
      <c r="M91" s="9"/>
      <c r="N91" s="13">
        <f>IFERROR(__xludf.DUMMYFUNCTION("""COMPUTED_VALUE"""),0.5925925925925926)</f>
        <v>0.5925925926</v>
      </c>
      <c r="O91" s="9"/>
      <c r="P91" s="9"/>
      <c r="Q91" s="12">
        <f>IFERROR(__xludf.DUMMYFUNCTION("""COMPUTED_VALUE"""),16.0)</f>
        <v>16</v>
      </c>
      <c r="R91" s="9"/>
      <c r="S91" s="9"/>
      <c r="T91" s="9"/>
      <c r="U91" s="36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2">
        <f>IFERROR(__xludf.DUMMYFUNCTION("""COMPUTED_VALUE"""),21.0)</f>
        <v>21</v>
      </c>
      <c r="D92" s="9"/>
      <c r="E92" s="9"/>
      <c r="F92" s="9"/>
      <c r="G92" s="13">
        <f>IFERROR(__xludf.DUMMYFUNCTION("""COMPUTED_VALUE"""),0.9047619047619048)</f>
        <v>0.9047619048</v>
      </c>
      <c r="H92" s="9"/>
      <c r="I92" s="9"/>
      <c r="J92" s="12">
        <f>IFERROR(__xludf.DUMMYFUNCTION("""COMPUTED_VALUE"""),19.0)</f>
        <v>19</v>
      </c>
      <c r="K92" s="9"/>
      <c r="L92" s="9"/>
      <c r="M92" s="9"/>
      <c r="N92" s="13">
        <f>IFERROR(__xludf.DUMMYFUNCTION("""COMPUTED_VALUE"""),0.6842105263157895)</f>
        <v>0.6842105263</v>
      </c>
      <c r="O92" s="9"/>
      <c r="P92" s="9"/>
      <c r="Q92" s="12">
        <f>IFERROR(__xludf.DUMMYFUNCTION("""COMPUTED_VALUE"""),13.0)</f>
        <v>13</v>
      </c>
      <c r="R92" s="9"/>
      <c r="S92" s="9"/>
      <c r="T92" s="9"/>
      <c r="U92" s="36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2">
        <f>IFERROR(__xludf.DUMMYFUNCTION("""COMPUTED_VALUE"""),25.0)</f>
        <v>25</v>
      </c>
      <c r="D93" s="9"/>
      <c r="E93" s="9"/>
      <c r="F93" s="9"/>
      <c r="G93" s="13">
        <f>IFERROR(__xludf.DUMMYFUNCTION("""COMPUTED_VALUE"""),0.88)</f>
        <v>0.88</v>
      </c>
      <c r="H93" s="9"/>
      <c r="I93" s="9"/>
      <c r="J93" s="12">
        <f>IFERROR(__xludf.DUMMYFUNCTION("""COMPUTED_VALUE"""),22.0)</f>
        <v>22</v>
      </c>
      <c r="K93" s="9"/>
      <c r="L93" s="9"/>
      <c r="M93" s="9"/>
      <c r="N93" s="13">
        <f>IFERROR(__xludf.DUMMYFUNCTION("""COMPUTED_VALUE"""),0.5454545454545454)</f>
        <v>0.5454545455</v>
      </c>
      <c r="O93" s="9"/>
      <c r="P93" s="9"/>
      <c r="Q93" s="12">
        <f>IFERROR(__xludf.DUMMYFUNCTION("""COMPUTED_VALUE"""),12.0)</f>
        <v>12</v>
      </c>
      <c r="R93" s="9"/>
      <c r="S93" s="9"/>
      <c r="T93" s="9"/>
      <c r="U93" s="36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2">
        <f>IFERROR(__xludf.DUMMYFUNCTION("""COMPUTED_VALUE"""),33.0)</f>
        <v>33</v>
      </c>
      <c r="D94" s="9"/>
      <c r="E94" s="9"/>
      <c r="F94" s="9"/>
      <c r="G94" s="13">
        <f>IFERROR(__xludf.DUMMYFUNCTION("""COMPUTED_VALUE"""),0.7272727272727273)</f>
        <v>0.7272727273</v>
      </c>
      <c r="H94" s="9"/>
      <c r="I94" s="9"/>
      <c r="J94" s="12">
        <f>IFERROR(__xludf.DUMMYFUNCTION("""COMPUTED_VALUE"""),24.0)</f>
        <v>24</v>
      </c>
      <c r="K94" s="9"/>
      <c r="L94" s="9"/>
      <c r="M94" s="9"/>
      <c r="N94" s="13">
        <f>IFERROR(__xludf.DUMMYFUNCTION("""COMPUTED_VALUE"""),0.5)</f>
        <v>0.5</v>
      </c>
      <c r="O94" s="9"/>
      <c r="P94" s="9"/>
      <c r="Q94" s="12">
        <f>IFERROR(__xludf.DUMMYFUNCTION("""COMPUTED_VALUE"""),12.0)</f>
        <v>12</v>
      </c>
      <c r="R94" s="9"/>
      <c r="S94" s="9"/>
      <c r="T94" s="9"/>
      <c r="U94" s="36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2">
        <f>IFERROR(__xludf.DUMMYFUNCTION("""COMPUTED_VALUE"""),49.0)</f>
        <v>49</v>
      </c>
      <c r="D95" s="9"/>
      <c r="E95" s="9"/>
      <c r="F95" s="9"/>
      <c r="G95" s="13">
        <f>IFERROR(__xludf.DUMMYFUNCTION("""COMPUTED_VALUE"""),0.7959183673469388)</f>
        <v>0.7959183673</v>
      </c>
      <c r="H95" s="9"/>
      <c r="I95" s="9"/>
      <c r="J95" s="12">
        <f>IFERROR(__xludf.DUMMYFUNCTION("""COMPUTED_VALUE"""),39.0)</f>
        <v>39</v>
      </c>
      <c r="K95" s="9"/>
      <c r="L95" s="9"/>
      <c r="M95" s="9"/>
      <c r="N95" s="13">
        <f>IFERROR(__xludf.DUMMYFUNCTION("""COMPUTED_VALUE"""),0.3076923076923077)</f>
        <v>0.3076923077</v>
      </c>
      <c r="O95" s="9"/>
      <c r="P95" s="9"/>
      <c r="Q95" s="12">
        <f>IFERROR(__xludf.DUMMYFUNCTION("""COMPUTED_VALUE"""),12.0)</f>
        <v>12</v>
      </c>
      <c r="R95" s="9"/>
      <c r="S95" s="9"/>
      <c r="T95" s="9"/>
      <c r="U95" s="36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2">
        <f>IFERROR(__xludf.DUMMYFUNCTION("""COMPUTED_VALUE"""),29.0)</f>
        <v>29</v>
      </c>
      <c r="D96" s="9"/>
      <c r="E96" s="9"/>
      <c r="F96" s="9"/>
      <c r="G96" s="13">
        <f>IFERROR(__xludf.DUMMYFUNCTION("""COMPUTED_VALUE"""),0.6551724137931034)</f>
        <v>0.6551724138</v>
      </c>
      <c r="H96" s="9"/>
      <c r="I96" s="9"/>
      <c r="J96" s="12">
        <f>IFERROR(__xludf.DUMMYFUNCTION("""COMPUTED_VALUE"""),19.0)</f>
        <v>19</v>
      </c>
      <c r="K96" s="9"/>
      <c r="L96" s="9"/>
      <c r="M96" s="9"/>
      <c r="N96" s="13">
        <f>IFERROR(__xludf.DUMMYFUNCTION("""COMPUTED_VALUE"""),0.5263157894736842)</f>
        <v>0.5263157895</v>
      </c>
      <c r="O96" s="9"/>
      <c r="P96" s="9"/>
      <c r="Q96" s="12">
        <f>IFERROR(__xludf.DUMMYFUNCTION("""COMPUTED_VALUE"""),10.0)</f>
        <v>10</v>
      </c>
      <c r="R96" s="9"/>
      <c r="S96" s="9"/>
      <c r="T96" s="9"/>
      <c r="U96" s="36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2">
        <f>IFERROR(__xludf.DUMMYFUNCTION("""COMPUTED_VALUE"""),27.0)</f>
        <v>27</v>
      </c>
      <c r="D97" s="9"/>
      <c r="E97" s="9"/>
      <c r="F97" s="9"/>
      <c r="G97" s="13">
        <f>IFERROR(__xludf.DUMMYFUNCTION("""COMPUTED_VALUE"""),0.8148148148148148)</f>
        <v>0.8148148148</v>
      </c>
      <c r="H97" s="9"/>
      <c r="I97" s="9"/>
      <c r="J97" s="12">
        <f>IFERROR(__xludf.DUMMYFUNCTION("""COMPUTED_VALUE"""),22.0)</f>
        <v>22</v>
      </c>
      <c r="K97" s="9"/>
      <c r="L97" s="9"/>
      <c r="M97" s="9"/>
      <c r="N97" s="13">
        <f>IFERROR(__xludf.DUMMYFUNCTION("""COMPUTED_VALUE"""),0.4090909090909091)</f>
        <v>0.4090909091</v>
      </c>
      <c r="O97" s="9"/>
      <c r="P97" s="9"/>
      <c r="Q97" s="12">
        <f>IFERROR(__xludf.DUMMYFUNCTION("""COMPUTED_VALUE"""),9.0)</f>
        <v>9</v>
      </c>
      <c r="R97" s="9"/>
      <c r="S97" s="9"/>
      <c r="T97" s="9"/>
      <c r="U97" s="36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2">
        <f>IFERROR(__xludf.DUMMYFUNCTION("""COMPUTED_VALUE"""),25.0)</f>
        <v>25</v>
      </c>
      <c r="D98" s="9"/>
      <c r="E98" s="9"/>
      <c r="F98" s="9"/>
      <c r="G98" s="13">
        <f>IFERROR(__xludf.DUMMYFUNCTION("""COMPUTED_VALUE"""),0.88)</f>
        <v>0.88</v>
      </c>
      <c r="H98" s="9"/>
      <c r="I98" s="9"/>
      <c r="J98" s="12">
        <f>IFERROR(__xludf.DUMMYFUNCTION("""COMPUTED_VALUE"""),22.0)</f>
        <v>22</v>
      </c>
      <c r="K98" s="9"/>
      <c r="L98" s="9"/>
      <c r="M98" s="9"/>
      <c r="N98" s="13">
        <f>IFERROR(__xludf.DUMMYFUNCTION("""COMPUTED_VALUE"""),0.4090909090909091)</f>
        <v>0.4090909091</v>
      </c>
      <c r="O98" s="9"/>
      <c r="P98" s="9"/>
      <c r="Q98" s="12">
        <f>IFERROR(__xludf.DUMMYFUNCTION("""COMPUTED_VALUE"""),9.0)</f>
        <v>9</v>
      </c>
      <c r="R98" s="9"/>
      <c r="S98" s="9"/>
      <c r="T98" s="9"/>
      <c r="U98" s="36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2">
        <f>IFERROR(__xludf.DUMMYFUNCTION("""COMPUTED_VALUE"""),26.0)</f>
        <v>26</v>
      </c>
      <c r="D99" s="9"/>
      <c r="E99" s="9"/>
      <c r="F99" s="9"/>
      <c r="G99" s="13">
        <f>IFERROR(__xludf.DUMMYFUNCTION("""COMPUTED_VALUE"""),0.9615384615384616)</f>
        <v>0.9615384615</v>
      </c>
      <c r="H99" s="9"/>
      <c r="I99" s="9"/>
      <c r="J99" s="12">
        <f>IFERROR(__xludf.DUMMYFUNCTION("""COMPUTED_VALUE"""),25.0)</f>
        <v>25</v>
      </c>
      <c r="K99" s="9"/>
      <c r="L99" s="9"/>
      <c r="M99" s="9"/>
      <c r="N99" s="13">
        <f>IFERROR(__xludf.DUMMYFUNCTION("""COMPUTED_VALUE"""),0.28)</f>
        <v>0.28</v>
      </c>
      <c r="O99" s="9"/>
      <c r="P99" s="9"/>
      <c r="Q99" s="12">
        <f>IFERROR(__xludf.DUMMYFUNCTION("""COMPUTED_VALUE"""),7.0)</f>
        <v>7</v>
      </c>
      <c r="R99" s="9"/>
      <c r="S99" s="9"/>
      <c r="T99" s="9"/>
      <c r="U99" s="36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2">
        <f>IFERROR(__xludf.DUMMYFUNCTION("""COMPUTED_VALUE"""),2.0)</f>
        <v>2</v>
      </c>
      <c r="D100" s="9"/>
      <c r="E100" s="9"/>
      <c r="F100" s="9"/>
      <c r="G100" s="13">
        <f>IFERROR(__xludf.DUMMYFUNCTION("""COMPUTED_VALUE"""),1.0)</f>
        <v>1</v>
      </c>
      <c r="H100" s="9"/>
      <c r="I100" s="9"/>
      <c r="J100" s="12">
        <f>IFERROR(__xludf.DUMMYFUNCTION("""COMPUTED_VALUE"""),2.0)</f>
        <v>2</v>
      </c>
      <c r="K100" s="9"/>
      <c r="L100" s="9"/>
      <c r="M100" s="9"/>
      <c r="N100" s="13">
        <f>IFERROR(__xludf.DUMMYFUNCTION("""COMPUTED_VALUE"""),1.0)</f>
        <v>1</v>
      </c>
      <c r="O100" s="9"/>
      <c r="P100" s="9"/>
      <c r="Q100" s="12">
        <f>IFERROR(__xludf.DUMMYFUNCTION("""COMPUTED_VALUE"""),2.0)</f>
        <v>2</v>
      </c>
      <c r="R100" s="9"/>
      <c r="S100" s="9"/>
      <c r="T100" s="9"/>
      <c r="U100" s="36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2">
        <f>IFERROR(__xludf.DUMMYFUNCTION("""COMPUTED_VALUE"""),7.0)</f>
        <v>7</v>
      </c>
      <c r="D101" s="9"/>
      <c r="E101" s="9"/>
      <c r="F101" s="9"/>
      <c r="G101" s="13">
        <f>IFERROR(__xludf.DUMMYFUNCTION("""COMPUTED_VALUE"""),0.8571428571428571)</f>
        <v>0.8571428571</v>
      </c>
      <c r="H101" s="9"/>
      <c r="I101" s="9"/>
      <c r="J101" s="12">
        <f>IFERROR(__xludf.DUMMYFUNCTION("""COMPUTED_VALUE"""),6.0)</f>
        <v>6</v>
      </c>
      <c r="K101" s="9"/>
      <c r="L101" s="9"/>
      <c r="M101" s="9"/>
      <c r="N101" s="13">
        <f>IFERROR(__xludf.DUMMYFUNCTION("""COMPUTED_VALUE"""),0.3333333333333333)</f>
        <v>0.3333333333</v>
      </c>
      <c r="O101" s="9"/>
      <c r="P101" s="9"/>
      <c r="Q101" s="12">
        <f>IFERROR(__xludf.DUMMYFUNCTION("""COMPUTED_VALUE"""),2.0)</f>
        <v>2</v>
      </c>
      <c r="R101" s="9"/>
      <c r="S101" s="9"/>
      <c r="T101" s="9"/>
      <c r="U101" s="36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2">
        <f>IFERROR(__xludf.DUMMYFUNCTION("""COMPUTED_VALUE"""),1.0)</f>
        <v>1</v>
      </c>
      <c r="D102" s="9"/>
      <c r="E102" s="9"/>
      <c r="F102" s="9"/>
      <c r="G102" s="13">
        <f>IFERROR(__xludf.DUMMYFUNCTION("""COMPUTED_VALUE"""),1.0)</f>
        <v>1</v>
      </c>
      <c r="H102" s="9"/>
      <c r="I102" s="9"/>
      <c r="J102" s="12">
        <f>IFERROR(__xludf.DUMMYFUNCTION("""COMPUTED_VALUE"""),1.0)</f>
        <v>1</v>
      </c>
      <c r="K102" s="9"/>
      <c r="L102" s="9"/>
      <c r="M102" s="9"/>
      <c r="N102" s="13">
        <f>IFERROR(__xludf.DUMMYFUNCTION("""COMPUTED_VALUE"""),0.0)</f>
        <v>0</v>
      </c>
      <c r="O102" s="9"/>
      <c r="P102" s="9"/>
      <c r="Q102" s="12">
        <f>IFERROR(__xludf.DUMMYFUNCTION("""COMPUTED_VALUE"""),0.0)</f>
        <v>0</v>
      </c>
      <c r="R102" s="9"/>
      <c r="S102" s="9"/>
      <c r="T102" s="9"/>
      <c r="U102" s="36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2">
        <f>IFERROR(__xludf.DUMMYFUNCTION("""COMPUTED_VALUE"""),1.0)</f>
        <v>1</v>
      </c>
      <c r="D103" s="9"/>
      <c r="E103" s="9"/>
      <c r="F103" s="9"/>
      <c r="G103" s="13">
        <f>IFERROR(__xludf.DUMMYFUNCTION("""COMPUTED_VALUE"""),0.0)</f>
        <v>0</v>
      </c>
      <c r="H103" s="9"/>
      <c r="I103" s="9"/>
      <c r="J103" s="12">
        <f>IFERROR(__xludf.DUMMYFUNCTION("""COMPUTED_VALUE"""),0.0)</f>
        <v>0</v>
      </c>
      <c r="K103" s="9"/>
      <c r="L103" s="9"/>
      <c r="M103" s="9"/>
      <c r="N103" s="13">
        <f>IFERROR(__xludf.DUMMYFUNCTION("""COMPUTED_VALUE"""),0.0)</f>
        <v>0</v>
      </c>
      <c r="O103" s="9"/>
      <c r="P103" s="9"/>
      <c r="Q103" s="12">
        <f>IFERROR(__xludf.DUMMYFUNCTION("""COMPUTED_VALUE"""),0.0)</f>
        <v>0</v>
      </c>
      <c r="R103" s="9"/>
      <c r="S103" s="9"/>
      <c r="T103" s="9"/>
      <c r="U103" s="36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2">
        <f>IFERROR(__xludf.DUMMYFUNCTION("""COMPUTED_VALUE"""),1.0)</f>
        <v>1</v>
      </c>
      <c r="D104" s="9"/>
      <c r="E104" s="9"/>
      <c r="F104" s="9"/>
      <c r="G104" s="13">
        <f>IFERROR(__xludf.DUMMYFUNCTION("""COMPUTED_VALUE"""),2.0)</f>
        <v>2</v>
      </c>
      <c r="H104" s="9"/>
      <c r="I104" s="9"/>
      <c r="J104" s="12">
        <f>IFERROR(__xludf.DUMMYFUNCTION("""COMPUTED_VALUE"""),2.0)</f>
        <v>2</v>
      </c>
      <c r="K104" s="9"/>
      <c r="L104" s="9"/>
      <c r="M104" s="9"/>
      <c r="N104" s="13">
        <f>IFERROR(__xludf.DUMMYFUNCTION("""COMPUTED_VALUE"""),0.0)</f>
        <v>0</v>
      </c>
      <c r="O104" s="9"/>
      <c r="P104" s="9"/>
      <c r="Q104" s="12">
        <f>IFERROR(__xludf.DUMMYFUNCTION("""COMPUTED_VALUE"""),0.0)</f>
        <v>0</v>
      </c>
      <c r="R104" s="9"/>
      <c r="S104" s="9"/>
      <c r="T104" s="9"/>
      <c r="U104" s="36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2">
        <f>IFERROR(__xludf.DUMMYFUNCTION("""COMPUTED_VALUE"""),319.38064516129015)</f>
        <v>319.3806452</v>
      </c>
      <c r="C105" s="12">
        <f>IFERROR(__xludf.DUMMYFUNCTION("""COMPUTED_VALUE"""),302.0)</f>
        <v>302</v>
      </c>
      <c r="D105" s="12">
        <f>IFERROR(__xludf.DUMMYFUNCTION("""COMPUTED_VALUE"""),-17.380645161290147)</f>
        <v>-17.38064516</v>
      </c>
      <c r="E105" s="13">
        <f>IFERROR(__xludf.DUMMYFUNCTION("""COMPUTED_VALUE"""),-0.05441984486102081)</f>
        <v>-0.05441984486</v>
      </c>
      <c r="F105" s="13">
        <f>IFERROR(__xludf.DUMMYFUNCTION("""COMPUTED_VALUE"""),0.5817307692307692)</f>
        <v>0.5817307692</v>
      </c>
      <c r="G105" s="13">
        <f>IFERROR(__xludf.DUMMYFUNCTION("""COMPUTED_VALUE"""),0.652317880794702)</f>
        <v>0.6523178808</v>
      </c>
      <c r="H105" s="35">
        <f>IFERROR(__xludf.DUMMYFUNCTION("""COMPUTED_VALUE"""),7.058711156393283)</f>
        <v>7.058711156</v>
      </c>
      <c r="I105" s="12">
        <f>IFERROR(__xludf.DUMMYFUNCTION("""COMPUTED_VALUE"""),185.79354838709665)</f>
        <v>185.7935484</v>
      </c>
      <c r="J105" s="12">
        <f>IFERROR(__xludf.DUMMYFUNCTION("""COMPUTED_VALUE"""),197.0)</f>
        <v>197</v>
      </c>
      <c r="K105" s="12">
        <f>IFERROR(__xludf.DUMMYFUNCTION("""COMPUTED_VALUE"""),11.20645161290335)</f>
        <v>11.20645161</v>
      </c>
      <c r="L105" s="13">
        <f>IFERROR(__xludf.DUMMYFUNCTION("""COMPUTED_VALUE"""),0.06031668865893536)</f>
        <v>0.06031668866</v>
      </c>
      <c r="M105" s="13">
        <f>IFERROR(__xludf.DUMMYFUNCTION("""COMPUTED_VALUE"""),0.4434491978609628)</f>
        <v>0.4434491979</v>
      </c>
      <c r="N105" s="13">
        <f>IFERROR(__xludf.DUMMYFUNCTION("""COMPUTED_VALUE"""),0.47715736040609136)</f>
        <v>0.4771573604</v>
      </c>
      <c r="O105" s="35">
        <f>IFERROR(__xludf.DUMMYFUNCTION("""COMPUTED_VALUE"""),3.370816254512854)</f>
        <v>3.370816255</v>
      </c>
      <c r="P105" s="12">
        <f>IFERROR(__xludf.DUMMYFUNCTION("""COMPUTED_VALUE"""),82.38999999999999)</f>
        <v>82.39</v>
      </c>
      <c r="Q105" s="12">
        <f>IFERROR(__xludf.DUMMYFUNCTION("""COMPUTED_VALUE"""),94.0)</f>
        <v>94</v>
      </c>
      <c r="R105" s="12">
        <f>IFERROR(__xludf.DUMMYFUNCTION("""COMPUTED_VALUE"""),11.610000000000014)</f>
        <v>11.61</v>
      </c>
      <c r="S105" s="13">
        <f>IFERROR(__xludf.DUMMYFUNCTION("""COMPUTED_VALUE"""),0.14091515960674858)</f>
        <v>0.1409151596</v>
      </c>
      <c r="T105" s="12">
        <f>IFERROR(__xludf.DUMMYFUNCTION("""COMPUTED_VALUE"""),342414.408)</f>
        <v>342414.408</v>
      </c>
      <c r="U105" s="36">
        <f>IFERROR(__xludf.DUMMYFUNCTION("""COMPUTED_VALUE"""),1842.9833057851251)</f>
        <v>1842.983306</v>
      </c>
      <c r="V105" s="36">
        <f>IFERROR(__xludf.DUMMYFUNCTION("""COMPUTED_VALUE"""),20653.303239669665)</f>
        <v>20653.30324</v>
      </c>
      <c r="W105" s="13">
        <f>IFERROR(__xludf.DUMMYFUNCTION("""COMPUTED_VALUE"""),0.06031668865893536)</f>
        <v>0.06031668866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2" t="str">
        <f>IFERROR(__xludf.DUMMYFUNCTION("""COMPUTED_VALUE"""),"#REF!")</f>
        <v>#REF!</v>
      </c>
      <c r="D106" s="9"/>
      <c r="E106" s="9"/>
      <c r="F106" s="9"/>
      <c r="G106" s="13" t="str">
        <f>IFERROR(__xludf.DUMMYFUNCTION("""COMPUTED_VALUE"""),"#REF!")</f>
        <v>#REF!</v>
      </c>
      <c r="H106" s="9"/>
      <c r="I106" s="9"/>
      <c r="J106" s="12" t="str">
        <f>IFERROR(__xludf.DUMMYFUNCTION("""COMPUTED_VALUE"""),"#REF!")</f>
        <v>#REF!</v>
      </c>
      <c r="K106" s="9"/>
      <c r="L106" s="9"/>
      <c r="M106" s="9"/>
      <c r="N106" s="13" t="str">
        <f>IFERROR(__xludf.DUMMYFUNCTION("""COMPUTED_VALUE"""),"#REF!")</f>
        <v>#REF!</v>
      </c>
      <c r="O106" s="9"/>
      <c r="P106" s="9"/>
      <c r="Q106" s="12" t="str">
        <f>IFERROR(__xludf.DUMMYFUNCTION("""COMPUTED_VALUE"""),"#REF!")</f>
        <v>#REF!</v>
      </c>
      <c r="R106" s="9"/>
      <c r="S106" s="9"/>
      <c r="T106" s="9"/>
      <c r="U106" s="36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6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6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6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6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6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6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6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6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6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6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6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6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6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6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6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6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2">
        <f>IFERROR(__xludf.DUMMYFUNCTION("""COMPUTED_VALUE"""),118.39677419354834)</f>
        <v>118.3967742</v>
      </c>
      <c r="C124" s="12">
        <f>IFERROR(__xludf.DUMMYFUNCTION("""COMPUTED_VALUE"""),69.0)</f>
        <v>69</v>
      </c>
      <c r="D124" s="12">
        <f>IFERROR(__xludf.DUMMYFUNCTION("""COMPUTED_VALUE"""),-49.39677419354834)</f>
        <v>-49.39677419</v>
      </c>
      <c r="E124" s="13">
        <f>IFERROR(__xludf.DUMMYFUNCTION("""COMPUTED_VALUE"""),-0.41721385172874126)</f>
        <v>-0.4172138517</v>
      </c>
      <c r="F124" s="13">
        <f>IFERROR(__xludf.DUMMYFUNCTION("""COMPUTED_VALUE"""),0.716535433070866)</f>
        <v>0.7165354331</v>
      </c>
      <c r="G124" s="13">
        <f>IFERROR(__xludf.DUMMYFUNCTION("""COMPUTED_VALUE"""),0.7536231884057971)</f>
        <v>0.7536231884</v>
      </c>
      <c r="H124" s="35">
        <f>IFERROR(__xludf.DUMMYFUNCTION("""COMPUTED_VALUE"""),3.708775533493114)</f>
        <v>3.708775533</v>
      </c>
      <c r="I124" s="12">
        <f>IFERROR(__xludf.DUMMYFUNCTION("""COMPUTED_VALUE"""),84.83548387096769)</f>
        <v>84.83548387</v>
      </c>
      <c r="J124" s="12">
        <f>IFERROR(__xludf.DUMMYFUNCTION("""COMPUTED_VALUE"""),52.0)</f>
        <v>52</v>
      </c>
      <c r="K124" s="12">
        <f>IFERROR(__xludf.DUMMYFUNCTION("""COMPUTED_VALUE"""),-32.83548387096769)</f>
        <v>-32.83548387</v>
      </c>
      <c r="L124" s="13">
        <f>IFERROR(__xludf.DUMMYFUNCTION("""COMPUTED_VALUE"""),-0.3870489372219472)</f>
        <v>-0.3870489372</v>
      </c>
      <c r="M124" s="13">
        <f>IFERROR(__xludf.DUMMYFUNCTION("""COMPUTED_VALUE"""),0.3857466063348418)</f>
        <v>0.3857466063</v>
      </c>
      <c r="N124" s="13">
        <f>IFERROR(__xludf.DUMMYFUNCTION("""COMPUTED_VALUE"""),0.28846153846153844)</f>
        <v>0.2884615385</v>
      </c>
      <c r="O124" s="35">
        <f>IFERROR(__xludf.DUMMYFUNCTION("""COMPUTED_VALUE"""),-9.728506787330337)</f>
        <v>-9.728506787</v>
      </c>
      <c r="P124" s="12">
        <f>IFERROR(__xludf.DUMMYFUNCTION("""COMPUTED_VALUE"""),32.724999999999994)</f>
        <v>32.725</v>
      </c>
      <c r="Q124" s="12">
        <f>IFERROR(__xludf.DUMMYFUNCTION("""COMPUTED_VALUE"""),15.0)</f>
        <v>15</v>
      </c>
      <c r="R124" s="12">
        <f>IFERROR(__xludf.DUMMYFUNCTION("""COMPUTED_VALUE"""),-17.724999999999994)</f>
        <v>-17.725</v>
      </c>
      <c r="S124" s="13">
        <f>IFERROR(__xludf.DUMMYFUNCTION("""COMPUTED_VALUE"""),-0.5416348357524827)</f>
        <v>-0.5416348358</v>
      </c>
      <c r="T124" s="12">
        <f>IFERROR(__xludf.DUMMYFUNCTION("""COMPUTED_VALUE"""),127502.83151999999)</f>
        <v>127502.8315</v>
      </c>
      <c r="U124" s="36">
        <f>IFERROR(__xludf.DUMMYFUNCTION("""COMPUTED_VALUE"""),1502.9422324499037)</f>
        <v>1502.942232</v>
      </c>
      <c r="V124" s="36">
        <f>IFERROR(__xludf.DUMMYFUNCTION("""COMPUTED_VALUE"""),-49349.83543260499)</f>
        <v>-49349.83543</v>
      </c>
      <c r="W124" s="13">
        <f>IFERROR(__xludf.DUMMYFUNCTION("""COMPUTED_VALUE"""),-0.3870489372219472)</f>
        <v>-0.3870489372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2">
        <f>IFERROR(__xludf.DUMMYFUNCTION("""COMPUTED_VALUE"""),12.0)</f>
        <v>12</v>
      </c>
      <c r="D125" s="9"/>
      <c r="E125" s="9"/>
      <c r="F125" s="9"/>
      <c r="G125" s="13">
        <f>IFERROR(__xludf.DUMMYFUNCTION("""COMPUTED_VALUE"""),1.0)</f>
        <v>1</v>
      </c>
      <c r="H125" s="9"/>
      <c r="I125" s="9"/>
      <c r="J125" s="12">
        <f>IFERROR(__xludf.DUMMYFUNCTION("""COMPUTED_VALUE"""),12.0)</f>
        <v>12</v>
      </c>
      <c r="K125" s="9"/>
      <c r="L125" s="9"/>
      <c r="M125" s="9"/>
      <c r="N125" s="13">
        <f>IFERROR(__xludf.DUMMYFUNCTION("""COMPUTED_VALUE"""),0.5833333333333334)</f>
        <v>0.5833333333</v>
      </c>
      <c r="O125" s="9"/>
      <c r="P125" s="9"/>
      <c r="Q125" s="12">
        <f>IFERROR(__xludf.DUMMYFUNCTION("""COMPUTED_VALUE"""),7.0)</f>
        <v>7</v>
      </c>
      <c r="R125" s="9"/>
      <c r="S125" s="9"/>
      <c r="T125" s="9"/>
      <c r="U125" s="36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2">
        <f>IFERROR(__xludf.DUMMYFUNCTION("""COMPUTED_VALUE"""),9.0)</f>
        <v>9</v>
      </c>
      <c r="D126" s="9"/>
      <c r="E126" s="9"/>
      <c r="F126" s="9"/>
      <c r="G126" s="13">
        <f>IFERROR(__xludf.DUMMYFUNCTION("""COMPUTED_VALUE"""),0.7777777777777778)</f>
        <v>0.7777777778</v>
      </c>
      <c r="H126" s="9"/>
      <c r="I126" s="9"/>
      <c r="J126" s="12">
        <f>IFERROR(__xludf.DUMMYFUNCTION("""COMPUTED_VALUE"""),7.0)</f>
        <v>7</v>
      </c>
      <c r="K126" s="9"/>
      <c r="L126" s="9"/>
      <c r="M126" s="9"/>
      <c r="N126" s="13">
        <f>IFERROR(__xludf.DUMMYFUNCTION("""COMPUTED_VALUE"""),0.7142857142857143)</f>
        <v>0.7142857143</v>
      </c>
      <c r="O126" s="9"/>
      <c r="P126" s="9"/>
      <c r="Q126" s="12">
        <f>IFERROR(__xludf.DUMMYFUNCTION("""COMPUTED_VALUE"""),5.0)</f>
        <v>5</v>
      </c>
      <c r="R126" s="9"/>
      <c r="S126" s="9"/>
      <c r="T126" s="9"/>
      <c r="U126" s="36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2">
        <f>IFERROR(__xludf.DUMMYFUNCTION("""COMPUTED_VALUE"""),12.0)</f>
        <v>12</v>
      </c>
      <c r="D127" s="9"/>
      <c r="E127" s="9"/>
      <c r="F127" s="9"/>
      <c r="G127" s="13">
        <f>IFERROR(__xludf.DUMMYFUNCTION("""COMPUTED_VALUE"""),0.8333333333333334)</f>
        <v>0.8333333333</v>
      </c>
      <c r="H127" s="9"/>
      <c r="I127" s="9"/>
      <c r="J127" s="12">
        <f>IFERROR(__xludf.DUMMYFUNCTION("""COMPUTED_VALUE"""),10.0)</f>
        <v>10</v>
      </c>
      <c r="K127" s="9"/>
      <c r="L127" s="9"/>
      <c r="M127" s="9"/>
      <c r="N127" s="13">
        <f>IFERROR(__xludf.DUMMYFUNCTION("""COMPUTED_VALUE"""),0.4)</f>
        <v>0.4</v>
      </c>
      <c r="O127" s="9"/>
      <c r="P127" s="9"/>
      <c r="Q127" s="12">
        <f>IFERROR(__xludf.DUMMYFUNCTION("""COMPUTED_VALUE"""),4.0)</f>
        <v>4</v>
      </c>
      <c r="R127" s="9"/>
      <c r="S127" s="9"/>
      <c r="T127" s="9"/>
      <c r="U127" s="36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2">
        <f>IFERROR(__xludf.DUMMYFUNCTION("""COMPUTED_VALUE"""),12.0)</f>
        <v>12</v>
      </c>
      <c r="D128" s="9"/>
      <c r="E128" s="9"/>
      <c r="F128" s="9"/>
      <c r="G128" s="13">
        <f>IFERROR(__xludf.DUMMYFUNCTION("""COMPUTED_VALUE"""),0.9166666666666666)</f>
        <v>0.9166666667</v>
      </c>
      <c r="H128" s="9"/>
      <c r="I128" s="9"/>
      <c r="J128" s="12">
        <f>IFERROR(__xludf.DUMMYFUNCTION("""COMPUTED_VALUE"""),11.0)</f>
        <v>11</v>
      </c>
      <c r="K128" s="9"/>
      <c r="L128" s="9"/>
      <c r="M128" s="9"/>
      <c r="N128" s="13">
        <f>IFERROR(__xludf.DUMMYFUNCTION("""COMPUTED_VALUE"""),0.2727272727272727)</f>
        <v>0.2727272727</v>
      </c>
      <c r="O128" s="9"/>
      <c r="P128" s="9"/>
      <c r="Q128" s="12">
        <f>IFERROR(__xludf.DUMMYFUNCTION("""COMPUTED_VALUE"""),3.0)</f>
        <v>3</v>
      </c>
      <c r="R128" s="9"/>
      <c r="S128" s="9"/>
      <c r="T128" s="9"/>
      <c r="U128" s="36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2">
        <f>IFERROR(__xludf.DUMMYFUNCTION("""COMPUTED_VALUE"""),14.0)</f>
        <v>14</v>
      </c>
      <c r="D129" s="9"/>
      <c r="E129" s="9"/>
      <c r="F129" s="9"/>
      <c r="G129" s="13">
        <f>IFERROR(__xludf.DUMMYFUNCTION("""COMPUTED_VALUE"""),0.5)</f>
        <v>0.5</v>
      </c>
      <c r="H129" s="9"/>
      <c r="I129" s="9"/>
      <c r="J129" s="12">
        <f>IFERROR(__xludf.DUMMYFUNCTION("""COMPUTED_VALUE"""),7.0)</f>
        <v>7</v>
      </c>
      <c r="K129" s="9"/>
      <c r="L129" s="9"/>
      <c r="M129" s="9"/>
      <c r="N129" s="13">
        <f>IFERROR(__xludf.DUMMYFUNCTION("""COMPUTED_VALUE"""),0.2857142857142857)</f>
        <v>0.2857142857</v>
      </c>
      <c r="O129" s="9"/>
      <c r="P129" s="9"/>
      <c r="Q129" s="12">
        <f>IFERROR(__xludf.DUMMYFUNCTION("""COMPUTED_VALUE"""),2.0)</f>
        <v>2</v>
      </c>
      <c r="R129" s="9"/>
      <c r="S129" s="9"/>
      <c r="T129" s="9"/>
      <c r="U129" s="36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2">
        <f>IFERROR(__xludf.DUMMYFUNCTION("""COMPUTED_VALUE"""),12.0)</f>
        <v>12</v>
      </c>
      <c r="D130" s="9"/>
      <c r="E130" s="9"/>
      <c r="F130" s="9"/>
      <c r="G130" s="13">
        <f>IFERROR(__xludf.DUMMYFUNCTION("""COMPUTED_VALUE"""),0.6666666666666666)</f>
        <v>0.6666666667</v>
      </c>
      <c r="H130" s="9"/>
      <c r="I130" s="9"/>
      <c r="J130" s="12">
        <f>IFERROR(__xludf.DUMMYFUNCTION("""COMPUTED_VALUE"""),8.0)</f>
        <v>8</v>
      </c>
      <c r="K130" s="9"/>
      <c r="L130" s="9"/>
      <c r="M130" s="9"/>
      <c r="N130" s="13">
        <f>IFERROR(__xludf.DUMMYFUNCTION("""COMPUTED_VALUE"""),0.25)</f>
        <v>0.25</v>
      </c>
      <c r="O130" s="9"/>
      <c r="P130" s="9"/>
      <c r="Q130" s="12">
        <f>IFERROR(__xludf.DUMMYFUNCTION("""COMPUTED_VALUE"""),2.0)</f>
        <v>2</v>
      </c>
      <c r="R130" s="9"/>
      <c r="S130" s="9"/>
      <c r="T130" s="9"/>
      <c r="U130" s="36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2">
        <f>IFERROR(__xludf.DUMMYFUNCTION("""COMPUTED_VALUE"""),12.0)</f>
        <v>12</v>
      </c>
      <c r="D131" s="9"/>
      <c r="E131" s="9"/>
      <c r="F131" s="9"/>
      <c r="G131" s="13">
        <f>IFERROR(__xludf.DUMMYFUNCTION("""COMPUTED_VALUE"""),0.6666666666666666)</f>
        <v>0.6666666667</v>
      </c>
      <c r="H131" s="9"/>
      <c r="I131" s="9"/>
      <c r="J131" s="12">
        <f>IFERROR(__xludf.DUMMYFUNCTION("""COMPUTED_VALUE"""),8.0)</f>
        <v>8</v>
      </c>
      <c r="K131" s="9"/>
      <c r="L131" s="9"/>
      <c r="M131" s="9"/>
      <c r="N131" s="13">
        <f>IFERROR(__xludf.DUMMYFUNCTION("""COMPUTED_VALUE"""),0.25)</f>
        <v>0.25</v>
      </c>
      <c r="O131" s="9"/>
      <c r="P131" s="9"/>
      <c r="Q131" s="12">
        <f>IFERROR(__xludf.DUMMYFUNCTION("""COMPUTED_VALUE"""),2.0)</f>
        <v>2</v>
      </c>
      <c r="R131" s="9"/>
      <c r="S131" s="9"/>
      <c r="T131" s="9"/>
      <c r="U131" s="36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2">
        <f>IFERROR(__xludf.DUMMYFUNCTION("""COMPUTED_VALUE"""),8.0)</f>
        <v>8</v>
      </c>
      <c r="D132" s="9"/>
      <c r="E132" s="9"/>
      <c r="F132" s="9"/>
      <c r="G132" s="13">
        <f>IFERROR(__xludf.DUMMYFUNCTION("""COMPUTED_VALUE"""),1.125)</f>
        <v>1.125</v>
      </c>
      <c r="H132" s="9"/>
      <c r="I132" s="9"/>
      <c r="J132" s="12">
        <f>IFERROR(__xludf.DUMMYFUNCTION("""COMPUTED_VALUE"""),9.0)</f>
        <v>9</v>
      </c>
      <c r="K132" s="9"/>
      <c r="L132" s="9"/>
      <c r="M132" s="9"/>
      <c r="N132" s="13">
        <f>IFERROR(__xludf.DUMMYFUNCTION("""COMPUTED_VALUE"""),0.2222222222222222)</f>
        <v>0.2222222222</v>
      </c>
      <c r="O132" s="9"/>
      <c r="P132" s="9"/>
      <c r="Q132" s="12">
        <f>IFERROR(__xludf.DUMMYFUNCTION("""COMPUTED_VALUE"""),2.0)</f>
        <v>2</v>
      </c>
      <c r="R132" s="9"/>
      <c r="S132" s="9"/>
      <c r="T132" s="9"/>
      <c r="U132" s="36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2">
        <f>IFERROR(__xludf.DUMMYFUNCTION("""COMPUTED_VALUE"""),14.0)</f>
        <v>14</v>
      </c>
      <c r="D133" s="9"/>
      <c r="E133" s="9"/>
      <c r="F133" s="9"/>
      <c r="G133" s="13">
        <f>IFERROR(__xludf.DUMMYFUNCTION("""COMPUTED_VALUE"""),0.7857142857142857)</f>
        <v>0.7857142857</v>
      </c>
      <c r="H133" s="9"/>
      <c r="I133" s="9"/>
      <c r="J133" s="12">
        <f>IFERROR(__xludf.DUMMYFUNCTION("""COMPUTED_VALUE"""),11.0)</f>
        <v>11</v>
      </c>
      <c r="K133" s="9"/>
      <c r="L133" s="9"/>
      <c r="M133" s="9"/>
      <c r="N133" s="13">
        <f>IFERROR(__xludf.DUMMYFUNCTION("""COMPUTED_VALUE"""),0.09090909090909091)</f>
        <v>0.09090909091</v>
      </c>
      <c r="O133" s="9"/>
      <c r="P133" s="9"/>
      <c r="Q133" s="12">
        <f>IFERROR(__xludf.DUMMYFUNCTION("""COMPUTED_VALUE"""),1.0)</f>
        <v>1</v>
      </c>
      <c r="R133" s="9"/>
      <c r="S133" s="9"/>
      <c r="T133" s="9"/>
      <c r="U133" s="36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2">
        <f>IFERROR(__xludf.DUMMYFUNCTION("""COMPUTED_VALUE"""),1.0)</f>
        <v>1</v>
      </c>
      <c r="D134" s="9"/>
      <c r="E134" s="9"/>
      <c r="F134" s="9"/>
      <c r="G134" s="13">
        <f>IFERROR(__xludf.DUMMYFUNCTION("""COMPUTED_VALUE"""),1.0)</f>
        <v>1</v>
      </c>
      <c r="H134" s="9"/>
      <c r="I134" s="9"/>
      <c r="J134" s="12">
        <f>IFERROR(__xludf.DUMMYFUNCTION("""COMPUTED_VALUE"""),1.0)</f>
        <v>1</v>
      </c>
      <c r="K134" s="9"/>
      <c r="L134" s="9"/>
      <c r="M134" s="9"/>
      <c r="N134" s="13">
        <f>IFERROR(__xludf.DUMMYFUNCTION("""COMPUTED_VALUE"""),0.0)</f>
        <v>0</v>
      </c>
      <c r="O134" s="9"/>
      <c r="P134" s="9"/>
      <c r="Q134" s="12">
        <f>IFERROR(__xludf.DUMMYFUNCTION("""COMPUTED_VALUE"""),0.0)</f>
        <v>0</v>
      </c>
      <c r="R134" s="9"/>
      <c r="S134" s="9"/>
      <c r="T134" s="9"/>
      <c r="U134" s="36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2">
        <f>IFERROR(__xludf.DUMMYFUNCTION("""COMPUTED_VALUE"""),2.0)</f>
        <v>2</v>
      </c>
      <c r="D135" s="9"/>
      <c r="E135" s="9"/>
      <c r="F135" s="9"/>
      <c r="G135" s="13">
        <f>IFERROR(__xludf.DUMMYFUNCTION("""COMPUTED_VALUE"""),0.5)</f>
        <v>0.5</v>
      </c>
      <c r="H135" s="9"/>
      <c r="I135" s="9"/>
      <c r="J135" s="12">
        <f>IFERROR(__xludf.DUMMYFUNCTION("""COMPUTED_VALUE"""),1.0)</f>
        <v>1</v>
      </c>
      <c r="K135" s="9"/>
      <c r="L135" s="9"/>
      <c r="M135" s="9"/>
      <c r="N135" s="13">
        <f>IFERROR(__xludf.DUMMYFUNCTION("""COMPUTED_VALUE"""),0.0)</f>
        <v>0</v>
      </c>
      <c r="O135" s="9"/>
      <c r="P135" s="9"/>
      <c r="Q135" s="12">
        <f>IFERROR(__xludf.DUMMYFUNCTION("""COMPUTED_VALUE"""),0.0)</f>
        <v>0</v>
      </c>
      <c r="R135" s="9"/>
      <c r="S135" s="9"/>
      <c r="T135" s="9"/>
      <c r="U135" s="36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2">
        <f>IFERROR(__xludf.DUMMYFUNCTION("""COMPUTED_VALUE"""),21.93548387096773)</f>
        <v>21.93548387</v>
      </c>
      <c r="C136" s="12">
        <f>IFERROR(__xludf.DUMMYFUNCTION("""COMPUTED_VALUE"""),22.0)</f>
        <v>22</v>
      </c>
      <c r="D136" s="12">
        <f>IFERROR(__xludf.DUMMYFUNCTION("""COMPUTED_VALUE"""),0.06451612903227044)</f>
        <v>0.06451612903</v>
      </c>
      <c r="E136" s="13">
        <f>IFERROR(__xludf.DUMMYFUNCTION("""COMPUTED_VALUE"""),0.002941176470588801)</f>
        <v>0.002941176471</v>
      </c>
      <c r="F136" s="13">
        <f>IFERROR(__xludf.DUMMYFUNCTION("""COMPUTED_VALUE"""),0.6460674157303372)</f>
        <v>0.6460674157</v>
      </c>
      <c r="G136" s="13">
        <f>IFERROR(__xludf.DUMMYFUNCTION("""COMPUTED_VALUE"""),0.5909090909090909)</f>
        <v>0.5909090909</v>
      </c>
      <c r="H136" s="35">
        <f>IFERROR(__xludf.DUMMYFUNCTION("""COMPUTED_VALUE"""),-5.515832482124628)</f>
        <v>-5.515832482</v>
      </c>
      <c r="I136" s="12">
        <f>IFERROR(__xludf.DUMMYFUNCTION("""COMPUTED_VALUE"""),14.171801377310615)</f>
        <v>14.17180138</v>
      </c>
      <c r="J136" s="12">
        <f>IFERROR(__xludf.DUMMYFUNCTION("""COMPUTED_VALUE"""),13.0)</f>
        <v>13</v>
      </c>
      <c r="K136" s="12">
        <f>IFERROR(__xludf.DUMMYFUNCTION("""COMPUTED_VALUE"""),-1.171801377310615)</f>
        <v>-1.171801377</v>
      </c>
      <c r="L136" s="13">
        <f>IFERROR(__xludf.DUMMYFUNCTION("""COMPUTED_VALUE"""),-0.0826854219948846)</f>
        <v>-0.08268542199</v>
      </c>
      <c r="M136" s="13">
        <f>IFERROR(__xludf.DUMMYFUNCTION("""COMPUTED_VALUE"""),0.2768117647058825)</f>
        <v>0.2768117647</v>
      </c>
      <c r="N136" s="13">
        <f>IFERROR(__xludf.DUMMYFUNCTION("""COMPUTED_VALUE"""),0.3076923076923077)</f>
        <v>0.3076923077</v>
      </c>
      <c r="O136" s="35">
        <f>IFERROR(__xludf.DUMMYFUNCTION("""COMPUTED_VALUE"""),3.088054298642523)</f>
        <v>3.088054299</v>
      </c>
      <c r="P136" s="12">
        <f>IFERROR(__xludf.DUMMYFUNCTION("""COMPUTED_VALUE"""),3.922921348314607)</f>
        <v>3.922921348</v>
      </c>
      <c r="Q136" s="12">
        <f>IFERROR(__xludf.DUMMYFUNCTION("""COMPUTED_VALUE"""),4.0)</f>
        <v>4</v>
      </c>
      <c r="R136" s="12">
        <f>IFERROR(__xludf.DUMMYFUNCTION("""COMPUTED_VALUE"""),0.07707865168539296)</f>
        <v>0.07707865169</v>
      </c>
      <c r="S136" s="13">
        <f>IFERROR(__xludf.DUMMYFUNCTION("""COMPUTED_VALUE"""),0.0196482786274846)</f>
        <v>0.01964827863</v>
      </c>
      <c r="T136" s="12">
        <f>IFERROR(__xludf.DUMMYFUNCTION("""COMPUTED_VALUE"""),22023.54690240771)</f>
        <v>22023.5469</v>
      </c>
      <c r="U136" s="36">
        <f>IFERROR(__xludf.DUMMYFUNCTION("""COMPUTED_VALUE"""),1554.0400486890765)</f>
        <v>1554.040049</v>
      </c>
      <c r="V136" s="36">
        <f>IFERROR(__xludf.DUMMYFUNCTION("""COMPUTED_VALUE"""),-1821.026269449715)</f>
        <v>-1821.026269</v>
      </c>
      <c r="W136" s="13">
        <f>IFERROR(__xludf.DUMMYFUNCTION("""COMPUTED_VALUE"""),-0.0826854219948846)</f>
        <v>-0.08268542199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2">
        <f>IFERROR(__xludf.DUMMYFUNCTION("""COMPUTED_VALUE"""),8.0)</f>
        <v>8</v>
      </c>
      <c r="D137" s="9"/>
      <c r="E137" s="9"/>
      <c r="F137" s="9"/>
      <c r="G137" s="13">
        <f>IFERROR(__xludf.DUMMYFUNCTION("""COMPUTED_VALUE"""),0.75)</f>
        <v>0.75</v>
      </c>
      <c r="H137" s="9"/>
      <c r="I137" s="9"/>
      <c r="J137" s="12">
        <f>IFERROR(__xludf.DUMMYFUNCTION("""COMPUTED_VALUE"""),6.0)</f>
        <v>6</v>
      </c>
      <c r="K137" s="9"/>
      <c r="L137" s="9"/>
      <c r="M137" s="9"/>
      <c r="N137" s="13">
        <f>IFERROR(__xludf.DUMMYFUNCTION("""COMPUTED_VALUE"""),0.8333333333333334)</f>
        <v>0.8333333333</v>
      </c>
      <c r="O137" s="9"/>
      <c r="P137" s="9"/>
      <c r="Q137" s="12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2">
        <f>IFERROR(__xludf.DUMMYFUNCTION("""COMPUTED_VALUE"""),7.0)</f>
        <v>7</v>
      </c>
      <c r="D138" s="9"/>
      <c r="E138" s="9"/>
      <c r="F138" s="9"/>
      <c r="G138" s="13">
        <f>IFERROR(__xludf.DUMMYFUNCTION("""COMPUTED_VALUE"""),1.0)</f>
        <v>1</v>
      </c>
      <c r="H138" s="9"/>
      <c r="I138" s="9"/>
      <c r="J138" s="12">
        <f>IFERROR(__xludf.DUMMYFUNCTION("""COMPUTED_VALUE"""),7.0)</f>
        <v>7</v>
      </c>
      <c r="K138" s="9"/>
      <c r="L138" s="9"/>
      <c r="M138" s="9"/>
      <c r="N138" s="13">
        <f>IFERROR(__xludf.DUMMYFUNCTION("""COMPUTED_VALUE"""),0.2857142857142857)</f>
        <v>0.2857142857</v>
      </c>
      <c r="O138" s="9"/>
      <c r="P138" s="9"/>
      <c r="Q138" s="12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2">
        <f>IFERROR(__xludf.DUMMYFUNCTION("""COMPUTED_VALUE"""),2.0)</f>
        <v>2</v>
      </c>
      <c r="D139" s="9"/>
      <c r="E139" s="9"/>
      <c r="F139" s="9"/>
      <c r="G139" s="13">
        <f>IFERROR(__xludf.DUMMYFUNCTION("""COMPUTED_VALUE"""),0.5)</f>
        <v>0.5</v>
      </c>
      <c r="H139" s="9"/>
      <c r="I139" s="9"/>
      <c r="J139" s="12">
        <f>IFERROR(__xludf.DUMMYFUNCTION("""COMPUTED_VALUE"""),1.0)</f>
        <v>1</v>
      </c>
      <c r="K139" s="9"/>
      <c r="L139" s="9"/>
      <c r="M139" s="9"/>
      <c r="N139" s="13">
        <f>IFERROR(__xludf.DUMMYFUNCTION("""COMPUTED_VALUE"""),1.0)</f>
        <v>1</v>
      </c>
      <c r="O139" s="9"/>
      <c r="P139" s="9"/>
      <c r="Q139" s="12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2">
        <f>IFERROR(__xludf.DUMMYFUNCTION("""COMPUTED_VALUE"""),4.0)</f>
        <v>4</v>
      </c>
      <c r="D140" s="9"/>
      <c r="E140" s="9"/>
      <c r="F140" s="9"/>
      <c r="G140" s="13">
        <f>IFERROR(__xludf.DUMMYFUNCTION("""COMPUTED_VALUE"""),0.5)</f>
        <v>0.5</v>
      </c>
      <c r="H140" s="9"/>
      <c r="I140" s="9"/>
      <c r="J140" s="12">
        <f>IFERROR(__xludf.DUMMYFUNCTION("""COMPUTED_VALUE"""),2.0)</f>
        <v>2</v>
      </c>
      <c r="K140" s="9"/>
      <c r="L140" s="9"/>
      <c r="M140" s="9"/>
      <c r="N140" s="13">
        <f>IFERROR(__xludf.DUMMYFUNCTION("""COMPUTED_VALUE"""),0.5)</f>
        <v>0.5</v>
      </c>
      <c r="O140" s="9"/>
      <c r="P140" s="9"/>
      <c r="Q140" s="12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2">
        <f>IFERROR(__xludf.DUMMYFUNCTION("""COMPUTED_VALUE"""),8.0)</f>
        <v>8</v>
      </c>
      <c r="D141" s="9"/>
      <c r="E141" s="9"/>
      <c r="F141" s="9"/>
      <c r="G141" s="13">
        <f>IFERROR(__xludf.DUMMYFUNCTION("""COMPUTED_VALUE"""),0.5)</f>
        <v>0.5</v>
      </c>
      <c r="H141" s="9"/>
      <c r="I141" s="9"/>
      <c r="J141" s="12">
        <f>IFERROR(__xludf.DUMMYFUNCTION("""COMPUTED_VALUE"""),4.0)</f>
        <v>4</v>
      </c>
      <c r="K141" s="9"/>
      <c r="L141" s="9"/>
      <c r="M141" s="9"/>
      <c r="N141" s="13">
        <f>IFERROR(__xludf.DUMMYFUNCTION("""COMPUTED_VALUE"""),0.25)</f>
        <v>0.25</v>
      </c>
      <c r="O141" s="9"/>
      <c r="P141" s="9"/>
      <c r="Q141" s="12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2">
        <f>IFERROR(__xludf.DUMMYFUNCTION("""COMPUTED_VALUE"""),8.0)</f>
        <v>8</v>
      </c>
      <c r="D142" s="9"/>
      <c r="E142" s="9"/>
      <c r="F142" s="9"/>
      <c r="G142" s="13">
        <f>IFERROR(__xludf.DUMMYFUNCTION("""COMPUTED_VALUE"""),0.5)</f>
        <v>0.5</v>
      </c>
      <c r="H142" s="9"/>
      <c r="I142" s="9"/>
      <c r="J142" s="12">
        <f>IFERROR(__xludf.DUMMYFUNCTION("""COMPUTED_VALUE"""),4.0)</f>
        <v>4</v>
      </c>
      <c r="K142" s="9"/>
      <c r="L142" s="9"/>
      <c r="M142" s="9"/>
      <c r="N142" s="13">
        <f>IFERROR(__xludf.DUMMYFUNCTION("""COMPUTED_VALUE"""),0.25)</f>
        <v>0.25</v>
      </c>
      <c r="O142" s="9"/>
      <c r="P142" s="9"/>
      <c r="Q142" s="12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2">
        <f>IFERROR(__xludf.DUMMYFUNCTION("""COMPUTED_VALUE"""),8.0)</f>
        <v>8</v>
      </c>
      <c r="D143" s="9"/>
      <c r="E143" s="9"/>
      <c r="F143" s="9"/>
      <c r="G143" s="13">
        <f>IFERROR(__xludf.DUMMYFUNCTION("""COMPUTED_VALUE"""),0.5)</f>
        <v>0.5</v>
      </c>
      <c r="H143" s="9"/>
      <c r="I143" s="9"/>
      <c r="J143" s="12">
        <f>IFERROR(__xludf.DUMMYFUNCTION("""COMPUTED_VALUE"""),4.0)</f>
        <v>4</v>
      </c>
      <c r="K143" s="9"/>
      <c r="L143" s="9"/>
      <c r="M143" s="9"/>
      <c r="N143" s="13">
        <f>IFERROR(__xludf.DUMMYFUNCTION("""COMPUTED_VALUE"""),0.25)</f>
        <v>0.25</v>
      </c>
      <c r="O143" s="9"/>
      <c r="P143" s="9"/>
      <c r="Q143" s="12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2">
        <f>IFERROR(__xludf.DUMMYFUNCTION("""COMPUTED_VALUE"""),8.0)</f>
        <v>8</v>
      </c>
      <c r="D144" s="9"/>
      <c r="E144" s="9"/>
      <c r="F144" s="9"/>
      <c r="G144" s="13">
        <f>IFERROR(__xludf.DUMMYFUNCTION("""COMPUTED_VALUE"""),0.625)</f>
        <v>0.625</v>
      </c>
      <c r="H144" s="9"/>
      <c r="I144" s="9"/>
      <c r="J144" s="12">
        <f>IFERROR(__xludf.DUMMYFUNCTION("""COMPUTED_VALUE"""),5.0)</f>
        <v>5</v>
      </c>
      <c r="K144" s="9"/>
      <c r="L144" s="9"/>
      <c r="M144" s="9"/>
      <c r="N144" s="13">
        <f>IFERROR(__xludf.DUMMYFUNCTION("""COMPUTED_VALUE"""),0.2)</f>
        <v>0.2</v>
      </c>
      <c r="O144" s="9"/>
      <c r="P144" s="9"/>
      <c r="Q144" s="12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2">
        <f>IFERROR(__xludf.DUMMYFUNCTION("""COMPUTED_VALUE"""),7.0)</f>
        <v>7</v>
      </c>
      <c r="D145" s="9"/>
      <c r="E145" s="9"/>
      <c r="F145" s="9"/>
      <c r="G145" s="13">
        <f>IFERROR(__xludf.DUMMYFUNCTION("""COMPUTED_VALUE"""),0.7142857142857143)</f>
        <v>0.7142857143</v>
      </c>
      <c r="H145" s="9"/>
      <c r="I145" s="9"/>
      <c r="J145" s="12">
        <f>IFERROR(__xludf.DUMMYFUNCTION("""COMPUTED_VALUE"""),5.0)</f>
        <v>5</v>
      </c>
      <c r="K145" s="9"/>
      <c r="L145" s="9"/>
      <c r="M145" s="9"/>
      <c r="N145" s="13">
        <f>IFERROR(__xludf.DUMMYFUNCTION("""COMPUTED_VALUE"""),0.2)</f>
        <v>0.2</v>
      </c>
      <c r="O145" s="9"/>
      <c r="P145" s="9"/>
      <c r="Q145" s="12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2">
        <f>IFERROR(__xludf.DUMMYFUNCTION("""COMPUTED_VALUE"""),8.0)</f>
        <v>8</v>
      </c>
      <c r="D146" s="9"/>
      <c r="E146" s="9"/>
      <c r="F146" s="9"/>
      <c r="G146" s="13">
        <f>IFERROR(__xludf.DUMMYFUNCTION("""COMPUTED_VALUE"""),0.25)</f>
        <v>0.25</v>
      </c>
      <c r="H146" s="9"/>
      <c r="I146" s="9"/>
      <c r="J146" s="12">
        <f>IFERROR(__xludf.DUMMYFUNCTION("""COMPUTED_VALUE"""),2.0)</f>
        <v>2</v>
      </c>
      <c r="K146" s="9"/>
      <c r="L146" s="9"/>
      <c r="M146" s="9"/>
      <c r="N146" s="13">
        <f>IFERROR(__xludf.DUMMYFUNCTION("""COMPUTED_VALUE"""),0.0)</f>
        <v>0</v>
      </c>
      <c r="O146" s="9"/>
      <c r="P146" s="9"/>
      <c r="Q146" s="12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2">
        <f>IFERROR(__xludf.DUMMYFUNCTION("""COMPUTED_VALUE"""),750.0)</f>
        <v>750</v>
      </c>
      <c r="C233" s="34">
        <f>IFERROR(__xludf.DUMMYFUNCTION("""COMPUTED_VALUE"""),623.0)</f>
        <v>623</v>
      </c>
      <c r="D233" s="34">
        <f>IFERROR(__xludf.DUMMYFUNCTION("""COMPUTED_VALUE"""),168.0)</f>
        <v>168</v>
      </c>
      <c r="E233" s="34">
        <f>IFERROR(__xludf.DUMMYFUNCTION("""COMPUTED_VALUE"""),411.29032258064495)</f>
        <v>411.2903226</v>
      </c>
      <c r="F233" s="34">
        <f>IFERROR(__xludf.DUMMYFUNCTION("""COMPUTED_VALUE"""),341.6451612903224)</f>
        <v>341.6451613</v>
      </c>
      <c r="G233" s="34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2">
        <f>IFERROR(__xludf.DUMMYFUNCTION("""COMPUTED_VALUE"""),31.0)</f>
        <v>31</v>
      </c>
      <c r="C234" s="34">
        <f>IFERROR(__xludf.DUMMYFUNCTION("""COMPUTED_VALUE"""),31.0)</f>
        <v>31</v>
      </c>
      <c r="D234" s="34">
        <f>IFERROR(__xludf.DUMMYFUNCTION("""COMPUTED_VALUE"""),11.0)</f>
        <v>11</v>
      </c>
      <c r="E234" s="34">
        <f>IFERROR(__xludf.DUMMYFUNCTION("""COMPUTED_VALUE"""),16.999999999999993)</f>
        <v>17</v>
      </c>
      <c r="F234" s="34">
        <f>IFERROR(__xludf.DUMMYFUNCTION("""COMPUTED_VALUE"""),16.999999999999993)</f>
        <v>17</v>
      </c>
      <c r="G234" s="34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2">
        <f>IFERROR(__xludf.DUMMYFUNCTION("""COMPUTED_VALUE"""),1975.0)</f>
        <v>1975</v>
      </c>
      <c r="C235" s="34">
        <f>IFERROR(__xludf.DUMMYFUNCTION("""COMPUTED_VALUE"""),1514.0)</f>
        <v>1514</v>
      </c>
      <c r="D235" s="34">
        <f>IFERROR(__xludf.DUMMYFUNCTION("""COMPUTED_VALUE"""),529.0)</f>
        <v>529</v>
      </c>
      <c r="E235" s="34">
        <f>IFERROR(__xludf.DUMMYFUNCTION("""COMPUTED_VALUE"""),1083.0645161290317)</f>
        <v>1083.064516</v>
      </c>
      <c r="F235" s="34">
        <f>IFERROR(__xludf.DUMMYFUNCTION("""COMPUTED_VALUE"""),830.2580645161287)</f>
        <v>830.2580645</v>
      </c>
      <c r="G235" s="34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2">
        <f>IFERROR(__xludf.DUMMYFUNCTION("""COMPUTED_VALUE"""),1237.0)</f>
        <v>1237</v>
      </c>
      <c r="C236" s="34">
        <f>IFERROR(__xludf.DUMMYFUNCTION("""COMPUTED_VALUE"""),970.0)</f>
        <v>970</v>
      </c>
      <c r="D236" s="34">
        <f>IFERROR(__xludf.DUMMYFUNCTION("""COMPUTED_VALUE"""),344.0)</f>
        <v>344</v>
      </c>
      <c r="E236" s="34">
        <f>IFERROR(__xludf.DUMMYFUNCTION("""COMPUTED_VALUE"""),678.3548387096771)</f>
        <v>678.3548387</v>
      </c>
      <c r="F236" s="34">
        <f>IFERROR(__xludf.DUMMYFUNCTION("""COMPUTED_VALUE"""),531.9354838709675)</f>
        <v>531.9354839</v>
      </c>
      <c r="G236" s="34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2">
        <f>IFERROR(__xludf.DUMMYFUNCTION("""COMPUTED_VALUE"""),362.0)</f>
        <v>362</v>
      </c>
      <c r="C237" s="34">
        <f>IFERROR(__xludf.DUMMYFUNCTION("""COMPUTED_VALUE"""),276.0)</f>
        <v>276</v>
      </c>
      <c r="D237" s="34">
        <f>IFERROR(__xludf.DUMMYFUNCTION("""COMPUTED_VALUE"""),85.0)</f>
        <v>85</v>
      </c>
      <c r="E237" s="34">
        <f>IFERROR(__xludf.DUMMYFUNCTION("""COMPUTED_VALUE"""),198.51612903225796)</f>
        <v>198.516129</v>
      </c>
      <c r="F237" s="34">
        <f>IFERROR(__xludf.DUMMYFUNCTION("""COMPUTED_VALUE"""),151.35483870967735)</f>
        <v>151.3548387</v>
      </c>
      <c r="G237" s="34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2">
        <f>IFERROR(__xludf.DUMMYFUNCTION("""COMPUTED_VALUE"""),280.0)</f>
        <v>280</v>
      </c>
      <c r="C238" s="34">
        <f>IFERROR(__xludf.DUMMYFUNCTION("""COMPUTED_VALUE"""),205.0)</f>
        <v>205</v>
      </c>
      <c r="D238" s="34">
        <f>IFERROR(__xludf.DUMMYFUNCTION("""COMPUTED_VALUE"""),80.0)</f>
        <v>80</v>
      </c>
      <c r="E238" s="34">
        <f>IFERROR(__xludf.DUMMYFUNCTION("""COMPUTED_VALUE"""),153.54838709677412)</f>
        <v>153.5483871</v>
      </c>
      <c r="F238" s="34">
        <f>IFERROR(__xludf.DUMMYFUNCTION("""COMPUTED_VALUE"""),112.41935483870962)</f>
        <v>112.4193548</v>
      </c>
      <c r="G238" s="34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2">
        <f>IFERROR(__xludf.DUMMYFUNCTION("""COMPUTED_VALUE"""),96.0)</f>
        <v>96</v>
      </c>
      <c r="C239" s="34">
        <f>IFERROR(__xludf.DUMMYFUNCTION("""COMPUTED_VALUE"""),63.0)</f>
        <v>63</v>
      </c>
      <c r="D239" s="34">
        <f>IFERROR(__xludf.DUMMYFUNCTION("""COMPUTED_VALUE"""),20.0)</f>
        <v>20</v>
      </c>
      <c r="E239" s="34">
        <f>IFERROR(__xludf.DUMMYFUNCTION("""COMPUTED_VALUE"""),52.645161290322555)</f>
        <v>52.64516129</v>
      </c>
      <c r="F239" s="34">
        <f>IFERROR(__xludf.DUMMYFUNCTION("""COMPUTED_VALUE"""),34.54838709677418)</f>
        <v>34.5483871</v>
      </c>
      <c r="G239" s="34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2">
        <f>IFERROR(__xludf.DUMMYFUNCTION("""COMPUTED_VALUE"""),2456.0)</f>
        <v>2456</v>
      </c>
      <c r="C240" s="34">
        <f>IFERROR(__xludf.DUMMYFUNCTION("""COMPUTED_VALUE"""),1647.0)</f>
        <v>1647</v>
      </c>
      <c r="D240" s="34">
        <f>IFERROR(__xludf.DUMMYFUNCTION("""COMPUTED_VALUE"""),564.0)</f>
        <v>564</v>
      </c>
      <c r="E240" s="34">
        <f>IFERROR(__xludf.DUMMYFUNCTION("""COMPUTED_VALUE"""),1346.8387096774186)</f>
        <v>1346.83871</v>
      </c>
      <c r="F240" s="34">
        <f>IFERROR(__xludf.DUMMYFUNCTION("""COMPUTED_VALUE"""),903.1935483870964)</f>
        <v>903.1935484</v>
      </c>
      <c r="G240" s="34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2">
        <f>IFERROR(__xludf.DUMMYFUNCTION("""COMPUTED_VALUE"""),371.0)</f>
        <v>371</v>
      </c>
      <c r="C241" s="34">
        <f>IFERROR(__xludf.DUMMYFUNCTION("""COMPUTED_VALUE"""),299.0)</f>
        <v>299</v>
      </c>
      <c r="D241" s="34">
        <f>IFERROR(__xludf.DUMMYFUNCTION("""COMPUTED_VALUE"""),102.0)</f>
        <v>102</v>
      </c>
      <c r="E241" s="34">
        <f>IFERROR(__xludf.DUMMYFUNCTION("""COMPUTED_VALUE"""),203.4516129032257)</f>
        <v>203.4516129</v>
      </c>
      <c r="F241" s="34">
        <f>IFERROR(__xludf.DUMMYFUNCTION("""COMPUTED_VALUE"""),163.9677419354838)</f>
        <v>163.9677419</v>
      </c>
      <c r="G241" s="34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2">
        <f>IFERROR(__xludf.DUMMYFUNCTION("""COMPUTED_VALUE"""),360.0)</f>
        <v>360</v>
      </c>
      <c r="C242" s="34">
        <f>IFERROR(__xludf.DUMMYFUNCTION("""COMPUTED_VALUE"""),254.0)</f>
        <v>254</v>
      </c>
      <c r="D242" s="34">
        <f>IFERROR(__xludf.DUMMYFUNCTION("""COMPUTED_VALUE"""),58.0)</f>
        <v>58</v>
      </c>
      <c r="E242" s="34">
        <f>IFERROR(__xludf.DUMMYFUNCTION("""COMPUTED_VALUE"""),197.41935483870958)</f>
        <v>197.4193548</v>
      </c>
      <c r="F242" s="34">
        <f>IFERROR(__xludf.DUMMYFUNCTION("""COMPUTED_VALUE"""),139.2903225806451)</f>
        <v>139.2903226</v>
      </c>
      <c r="G242" s="34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2">
        <f>IFERROR(__xludf.DUMMYFUNCTION("""COMPUTED_VALUE"""),221.0)</f>
        <v>221</v>
      </c>
      <c r="C243" s="34">
        <f>IFERROR(__xludf.DUMMYFUNCTION("""COMPUTED_VALUE"""),118.0)</f>
        <v>118</v>
      </c>
      <c r="D243" s="34">
        <f>IFERROR(__xludf.DUMMYFUNCTION("""COMPUTED_VALUE"""),36.0)</f>
        <v>36</v>
      </c>
      <c r="E243" s="34">
        <f>IFERROR(__xludf.DUMMYFUNCTION("""COMPUTED_VALUE"""),121.19354838709671)</f>
        <v>121.1935484</v>
      </c>
      <c r="F243" s="34">
        <f>IFERROR(__xludf.DUMMYFUNCTION("""COMPUTED_VALUE"""),64.7096774193548)</f>
        <v>64.70967742</v>
      </c>
      <c r="G243" s="34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2">
        <f>IFERROR(__xludf.DUMMYFUNCTION("""COMPUTED_VALUE"""),1440.0)</f>
        <v>1440</v>
      </c>
      <c r="C244" s="34">
        <f>IFERROR(__xludf.DUMMYFUNCTION("""COMPUTED_VALUE"""),934.0)</f>
        <v>934</v>
      </c>
      <c r="D244" s="34">
        <f>IFERROR(__xludf.DUMMYFUNCTION("""COMPUTED_VALUE"""),355.0)</f>
        <v>355</v>
      </c>
      <c r="E244" s="34">
        <f>IFERROR(__xludf.DUMMYFUNCTION("""COMPUTED_VALUE"""),789.6774193548383)</f>
        <v>789.6774194</v>
      </c>
      <c r="F244" s="34">
        <f>IFERROR(__xludf.DUMMYFUNCTION("""COMPUTED_VALUE"""),512.1935483870965)</f>
        <v>512.1935484</v>
      </c>
      <c r="G244" s="34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2">
        <f>IFERROR(__xludf.DUMMYFUNCTION("""COMPUTED_VALUE"""),64.0)</f>
        <v>64</v>
      </c>
      <c r="C245" s="34">
        <f>IFERROR(__xludf.DUMMYFUNCTION("""COMPUTED_VALUE"""),42.0)</f>
        <v>42</v>
      </c>
      <c r="D245" s="34">
        <f>IFERROR(__xludf.DUMMYFUNCTION("""COMPUTED_VALUE"""),13.0)</f>
        <v>13</v>
      </c>
      <c r="E245" s="34">
        <f>IFERROR(__xludf.DUMMYFUNCTION("""COMPUTED_VALUE"""),35.09677419354837)</f>
        <v>35.09677419</v>
      </c>
      <c r="F245" s="34">
        <f>IFERROR(__xludf.DUMMYFUNCTION("""COMPUTED_VALUE"""),23.032258064516117)</f>
        <v>23.03225806</v>
      </c>
      <c r="G245" s="34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132</v>
      </c>
      <c r="B1" s="4" t="s">
        <v>133</v>
      </c>
      <c r="C1" s="4" t="s">
        <v>134</v>
      </c>
    </row>
    <row r="2">
      <c r="A2" s="4" t="s">
        <v>135</v>
      </c>
      <c r="B2" s="4" t="s">
        <v>136</v>
      </c>
      <c r="C2" s="8">
        <v>88.0</v>
      </c>
    </row>
    <row r="3">
      <c r="A3" s="4"/>
      <c r="B3" s="4" t="s">
        <v>137</v>
      </c>
      <c r="C3" s="8">
        <v>26.0</v>
      </c>
    </row>
    <row r="4">
      <c r="A4" s="4" t="s">
        <v>138</v>
      </c>
      <c r="B4" s="4" t="s">
        <v>136</v>
      </c>
      <c r="C4" s="8">
        <v>147.0</v>
      </c>
    </row>
    <row r="5">
      <c r="A5" s="4"/>
      <c r="B5" s="4" t="s">
        <v>137</v>
      </c>
      <c r="C5" s="8">
        <v>80.0</v>
      </c>
    </row>
    <row r="6">
      <c r="A6" s="4" t="s">
        <v>139</v>
      </c>
      <c r="B6" s="4" t="s">
        <v>136</v>
      </c>
      <c r="C6" s="8">
        <v>9.0</v>
      </c>
    </row>
    <row r="7">
      <c r="A7" s="4"/>
      <c r="B7" s="4" t="s">
        <v>137</v>
      </c>
      <c r="C7" s="8">
        <v>1.0</v>
      </c>
    </row>
    <row r="8">
      <c r="A8" s="4" t="s">
        <v>140</v>
      </c>
      <c r="B8" s="4" t="s">
        <v>136</v>
      </c>
      <c r="C8" s="8">
        <v>47.0</v>
      </c>
    </row>
    <row r="9">
      <c r="A9" s="4"/>
      <c r="B9" s="4" t="s">
        <v>137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141</v>
      </c>
    </row>
    <row r="2">
      <c r="A2" s="38" t="s">
        <v>142</v>
      </c>
      <c r="B2" s="38" t="s">
        <v>143</v>
      </c>
      <c r="C2" s="38" t="s">
        <v>144</v>
      </c>
      <c r="D2" s="38" t="s">
        <v>145</v>
      </c>
    </row>
    <row r="3">
      <c r="A3" s="39" t="s">
        <v>146</v>
      </c>
      <c r="B3" s="39"/>
      <c r="C3" s="39"/>
      <c r="D3" s="39"/>
    </row>
    <row r="4">
      <c r="A4" s="39" t="s">
        <v>147</v>
      </c>
      <c r="B4" s="39" t="s">
        <v>148</v>
      </c>
      <c r="C4" s="39" t="s">
        <v>149</v>
      </c>
      <c r="D4" s="39" t="s">
        <v>150</v>
      </c>
    </row>
    <row r="5">
      <c r="A5" s="39" t="s">
        <v>151</v>
      </c>
      <c r="B5" s="39" t="s">
        <v>148</v>
      </c>
      <c r="C5" s="39" t="s">
        <v>152</v>
      </c>
      <c r="D5" s="39" t="s">
        <v>150</v>
      </c>
    </row>
    <row r="6">
      <c r="A6" s="39" t="s">
        <v>153</v>
      </c>
      <c r="B6" s="39" t="s">
        <v>148</v>
      </c>
      <c r="C6" s="39" t="s">
        <v>154</v>
      </c>
      <c r="D6" s="39" t="s">
        <v>150</v>
      </c>
    </row>
    <row r="7">
      <c r="A7" s="39" t="s">
        <v>155</v>
      </c>
      <c r="B7" s="39" t="s">
        <v>148</v>
      </c>
      <c r="C7" s="39" t="s">
        <v>156</v>
      </c>
      <c r="D7" s="39" t="s">
        <v>150</v>
      </c>
    </row>
    <row r="8">
      <c r="A8" s="39" t="s">
        <v>157</v>
      </c>
      <c r="B8" s="39" t="s">
        <v>148</v>
      </c>
      <c r="C8" s="39" t="s">
        <v>158</v>
      </c>
      <c r="D8" s="39" t="s">
        <v>150</v>
      </c>
    </row>
    <row r="9">
      <c r="A9" s="39" t="s">
        <v>159</v>
      </c>
      <c r="B9" s="39" t="s">
        <v>148</v>
      </c>
      <c r="C9" s="39" t="s">
        <v>160</v>
      </c>
      <c r="D9" s="39" t="s">
        <v>150</v>
      </c>
    </row>
    <row r="10">
      <c r="A10" s="39" t="s">
        <v>161</v>
      </c>
      <c r="B10" s="39" t="s">
        <v>148</v>
      </c>
      <c r="C10" s="39" t="s">
        <v>162</v>
      </c>
      <c r="D10" s="39" t="s">
        <v>150</v>
      </c>
    </row>
    <row r="11">
      <c r="A11" s="39" t="s">
        <v>163</v>
      </c>
      <c r="B11" s="39" t="s">
        <v>148</v>
      </c>
      <c r="C11" s="39" t="s">
        <v>164</v>
      </c>
      <c r="D11" s="39" t="s">
        <v>150</v>
      </c>
    </row>
    <row r="12">
      <c r="A12" s="39" t="s">
        <v>165</v>
      </c>
      <c r="B12" s="39" t="s">
        <v>148</v>
      </c>
      <c r="C12" s="39" t="s">
        <v>166</v>
      </c>
      <c r="D12" s="39" t="s">
        <v>150</v>
      </c>
    </row>
    <row r="13">
      <c r="A13" s="39" t="s">
        <v>167</v>
      </c>
      <c r="B13" s="39" t="s">
        <v>148</v>
      </c>
      <c r="C13" s="39" t="s">
        <v>168</v>
      </c>
      <c r="D13" s="39" t="s">
        <v>150</v>
      </c>
    </row>
    <row r="14">
      <c r="A14" s="39" t="s">
        <v>169</v>
      </c>
      <c r="B14" s="39" t="s">
        <v>148</v>
      </c>
      <c r="C14" s="39" t="s">
        <v>170</v>
      </c>
      <c r="D14" s="39" t="s">
        <v>150</v>
      </c>
    </row>
    <row r="15">
      <c r="A15" s="39" t="s">
        <v>171</v>
      </c>
      <c r="B15" s="39" t="s">
        <v>148</v>
      </c>
      <c r="C15" s="39" t="s">
        <v>172</v>
      </c>
      <c r="D15" s="39"/>
    </row>
    <row r="16">
      <c r="A16" s="39" t="s">
        <v>173</v>
      </c>
      <c r="B16" s="39" t="s">
        <v>148</v>
      </c>
      <c r="C16" s="39" t="s">
        <v>149</v>
      </c>
      <c r="D16" s="39" t="s">
        <v>174</v>
      </c>
    </row>
    <row r="17">
      <c r="A17" s="39" t="s">
        <v>175</v>
      </c>
      <c r="B17" s="39" t="s">
        <v>148</v>
      </c>
      <c r="C17" s="39" t="s">
        <v>152</v>
      </c>
      <c r="D17" s="39" t="s">
        <v>174</v>
      </c>
    </row>
    <row r="18">
      <c r="A18" s="39" t="s">
        <v>176</v>
      </c>
      <c r="B18" s="39" t="s">
        <v>148</v>
      </c>
      <c r="C18" s="39" t="s">
        <v>154</v>
      </c>
      <c r="D18" s="39" t="s">
        <v>174</v>
      </c>
    </row>
    <row r="19">
      <c r="A19" s="39" t="s">
        <v>177</v>
      </c>
      <c r="B19" s="39" t="s">
        <v>148</v>
      </c>
      <c r="C19" s="39" t="s">
        <v>156</v>
      </c>
      <c r="D19" s="39" t="s">
        <v>174</v>
      </c>
    </row>
    <row r="20">
      <c r="A20" s="39" t="s">
        <v>178</v>
      </c>
      <c r="B20" s="39" t="s">
        <v>148</v>
      </c>
      <c r="C20" s="39" t="s">
        <v>158</v>
      </c>
      <c r="D20" s="39" t="s">
        <v>174</v>
      </c>
    </row>
    <row r="21">
      <c r="A21" s="39" t="s">
        <v>179</v>
      </c>
      <c r="B21" s="39" t="s">
        <v>148</v>
      </c>
      <c r="C21" s="39" t="s">
        <v>160</v>
      </c>
      <c r="D21" s="39" t="s">
        <v>174</v>
      </c>
    </row>
    <row r="22">
      <c r="A22" s="39" t="s">
        <v>180</v>
      </c>
      <c r="B22" s="39" t="s">
        <v>148</v>
      </c>
      <c r="C22" s="39" t="s">
        <v>162</v>
      </c>
      <c r="D22" s="39" t="s">
        <v>174</v>
      </c>
    </row>
    <row r="23">
      <c r="A23" s="39" t="s">
        <v>181</v>
      </c>
      <c r="B23" s="39" t="s">
        <v>148</v>
      </c>
      <c r="C23" s="39" t="s">
        <v>164</v>
      </c>
      <c r="D23" s="39" t="s">
        <v>174</v>
      </c>
    </row>
    <row r="24">
      <c r="A24" s="39" t="s">
        <v>182</v>
      </c>
      <c r="B24" s="39" t="s">
        <v>148</v>
      </c>
      <c r="C24" s="39" t="s">
        <v>166</v>
      </c>
      <c r="D24" s="39" t="s">
        <v>174</v>
      </c>
    </row>
    <row r="25">
      <c r="A25" s="39" t="s">
        <v>183</v>
      </c>
      <c r="B25" s="39" t="s">
        <v>148</v>
      </c>
      <c r="C25" s="39" t="s">
        <v>168</v>
      </c>
      <c r="D25" s="39" t="s">
        <v>174</v>
      </c>
    </row>
    <row r="26">
      <c r="A26" s="39" t="s">
        <v>184</v>
      </c>
      <c r="B26" s="39" t="s">
        <v>148</v>
      </c>
      <c r="C26" s="39" t="s">
        <v>170</v>
      </c>
      <c r="D26" s="39" t="s">
        <v>174</v>
      </c>
    </row>
    <row r="27">
      <c r="A27" s="39" t="s">
        <v>185</v>
      </c>
      <c r="B27" s="39" t="s">
        <v>148</v>
      </c>
      <c r="C27" s="39" t="s">
        <v>149</v>
      </c>
      <c r="D27" s="39" t="s">
        <v>186</v>
      </c>
    </row>
    <row r="28">
      <c r="A28" s="39" t="s">
        <v>187</v>
      </c>
      <c r="B28" s="39" t="s">
        <v>148</v>
      </c>
      <c r="C28" s="39" t="s">
        <v>152</v>
      </c>
      <c r="D28" s="39" t="s">
        <v>186</v>
      </c>
    </row>
    <row r="29">
      <c r="A29" s="39" t="s">
        <v>188</v>
      </c>
      <c r="B29" s="39" t="s">
        <v>148</v>
      </c>
      <c r="C29" s="39" t="s">
        <v>154</v>
      </c>
      <c r="D29" s="39" t="s">
        <v>186</v>
      </c>
    </row>
    <row r="30">
      <c r="A30" s="39" t="s">
        <v>189</v>
      </c>
      <c r="B30" s="39" t="s">
        <v>148</v>
      </c>
      <c r="C30" s="39" t="s">
        <v>156</v>
      </c>
      <c r="D30" s="39" t="s">
        <v>186</v>
      </c>
    </row>
    <row r="31">
      <c r="A31" s="39" t="s">
        <v>190</v>
      </c>
      <c r="B31" s="39" t="s">
        <v>148</v>
      </c>
      <c r="C31" s="39" t="s">
        <v>158</v>
      </c>
      <c r="D31" s="39" t="s">
        <v>186</v>
      </c>
    </row>
    <row r="32">
      <c r="A32" s="39" t="s">
        <v>191</v>
      </c>
      <c r="B32" s="39" t="s">
        <v>148</v>
      </c>
      <c r="C32" s="39" t="s">
        <v>160</v>
      </c>
      <c r="D32" s="39" t="s">
        <v>186</v>
      </c>
    </row>
    <row r="33">
      <c r="A33" s="39" t="s">
        <v>192</v>
      </c>
      <c r="B33" s="39" t="s">
        <v>148</v>
      </c>
      <c r="C33" s="39" t="s">
        <v>162</v>
      </c>
      <c r="D33" s="39" t="s">
        <v>186</v>
      </c>
    </row>
    <row r="34">
      <c r="A34" s="39" t="s">
        <v>193</v>
      </c>
      <c r="B34" s="39" t="s">
        <v>148</v>
      </c>
      <c r="C34" s="39" t="s">
        <v>164</v>
      </c>
      <c r="D34" s="39" t="s">
        <v>186</v>
      </c>
    </row>
    <row r="35">
      <c r="A35" s="39" t="s">
        <v>194</v>
      </c>
      <c r="B35" s="39" t="s">
        <v>148</v>
      </c>
      <c r="C35" s="39" t="s">
        <v>166</v>
      </c>
      <c r="D35" s="39" t="s">
        <v>186</v>
      </c>
    </row>
    <row r="36">
      <c r="A36" s="39" t="s">
        <v>195</v>
      </c>
      <c r="B36" s="39" t="s">
        <v>148</v>
      </c>
      <c r="C36" s="39" t="s">
        <v>168</v>
      </c>
      <c r="D36" s="39" t="s">
        <v>186</v>
      </c>
    </row>
    <row r="37">
      <c r="A37" s="39" t="s">
        <v>196</v>
      </c>
      <c r="B37" s="39" t="s">
        <v>148</v>
      </c>
      <c r="C37" s="39" t="s">
        <v>170</v>
      </c>
      <c r="D37" s="39" t="s">
        <v>186</v>
      </c>
    </row>
    <row r="38">
      <c r="A38" s="39" t="s">
        <v>197</v>
      </c>
      <c r="B38" s="39"/>
      <c r="C38" s="39"/>
      <c r="D38" s="39"/>
    </row>
    <row r="39">
      <c r="A39" s="39" t="s">
        <v>198</v>
      </c>
      <c r="B39" s="39" t="s">
        <v>148</v>
      </c>
      <c r="C39" s="39" t="s">
        <v>199</v>
      </c>
      <c r="D39" s="39" t="s">
        <v>200</v>
      </c>
    </row>
    <row r="40">
      <c r="A40" s="39" t="s">
        <v>201</v>
      </c>
      <c r="B40" s="39" t="s">
        <v>148</v>
      </c>
      <c r="C40" s="39" t="s">
        <v>199</v>
      </c>
      <c r="D40" s="39" t="s">
        <v>202</v>
      </c>
    </row>
    <row r="41">
      <c r="A41" s="39" t="s">
        <v>203</v>
      </c>
      <c r="B41" s="39" t="s">
        <v>148</v>
      </c>
      <c r="C41" s="39" t="s">
        <v>199</v>
      </c>
      <c r="D41" s="39" t="s">
        <v>204</v>
      </c>
    </row>
    <row r="42">
      <c r="A42" s="39" t="s">
        <v>205</v>
      </c>
      <c r="B42" s="39" t="s">
        <v>148</v>
      </c>
      <c r="C42" s="39" t="s">
        <v>199</v>
      </c>
      <c r="D42" s="39" t="s">
        <v>206</v>
      </c>
    </row>
    <row r="43">
      <c r="A43" s="39" t="s">
        <v>207</v>
      </c>
      <c r="B43" s="39" t="s">
        <v>148</v>
      </c>
      <c r="C43" s="39" t="s">
        <v>199</v>
      </c>
      <c r="D43" s="39" t="s">
        <v>208</v>
      </c>
    </row>
    <row r="44">
      <c r="A44" s="39" t="s">
        <v>209</v>
      </c>
      <c r="B44" s="39" t="s">
        <v>148</v>
      </c>
      <c r="C44" s="39" t="s">
        <v>172</v>
      </c>
      <c r="D44" s="39" t="s">
        <v>210</v>
      </c>
    </row>
    <row r="45">
      <c r="A45" s="39" t="s">
        <v>211</v>
      </c>
      <c r="B45" s="39" t="s">
        <v>148</v>
      </c>
      <c r="C45" s="39" t="s">
        <v>199</v>
      </c>
      <c r="D45" s="39" t="s">
        <v>212</v>
      </c>
    </row>
    <row r="46">
      <c r="A46" s="39" t="s">
        <v>213</v>
      </c>
      <c r="B46" s="39" t="s">
        <v>148</v>
      </c>
      <c r="C46" s="39" t="s">
        <v>199</v>
      </c>
      <c r="D46" s="39" t="s">
        <v>214</v>
      </c>
    </row>
    <row r="47">
      <c r="A47" s="39" t="s">
        <v>215</v>
      </c>
      <c r="B47" s="39" t="s">
        <v>148</v>
      </c>
      <c r="C47" s="39" t="s">
        <v>199</v>
      </c>
      <c r="D47" s="39" t="s">
        <v>216</v>
      </c>
    </row>
    <row r="48">
      <c r="A48" s="39" t="s">
        <v>217</v>
      </c>
      <c r="B48" s="39" t="s">
        <v>148</v>
      </c>
      <c r="C48" s="39" t="s">
        <v>199</v>
      </c>
      <c r="D48" s="39" t="s">
        <v>218</v>
      </c>
    </row>
    <row r="49">
      <c r="A49" s="39" t="s">
        <v>219</v>
      </c>
      <c r="B49" s="39" t="s">
        <v>148</v>
      </c>
      <c r="C49" s="39" t="s">
        <v>199</v>
      </c>
      <c r="D49" s="39" t="s">
        <v>220</v>
      </c>
    </row>
    <row r="50">
      <c r="A50" s="39" t="s">
        <v>221</v>
      </c>
      <c r="B50" s="39" t="s">
        <v>148</v>
      </c>
      <c r="C50" s="39" t="s">
        <v>199</v>
      </c>
      <c r="D50" s="39" t="s">
        <v>222</v>
      </c>
    </row>
    <row r="51">
      <c r="A51" s="39" t="s">
        <v>223</v>
      </c>
      <c r="B51" s="39" t="s">
        <v>148</v>
      </c>
      <c r="C51" s="39" t="s">
        <v>199</v>
      </c>
      <c r="D51" s="39" t="s">
        <v>224</v>
      </c>
    </row>
    <row r="52">
      <c r="A52" s="39" t="s">
        <v>225</v>
      </c>
      <c r="B52" s="39" t="s">
        <v>148</v>
      </c>
      <c r="C52" s="39" t="s">
        <v>199</v>
      </c>
      <c r="D52" s="39" t="s">
        <v>226</v>
      </c>
    </row>
    <row r="53">
      <c r="A53" s="39" t="s">
        <v>227</v>
      </c>
      <c r="B53" s="39" t="s">
        <v>148</v>
      </c>
      <c r="C53" s="39" t="s">
        <v>199</v>
      </c>
      <c r="D53" s="39" t="s">
        <v>228</v>
      </c>
    </row>
    <row r="54">
      <c r="A54" s="39" t="s">
        <v>132</v>
      </c>
      <c r="B54" s="39" t="s">
        <v>148</v>
      </c>
      <c r="C54" s="39" t="s">
        <v>199</v>
      </c>
      <c r="D54" s="39" t="s">
        <v>229</v>
      </c>
    </row>
    <row r="55">
      <c r="A55" s="39" t="s">
        <v>230</v>
      </c>
      <c r="B55" s="39" t="s">
        <v>148</v>
      </c>
      <c r="C55" s="39" t="s">
        <v>199</v>
      </c>
      <c r="D55" s="39" t="s">
        <v>231</v>
      </c>
    </row>
    <row r="56">
      <c r="A56" s="39" t="s">
        <v>232</v>
      </c>
      <c r="B56" s="39" t="s">
        <v>148</v>
      </c>
      <c r="C56" s="39" t="s">
        <v>199</v>
      </c>
      <c r="D56" s="39" t="s">
        <v>233</v>
      </c>
    </row>
    <row r="57">
      <c r="A57" s="39" t="s">
        <v>234</v>
      </c>
      <c r="B57" s="39" t="s">
        <v>148</v>
      </c>
      <c r="C57" s="39" t="s">
        <v>199</v>
      </c>
      <c r="D57" s="39" t="s">
        <v>235</v>
      </c>
    </row>
    <row r="58">
      <c r="A58" s="39" t="s">
        <v>236</v>
      </c>
      <c r="B58" s="39" t="s">
        <v>148</v>
      </c>
      <c r="C58" s="39" t="s">
        <v>172</v>
      </c>
      <c r="D58" s="39" t="s">
        <v>237</v>
      </c>
    </row>
    <row r="59">
      <c r="A59" s="39" t="s">
        <v>238</v>
      </c>
      <c r="B59" s="39" t="s">
        <v>148</v>
      </c>
      <c r="C59" s="39" t="s">
        <v>199</v>
      </c>
      <c r="D59" s="39" t="s">
        <v>239</v>
      </c>
    </row>
    <row r="60">
      <c r="A60" s="39" t="s">
        <v>240</v>
      </c>
      <c r="B60" s="39" t="s">
        <v>148</v>
      </c>
      <c r="C60" s="39" t="s">
        <v>199</v>
      </c>
      <c r="D60" s="39" t="s">
        <v>241</v>
      </c>
    </row>
    <row r="61">
      <c r="A61" s="39" t="s">
        <v>242</v>
      </c>
      <c r="B61" s="39" t="s">
        <v>148</v>
      </c>
      <c r="C61" s="39" t="s">
        <v>199</v>
      </c>
      <c r="D61" s="39" t="s">
        <v>243</v>
      </c>
    </row>
    <row r="62">
      <c r="A62" s="39" t="s">
        <v>244</v>
      </c>
      <c r="B62" s="39" t="s">
        <v>148</v>
      </c>
      <c r="C62" s="39" t="s">
        <v>199</v>
      </c>
      <c r="D62" s="39" t="s">
        <v>245</v>
      </c>
    </row>
    <row r="63">
      <c r="A63" s="39" t="s">
        <v>246</v>
      </c>
      <c r="B63" s="39" t="s">
        <v>148</v>
      </c>
      <c r="C63" s="39" t="s">
        <v>199</v>
      </c>
      <c r="D63" s="39" t="s">
        <v>247</v>
      </c>
    </row>
    <row r="64">
      <c r="A64" s="39" t="s">
        <v>248</v>
      </c>
      <c r="B64" s="39" t="s">
        <v>148</v>
      </c>
      <c r="C64" s="39" t="s">
        <v>199</v>
      </c>
      <c r="D64" s="39" t="s">
        <v>249</v>
      </c>
    </row>
    <row r="65">
      <c r="A65" s="39" t="s">
        <v>250</v>
      </c>
      <c r="B65" s="39" t="s">
        <v>148</v>
      </c>
      <c r="C65" s="39" t="s">
        <v>251</v>
      </c>
      <c r="D65" s="39" t="s">
        <v>252</v>
      </c>
    </row>
    <row r="66">
      <c r="A66" s="39" t="s">
        <v>253</v>
      </c>
      <c r="B66" s="39" t="s">
        <v>148</v>
      </c>
      <c r="C66" s="39" t="s">
        <v>199</v>
      </c>
      <c r="D66" s="39" t="s">
        <v>254</v>
      </c>
    </row>
    <row r="67">
      <c r="A67" s="39" t="s">
        <v>255</v>
      </c>
      <c r="B67" s="39" t="s">
        <v>148</v>
      </c>
      <c r="C67" s="39" t="s">
        <v>199</v>
      </c>
      <c r="D67" s="39" t="s">
        <v>256</v>
      </c>
    </row>
    <row r="68">
      <c r="A68" s="39" t="s">
        <v>257</v>
      </c>
      <c r="B68" s="39" t="s">
        <v>148</v>
      </c>
      <c r="C68" s="39" t="s">
        <v>251</v>
      </c>
      <c r="D68" s="39"/>
    </row>
    <row r="69">
      <c r="A69" s="39" t="s">
        <v>258</v>
      </c>
      <c r="B69" s="39" t="s">
        <v>148</v>
      </c>
      <c r="C69" s="39" t="s">
        <v>172</v>
      </c>
      <c r="D69" s="39" t="s">
        <v>259</v>
      </c>
    </row>
    <row r="70">
      <c r="A70" s="39" t="s">
        <v>260</v>
      </c>
      <c r="B70" s="39" t="s">
        <v>148</v>
      </c>
      <c r="C70" s="39" t="s">
        <v>199</v>
      </c>
      <c r="D70" s="39" t="s">
        <v>261</v>
      </c>
    </row>
    <row r="71">
      <c r="A71" s="39" t="s">
        <v>262</v>
      </c>
      <c r="B71" s="39" t="s">
        <v>148</v>
      </c>
      <c r="C71" s="39" t="s">
        <v>199</v>
      </c>
      <c r="D71" s="39" t="s">
        <v>263</v>
      </c>
    </row>
    <row r="72">
      <c r="A72" s="39" t="s">
        <v>264</v>
      </c>
      <c r="B72" s="39" t="s">
        <v>148</v>
      </c>
      <c r="C72" s="39" t="s">
        <v>199</v>
      </c>
      <c r="D72" s="39" t="s">
        <v>265</v>
      </c>
    </row>
    <row r="73">
      <c r="A73" s="39" t="s">
        <v>266</v>
      </c>
      <c r="B73" s="39" t="s">
        <v>148</v>
      </c>
      <c r="C73" s="39" t="s">
        <v>199</v>
      </c>
      <c r="D73" s="39" t="s">
        <v>267</v>
      </c>
    </row>
    <row r="74">
      <c r="A74" s="39" t="s">
        <v>268</v>
      </c>
      <c r="B74" s="39" t="s">
        <v>148</v>
      </c>
      <c r="C74" s="39" t="s">
        <v>199</v>
      </c>
      <c r="D74" s="39" t="s">
        <v>259</v>
      </c>
    </row>
    <row r="75">
      <c r="A75" s="39" t="s">
        <v>269</v>
      </c>
      <c r="B75" s="39" t="s">
        <v>148</v>
      </c>
      <c r="C75" s="39" t="s">
        <v>199</v>
      </c>
      <c r="D75" s="39" t="s">
        <v>270</v>
      </c>
    </row>
    <row r="76">
      <c r="A76" s="39" t="s">
        <v>271</v>
      </c>
      <c r="B76" s="39" t="s">
        <v>148</v>
      </c>
      <c r="C76" s="39" t="s">
        <v>199</v>
      </c>
      <c r="D76" s="39" t="s">
        <v>272</v>
      </c>
    </row>
    <row r="77">
      <c r="A77" s="39" t="s">
        <v>273</v>
      </c>
      <c r="B77" s="39" t="s">
        <v>148</v>
      </c>
      <c r="C77" s="39" t="s">
        <v>199</v>
      </c>
      <c r="D77" s="39" t="s">
        <v>274</v>
      </c>
    </row>
    <row r="78">
      <c r="A78" s="39" t="s">
        <v>275</v>
      </c>
      <c r="B78" s="39" t="s">
        <v>148</v>
      </c>
      <c r="C78" s="39" t="s">
        <v>199</v>
      </c>
      <c r="D78" s="39" t="s">
        <v>276</v>
      </c>
    </row>
    <row r="79">
      <c r="A79" s="39" t="s">
        <v>277</v>
      </c>
      <c r="B79" s="39" t="s">
        <v>148</v>
      </c>
      <c r="C79" s="39" t="s">
        <v>199</v>
      </c>
      <c r="D79" s="39" t="s">
        <v>278</v>
      </c>
    </row>
    <row r="80">
      <c r="A80" s="39" t="s">
        <v>279</v>
      </c>
      <c r="B80" s="39"/>
      <c r="C80" s="39"/>
      <c r="D80" s="39"/>
    </row>
    <row r="81">
      <c r="A81" s="39" t="s">
        <v>280</v>
      </c>
      <c r="B81" s="39" t="s">
        <v>148</v>
      </c>
      <c r="C81" s="39" t="s">
        <v>172</v>
      </c>
      <c r="D81" s="39" t="s">
        <v>281</v>
      </c>
    </row>
    <row r="82">
      <c r="A82" s="39" t="s">
        <v>282</v>
      </c>
      <c r="B82" s="39" t="s">
        <v>148</v>
      </c>
      <c r="C82" s="39" t="s">
        <v>199</v>
      </c>
      <c r="D82" s="39" t="s">
        <v>283</v>
      </c>
    </row>
    <row r="83">
      <c r="A83" s="39" t="s">
        <v>284</v>
      </c>
      <c r="B83" s="39" t="s">
        <v>148</v>
      </c>
      <c r="C83" s="39" t="s">
        <v>199</v>
      </c>
      <c r="D83" s="39" t="s">
        <v>285</v>
      </c>
    </row>
    <row r="84">
      <c r="A84" s="39" t="s">
        <v>286</v>
      </c>
      <c r="B84" s="39" t="s">
        <v>148</v>
      </c>
      <c r="C84" s="39" t="s">
        <v>199</v>
      </c>
      <c r="D84" s="39" t="s">
        <v>287</v>
      </c>
    </row>
    <row r="85">
      <c r="A85" s="39" t="s">
        <v>288</v>
      </c>
      <c r="B85" s="39" t="s">
        <v>148</v>
      </c>
      <c r="C85" s="39" t="s">
        <v>199</v>
      </c>
      <c r="D85" s="39" t="s">
        <v>289</v>
      </c>
    </row>
    <row r="86">
      <c r="A86" s="39" t="s">
        <v>290</v>
      </c>
      <c r="B86" s="39" t="s">
        <v>148</v>
      </c>
      <c r="C86" s="39" t="s">
        <v>251</v>
      </c>
      <c r="D86" s="39" t="s">
        <v>291</v>
      </c>
    </row>
    <row r="87">
      <c r="A87" s="39" t="s">
        <v>292</v>
      </c>
      <c r="B87" s="39" t="s">
        <v>148</v>
      </c>
      <c r="C87" s="39" t="s">
        <v>199</v>
      </c>
      <c r="D87" s="39" t="s">
        <v>293</v>
      </c>
    </row>
    <row r="88">
      <c r="A88" s="39" t="s">
        <v>294</v>
      </c>
      <c r="B88" s="39"/>
      <c r="C88" s="39"/>
      <c r="D88" s="39"/>
    </row>
    <row r="89">
      <c r="A89" s="39" t="s">
        <v>295</v>
      </c>
      <c r="B89" s="39" t="s">
        <v>296</v>
      </c>
      <c r="C89" s="39"/>
      <c r="D89" s="39"/>
    </row>
    <row r="90">
      <c r="A90" s="39" t="s">
        <v>297</v>
      </c>
      <c r="B90" s="39" t="s">
        <v>296</v>
      </c>
      <c r="C90" s="39"/>
      <c r="D90" s="39"/>
    </row>
    <row r="91">
      <c r="A91" s="39" t="s">
        <v>298</v>
      </c>
      <c r="B91" s="39" t="s">
        <v>296</v>
      </c>
      <c r="C91" s="39"/>
      <c r="D91" s="39"/>
    </row>
    <row r="92">
      <c r="A92" s="39" t="s">
        <v>134</v>
      </c>
      <c r="B92" s="39" t="s">
        <v>296</v>
      </c>
      <c r="C92" s="39"/>
      <c r="D92" s="39"/>
    </row>
    <row r="93">
      <c r="A93" s="39" t="s">
        <v>299</v>
      </c>
      <c r="B93" s="39" t="s">
        <v>296</v>
      </c>
      <c r="C93" s="39"/>
      <c r="D93" s="39"/>
    </row>
    <row r="94">
      <c r="A94" s="39" t="s">
        <v>300</v>
      </c>
      <c r="B94" s="39" t="s">
        <v>296</v>
      </c>
      <c r="C94" s="39"/>
      <c r="D94" s="39"/>
    </row>
    <row r="95">
      <c r="A95" s="39" t="s">
        <v>301</v>
      </c>
      <c r="B95" s="39" t="s">
        <v>296</v>
      </c>
      <c r="C95" s="39"/>
      <c r="D95" s="39"/>
    </row>
    <row r="96">
      <c r="A96" s="39" t="s">
        <v>302</v>
      </c>
      <c r="B96" s="39" t="s">
        <v>296</v>
      </c>
      <c r="C96" s="39"/>
      <c r="D96" s="39"/>
    </row>
    <row r="97">
      <c r="A97" s="39" t="s">
        <v>303</v>
      </c>
      <c r="B97" s="39" t="s">
        <v>296</v>
      </c>
      <c r="C97" s="39"/>
      <c r="D97" s="39"/>
    </row>
    <row r="98">
      <c r="A98" s="39" t="s">
        <v>304</v>
      </c>
      <c r="B98" s="39" t="s">
        <v>296</v>
      </c>
      <c r="C98" s="39"/>
      <c r="D98" s="39"/>
    </row>
    <row r="99">
      <c r="A99" s="39" t="s">
        <v>305</v>
      </c>
      <c r="B99" s="39" t="s">
        <v>296</v>
      </c>
      <c r="C99" s="39"/>
      <c r="D99" s="39"/>
    </row>
    <row r="100">
      <c r="A100" s="39" t="s">
        <v>306</v>
      </c>
      <c r="B100" s="39" t="s">
        <v>296</v>
      </c>
      <c r="C100" s="39"/>
      <c r="D100" s="39"/>
    </row>
    <row r="101">
      <c r="A101" s="39" t="s">
        <v>307</v>
      </c>
      <c r="B101" s="39" t="s">
        <v>296</v>
      </c>
      <c r="C101" s="39"/>
      <c r="D101" s="39"/>
    </row>
    <row r="102">
      <c r="A102" s="39" t="s">
        <v>308</v>
      </c>
      <c r="B102" s="39" t="s">
        <v>296</v>
      </c>
      <c r="C102" s="39"/>
      <c r="D102" s="39" t="s">
        <v>309</v>
      </c>
    </row>
    <row r="103">
      <c r="A103" s="39" t="s">
        <v>310</v>
      </c>
      <c r="B103" s="39" t="s">
        <v>296</v>
      </c>
      <c r="C103" s="39"/>
      <c r="D103" s="39"/>
    </row>
    <row r="104">
      <c r="A104" s="39" t="s">
        <v>311</v>
      </c>
      <c r="B104" s="39" t="s">
        <v>296</v>
      </c>
      <c r="C104" s="39"/>
      <c r="D104" s="39"/>
    </row>
    <row r="105">
      <c r="A105" s="39" t="s">
        <v>312</v>
      </c>
      <c r="B105" s="39" t="s">
        <v>296</v>
      </c>
      <c r="C105" s="39"/>
      <c r="D105" s="39" t="s">
        <v>313</v>
      </c>
    </row>
    <row r="106">
      <c r="A106" s="39" t="s">
        <v>314</v>
      </c>
      <c r="B106" s="39" t="s">
        <v>296</v>
      </c>
      <c r="C106" s="39"/>
      <c r="D106" s="39" t="s">
        <v>315</v>
      </c>
    </row>
    <row r="107">
      <c r="A107" s="39" t="s">
        <v>316</v>
      </c>
      <c r="B107" s="39" t="s">
        <v>296</v>
      </c>
      <c r="C107" s="39"/>
      <c r="D107" s="39"/>
    </row>
    <row r="108">
      <c r="A108" s="39" t="s">
        <v>317</v>
      </c>
      <c r="B108" s="39" t="s">
        <v>296</v>
      </c>
      <c r="C108" s="39"/>
      <c r="D108" s="39"/>
    </row>
    <row r="109">
      <c r="A109" s="39" t="s">
        <v>318</v>
      </c>
      <c r="B109" s="39" t="s">
        <v>296</v>
      </c>
      <c r="C109" s="39"/>
      <c r="D109" s="39" t="s">
        <v>319</v>
      </c>
    </row>
    <row r="110">
      <c r="A110" s="39" t="s">
        <v>320</v>
      </c>
      <c r="B110" s="39" t="s">
        <v>296</v>
      </c>
      <c r="C110" s="39"/>
      <c r="D110" s="39" t="s">
        <v>321</v>
      </c>
    </row>
    <row r="111">
      <c r="A111" s="39" t="s">
        <v>322</v>
      </c>
      <c r="B111" s="39" t="s">
        <v>296</v>
      </c>
      <c r="C111" s="39"/>
      <c r="D111" s="39" t="s">
        <v>323</v>
      </c>
    </row>
    <row r="112">
      <c r="A112" s="39" t="s">
        <v>324</v>
      </c>
      <c r="B112" s="39" t="s">
        <v>296</v>
      </c>
      <c r="C112" s="39"/>
      <c r="D112" s="39" t="s">
        <v>325</v>
      </c>
    </row>
    <row r="113">
      <c r="A113" s="39" t="s">
        <v>326</v>
      </c>
      <c r="B113" s="39" t="s">
        <v>296</v>
      </c>
      <c r="C113" s="39"/>
      <c r="D113" s="39" t="s">
        <v>327</v>
      </c>
    </row>
    <row r="114">
      <c r="A114" s="39" t="s">
        <v>328</v>
      </c>
      <c r="B114" s="39" t="s">
        <v>296</v>
      </c>
      <c r="C114" s="39"/>
      <c r="D114" s="39" t="s">
        <v>329</v>
      </c>
    </row>
    <row r="115">
      <c r="A115" s="39" t="s">
        <v>330</v>
      </c>
      <c r="B115" s="39" t="s">
        <v>296</v>
      </c>
      <c r="C115" s="39"/>
      <c r="D115" s="39" t="s">
        <v>331</v>
      </c>
    </row>
    <row r="116">
      <c r="A116" s="39" t="s">
        <v>332</v>
      </c>
      <c r="B116" s="39" t="s">
        <v>296</v>
      </c>
      <c r="C116" s="39"/>
      <c r="D116" s="39" t="s">
        <v>333</v>
      </c>
    </row>
    <row r="117">
      <c r="A117" s="39" t="s">
        <v>334</v>
      </c>
      <c r="B117" s="39" t="s">
        <v>296</v>
      </c>
      <c r="C117" s="39"/>
      <c r="D117" s="39" t="s">
        <v>335</v>
      </c>
    </row>
    <row r="118">
      <c r="A118" s="39" t="s">
        <v>336</v>
      </c>
      <c r="B118" s="39" t="s">
        <v>296</v>
      </c>
      <c r="C118" s="39"/>
      <c r="D118" s="39" t="s">
        <v>337</v>
      </c>
    </row>
    <row r="119">
      <c r="A119" s="39" t="s">
        <v>338</v>
      </c>
      <c r="B119" s="39" t="s">
        <v>296</v>
      </c>
      <c r="C119" s="39"/>
      <c r="D119" s="39" t="s">
        <v>339</v>
      </c>
    </row>
    <row r="120">
      <c r="A120" s="39" t="s">
        <v>340</v>
      </c>
      <c r="B120" s="39" t="s">
        <v>296</v>
      </c>
      <c r="C120" s="39"/>
      <c r="D120" s="39" t="s">
        <v>341</v>
      </c>
    </row>
    <row r="121">
      <c r="A121" s="39" t="s">
        <v>342</v>
      </c>
      <c r="B121" s="39" t="s">
        <v>296</v>
      </c>
      <c r="C121" s="39"/>
      <c r="D121" s="39"/>
    </row>
    <row r="122">
      <c r="A122" s="39" t="s">
        <v>343</v>
      </c>
      <c r="B122" s="39" t="s">
        <v>296</v>
      </c>
      <c r="C122" s="39"/>
      <c r="D122" s="39"/>
    </row>
    <row r="123">
      <c r="A123" s="39" t="s">
        <v>344</v>
      </c>
      <c r="B123" s="39" t="s">
        <v>296</v>
      </c>
      <c r="C123" s="39"/>
      <c r="D123" s="39"/>
    </row>
    <row r="124">
      <c r="A124" s="39" t="s">
        <v>345</v>
      </c>
      <c r="B124" s="39" t="s">
        <v>296</v>
      </c>
      <c r="C124" s="39"/>
      <c r="D124" s="39"/>
    </row>
    <row r="125">
      <c r="A125" s="39" t="s">
        <v>346</v>
      </c>
      <c r="B125" s="39" t="s">
        <v>296</v>
      </c>
      <c r="C125" s="39"/>
      <c r="D125" s="39"/>
    </row>
    <row r="126">
      <c r="A126" s="39" t="s">
        <v>347</v>
      </c>
      <c r="B126" s="39" t="s">
        <v>296</v>
      </c>
      <c r="C126" s="39"/>
      <c r="D126" s="39"/>
    </row>
    <row r="127">
      <c r="A127" s="39" t="s">
        <v>348</v>
      </c>
      <c r="B127" s="39" t="s">
        <v>296</v>
      </c>
      <c r="C127" s="39"/>
      <c r="D127" s="39"/>
    </row>
    <row r="128">
      <c r="A128" s="39" t="s">
        <v>349</v>
      </c>
      <c r="B128" s="39" t="s">
        <v>296</v>
      </c>
      <c r="C128" s="39"/>
      <c r="D128" s="39"/>
    </row>
    <row r="129">
      <c r="A129" s="39" t="s">
        <v>350</v>
      </c>
      <c r="B129" s="39" t="s">
        <v>296</v>
      </c>
      <c r="C129" s="39"/>
      <c r="D129" s="39" t="s">
        <v>351</v>
      </c>
    </row>
    <row r="130">
      <c r="A130" s="39" t="s">
        <v>352</v>
      </c>
      <c r="B130" s="39" t="s">
        <v>296</v>
      </c>
      <c r="C130" s="39"/>
      <c r="D130" s="39" t="s">
        <v>353</v>
      </c>
    </row>
    <row r="131">
      <c r="A131" s="39" t="s">
        <v>354</v>
      </c>
      <c r="B131" s="39" t="s">
        <v>296</v>
      </c>
      <c r="C131" s="39"/>
      <c r="D131" s="39" t="s">
        <v>355</v>
      </c>
    </row>
    <row r="132">
      <c r="A132" s="39" t="s">
        <v>356</v>
      </c>
      <c r="B132" s="39" t="s">
        <v>296</v>
      </c>
      <c r="C132" s="39"/>
      <c r="D132" s="39"/>
    </row>
    <row r="133">
      <c r="A133" s="39" t="s">
        <v>357</v>
      </c>
      <c r="B133" s="39" t="s">
        <v>296</v>
      </c>
      <c r="C133" s="39"/>
      <c r="D133" s="39"/>
    </row>
    <row r="134">
      <c r="A134" s="39" t="s">
        <v>358</v>
      </c>
      <c r="B134" s="39" t="s">
        <v>296</v>
      </c>
      <c r="C134" s="39"/>
      <c r="D134" s="39"/>
    </row>
    <row r="135">
      <c r="A135" s="39" t="s">
        <v>359</v>
      </c>
      <c r="B135" s="39" t="s">
        <v>296</v>
      </c>
      <c r="C135" s="39"/>
      <c r="D135" s="39"/>
    </row>
    <row r="136">
      <c r="A136" s="39" t="s">
        <v>360</v>
      </c>
      <c r="B136" s="39" t="s">
        <v>296</v>
      </c>
      <c r="C136" s="39"/>
      <c r="D136" s="39" t="s">
        <v>361</v>
      </c>
    </row>
    <row r="137">
      <c r="A137" s="39" t="s">
        <v>362</v>
      </c>
      <c r="B137" s="39" t="s">
        <v>296</v>
      </c>
      <c r="C137" s="39"/>
      <c r="D137" s="39" t="s">
        <v>363</v>
      </c>
    </row>
    <row r="138">
      <c r="A138" s="39" t="s">
        <v>364</v>
      </c>
      <c r="B138" s="39"/>
      <c r="C138" s="39"/>
      <c r="D138" s="39"/>
    </row>
    <row r="139">
      <c r="A139" s="39" t="s">
        <v>365</v>
      </c>
      <c r="B139" s="39" t="s">
        <v>296</v>
      </c>
      <c r="C139" s="39"/>
      <c r="D139" s="39"/>
    </row>
    <row r="140">
      <c r="A140" s="39" t="s">
        <v>366</v>
      </c>
      <c r="B140" s="39" t="s">
        <v>296</v>
      </c>
      <c r="C140" s="39"/>
      <c r="D140" s="39"/>
    </row>
    <row r="141">
      <c r="A141" s="39" t="s">
        <v>367</v>
      </c>
      <c r="B141" s="39" t="s">
        <v>296</v>
      </c>
      <c r="C141" s="39"/>
      <c r="D141" s="39"/>
    </row>
    <row r="142">
      <c r="A142" s="39" t="s">
        <v>368</v>
      </c>
      <c r="B142" s="39" t="s">
        <v>296</v>
      </c>
      <c r="C142" s="39"/>
      <c r="D142" s="39"/>
    </row>
    <row r="143">
      <c r="A143" s="39" t="s">
        <v>369</v>
      </c>
      <c r="B143" s="39" t="s">
        <v>296</v>
      </c>
      <c r="C143" s="39"/>
      <c r="D143" s="39"/>
    </row>
    <row r="144">
      <c r="A144" s="39" t="s">
        <v>370</v>
      </c>
      <c r="B144" s="39" t="s">
        <v>296</v>
      </c>
      <c r="C144" s="39"/>
      <c r="D144" s="39"/>
    </row>
    <row r="145">
      <c r="A145" s="39" t="s">
        <v>371</v>
      </c>
      <c r="B145" s="39"/>
      <c r="C145" s="39"/>
      <c r="D145" s="39"/>
    </row>
    <row r="146">
      <c r="A146" s="39" t="s">
        <v>372</v>
      </c>
      <c r="B146" s="39" t="s">
        <v>296</v>
      </c>
      <c r="C146" s="39"/>
      <c r="D146" s="39" t="s">
        <v>373</v>
      </c>
    </row>
    <row r="147">
      <c r="A147" s="39" t="s">
        <v>374</v>
      </c>
      <c r="B147" s="39" t="s">
        <v>296</v>
      </c>
      <c r="C147" s="39"/>
      <c r="D147" s="39" t="s">
        <v>375</v>
      </c>
    </row>
    <row r="148">
      <c r="A148" s="39" t="s">
        <v>376</v>
      </c>
      <c r="B148" s="39" t="s">
        <v>296</v>
      </c>
      <c r="C148" s="39"/>
      <c r="D148" s="39" t="s">
        <v>377</v>
      </c>
    </row>
    <row r="149">
      <c r="A149" s="39" t="s">
        <v>378</v>
      </c>
      <c r="B149" s="39" t="s">
        <v>296</v>
      </c>
      <c r="C149" s="39"/>
      <c r="D149" s="39" t="s">
        <v>379</v>
      </c>
    </row>
    <row r="150">
      <c r="A150" s="39" t="s">
        <v>380</v>
      </c>
      <c r="B150" s="39" t="s">
        <v>296</v>
      </c>
      <c r="C150" s="39"/>
      <c r="D150" s="39" t="s">
        <v>381</v>
      </c>
    </row>
    <row r="151">
      <c r="A151" s="39" t="s">
        <v>382</v>
      </c>
      <c r="B151" s="39" t="s">
        <v>296</v>
      </c>
      <c r="C151" s="39"/>
      <c r="D151" s="39" t="s">
        <v>383</v>
      </c>
    </row>
    <row r="152">
      <c r="A152" s="39" t="s">
        <v>384</v>
      </c>
      <c r="B152" s="39" t="s">
        <v>296</v>
      </c>
      <c r="C152" s="39"/>
      <c r="D152" s="39" t="s">
        <v>385</v>
      </c>
    </row>
    <row r="153">
      <c r="A153" s="39" t="s">
        <v>386</v>
      </c>
      <c r="B153" s="39" t="s">
        <v>296</v>
      </c>
      <c r="C153" s="39"/>
      <c r="D153" s="39" t="s">
        <v>387</v>
      </c>
    </row>
    <row r="154">
      <c r="A154" s="39" t="s">
        <v>388</v>
      </c>
      <c r="B154" s="39" t="s">
        <v>296</v>
      </c>
      <c r="C154" s="39"/>
      <c r="D154" s="39" t="s">
        <v>389</v>
      </c>
    </row>
    <row r="155">
      <c r="A155" s="39" t="s">
        <v>390</v>
      </c>
      <c r="B155" s="39" t="s">
        <v>296</v>
      </c>
      <c r="C155" s="39"/>
      <c r="D155" s="39" t="s">
        <v>391</v>
      </c>
    </row>
    <row r="156">
      <c r="A156" s="39" t="s">
        <v>392</v>
      </c>
      <c r="B156" s="39" t="s">
        <v>296</v>
      </c>
      <c r="C156" s="39"/>
      <c r="D156" s="39" t="s">
        <v>393</v>
      </c>
    </row>
  </sheetData>
</worksheet>
</file>