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ados Relatório" sheetId="1" r:id="rId4"/>
    <sheet state="visible" name="Dados Resumo" sheetId="2" r:id="rId5"/>
    <sheet state="visible" name="Relatorio_em_Etapas" sheetId="3" r:id="rId6"/>
    <sheet state="visible" name="Parâmetro" sheetId="4" r:id="rId7"/>
    <sheet state="visible" name="Dados Funil" sheetId="5" r:id="rId8"/>
    <sheet state="visible" name="Dados Funil PV" sheetId="6" r:id="rId9"/>
    <sheet state="visible" name="Vagas" sheetId="7" r:id="rId10"/>
    <sheet state="visible" name="funil_comercial" sheetId="8" r:id="rId11"/>
  </sheets>
  <definedNames>
    <definedName name="COLNAME">LAMBDA(field, lambda(field,"Col"&amp;MATCH(field,'Dados Funil'!$1:$1,0))(field))</definedName>
  </definedNames>
  <calcPr/>
</workbook>
</file>

<file path=xl/sharedStrings.xml><?xml version="1.0" encoding="utf-8"?>
<sst xmlns="http://schemas.openxmlformats.org/spreadsheetml/2006/main" count="682" uniqueCount="394">
  <si>
    <t>Meta atual</t>
  </si>
  <si>
    <t>Quanto vendemos</t>
  </si>
  <si>
    <t>Tamanho do gap</t>
  </si>
  <si>
    <t>Forecast Hub</t>
  </si>
  <si>
    <t>Para construir durante a semana</t>
  </si>
  <si>
    <t>Linha - Gap Volume MQL</t>
  </si>
  <si>
    <t>Valor - Gap Volume MQL</t>
  </si>
  <si>
    <t>Linha - Gap Volume SAL</t>
  </si>
  <si>
    <t>Valor - Gap Volume SAL</t>
  </si>
  <si>
    <t>Linhas - Gap Conversão SAL &gt; Opp</t>
  </si>
  <si>
    <t>Valor - Gap Conversão SAL &gt; Opp</t>
  </si>
  <si>
    <t>Linhas - Gap Conversão Opp Won</t>
  </si>
  <si>
    <t>Valor - Gap Conversão Opp Won</t>
  </si>
  <si>
    <t>Linhas - Gap Ticket Médio</t>
  </si>
  <si>
    <t>Valor - Gap Ticket Médio</t>
  </si>
  <si>
    <t>Reais - Ticket Médio</t>
  </si>
  <si>
    <t>% SDRs no grid</t>
  </si>
  <si>
    <t>% AEs no grid</t>
  </si>
  <si>
    <t>Vagas GE mês anterior</t>
  </si>
  <si>
    <t>Vagas GE mês atual</t>
  </si>
  <si>
    <t>Vagas TR mês anterior</t>
  </si>
  <si>
    <t>Vagas TR mês atual</t>
  </si>
  <si>
    <t>Vagas Club mês anterior</t>
  </si>
  <si>
    <t>Vagas Club mês atual</t>
  </si>
  <si>
    <t>Vagas Scale mês anterior</t>
  </si>
  <si>
    <t>Vagas Scale mês atual</t>
  </si>
  <si>
    <t>Linhas - Gap Receita por Opp</t>
  </si>
  <si>
    <t>Valor - Receita por Opp</t>
  </si>
  <si>
    <t>Reais - Receita por Opp</t>
  </si>
  <si>
    <t>Linhas - Receita por Opp Acima</t>
  </si>
  <si>
    <t>Valor - Receita por Opp Acima</t>
  </si>
  <si>
    <t>Reais - Receita por Opp Acima</t>
  </si>
  <si>
    <t>Meta total</t>
  </si>
  <si>
    <t>Bloco</t>
  </si>
  <si>
    <t>Informação</t>
  </si>
  <si>
    <t>Valor</t>
  </si>
  <si>
    <t>Resumo</t>
  </si>
  <si>
    <t>Valor vendido</t>
  </si>
  <si>
    <t>Meta diarizada</t>
  </si>
  <si>
    <t>% Meta atingido</t>
  </si>
  <si>
    <t>% Meta diarizada atingido</t>
  </si>
  <si>
    <t>% do gap</t>
  </si>
  <si>
    <t>% deveria ter sido atingido</t>
  </si>
  <si>
    <t>Forecast</t>
  </si>
  <si>
    <t>Forecast até fim do mês</t>
  </si>
  <si>
    <t>Gap forecast</t>
  </si>
  <si>
    <t>Performance</t>
  </si>
  <si>
    <t>AEs no grid</t>
  </si>
  <si>
    <t>SDRs no grid</t>
  </si>
  <si>
    <t>Vagas</t>
  </si>
  <si>
    <t>Parâmetro</t>
  </si>
  <si>
    <t>Operação</t>
  </si>
  <si>
    <t>Linha MKT</t>
  </si>
  <si>
    <t>Gap MKT</t>
  </si>
  <si>
    <t>Representatividade_MKT</t>
  </si>
  <si>
    <t>Pareto_MKT</t>
  </si>
  <si>
    <t>Gap SAL</t>
  </si>
  <si>
    <t>Gap SAL %</t>
  </si>
  <si>
    <t>Linha PV</t>
  </si>
  <si>
    <t>Gap PV</t>
  </si>
  <si>
    <t>Representatividade_PV</t>
  </si>
  <si>
    <t>Pareto_PV</t>
  </si>
  <si>
    <t>Gap Conversão</t>
  </si>
  <si>
    <t>Linha Vendas</t>
  </si>
  <si>
    <t>Gap Vendas</t>
  </si>
  <si>
    <t>Representatividade_Vendas</t>
  </si>
  <si>
    <t>Pareto_Vendas</t>
  </si>
  <si>
    <t>Gap Receita por Opp</t>
  </si>
  <si>
    <t>Gap Receita por Opp %</t>
  </si>
  <si>
    <t>Linha MKT_up</t>
  </si>
  <si>
    <t>Gap MKT_up</t>
  </si>
  <si>
    <t>Representatividade_MKT_up</t>
  </si>
  <si>
    <t>Pareto_MKT_up</t>
  </si>
  <si>
    <t>Gap SAL_up</t>
  </si>
  <si>
    <t>Gap SAL %_up</t>
  </si>
  <si>
    <t>Linha PV_up</t>
  </si>
  <si>
    <t>Gap PV_up</t>
  </si>
  <si>
    <t>Representatividade_PV_up</t>
  </si>
  <si>
    <t>Pareto_PV_up</t>
  </si>
  <si>
    <t>Gap Conversão_up</t>
  </si>
  <si>
    <t>Linha Vendas_up</t>
  </si>
  <si>
    <t>Gap Vendas_up</t>
  </si>
  <si>
    <t>Representatividade_Vendas_up</t>
  </si>
  <si>
    <t>Pareto_Vendas_up</t>
  </si>
  <si>
    <t>Gap Receita por Opp_up</t>
  </si>
  <si>
    <t>Gap Receita por Opp %_up</t>
  </si>
  <si>
    <t>Linha_Potencial</t>
  </si>
  <si>
    <t>SAL Meta</t>
  </si>
  <si>
    <t>CR Meta</t>
  </si>
  <si>
    <t>Receita por Opp Meta</t>
  </si>
  <si>
    <t>Potencial de Receita</t>
  </si>
  <si>
    <t>Linha_Realizado</t>
  </si>
  <si>
    <t>SAL realizado</t>
  </si>
  <si>
    <t>CR Realizado</t>
  </si>
  <si>
    <t>Receita por Opp Realizado</t>
  </si>
  <si>
    <t>Potencial de Receita Realizado</t>
  </si>
  <si>
    <t>Visão</t>
  </si>
  <si>
    <t>Mari</t>
  </si>
  <si>
    <t>Linha de Receita</t>
  </si>
  <si>
    <t>Meta MQL</t>
  </si>
  <si>
    <t>MQL realizado</t>
  </si>
  <si>
    <t>Gap MQL</t>
  </si>
  <si>
    <t>Gap MQL %</t>
  </si>
  <si>
    <t>Conversão MQL &gt; SAL Meta</t>
  </si>
  <si>
    <t>Conversão MQL &gt; SAL realizado</t>
  </si>
  <si>
    <t>Gap Conversão MQL &gt; SAL p.p.</t>
  </si>
  <si>
    <t>Conversão SAL &gt; Opp Meta</t>
  </si>
  <si>
    <t>Conversão SAL &gt; Opp realizado</t>
  </si>
  <si>
    <t>Gap Conversão SAL &gt; Opp p.p.</t>
  </si>
  <si>
    <t>Opp Meta</t>
  </si>
  <si>
    <t>Opp realizado</t>
  </si>
  <si>
    <t>Gap Opp</t>
  </si>
  <si>
    <t>Gap Opp %</t>
  </si>
  <si>
    <t>Conversão Opp &gt; Won Meta</t>
  </si>
  <si>
    <t>Conversão Opp &gt; Won realizado</t>
  </si>
  <si>
    <t>Gap Conversão Opp &gt; Won p.p.</t>
  </si>
  <si>
    <t>Won Meta</t>
  </si>
  <si>
    <t>Won realizado</t>
  </si>
  <si>
    <t>Gap Won</t>
  </si>
  <si>
    <t>Gap Won %</t>
  </si>
  <si>
    <t>Ticket Médio Meta</t>
  </si>
  <si>
    <t>Ticket Médio realizado</t>
  </si>
  <si>
    <t>Gap Ticket Médio</t>
  </si>
  <si>
    <t>Gap Ticket Médio %</t>
  </si>
  <si>
    <t>Receita Meta</t>
  </si>
  <si>
    <t>Receita realizado</t>
  </si>
  <si>
    <t>Gap Receita</t>
  </si>
  <si>
    <t>Gap Receita %</t>
  </si>
  <si>
    <t>Gap Potencial de Receita MKT</t>
  </si>
  <si>
    <t>Gap Potencial de Receita Comercial</t>
  </si>
  <si>
    <t>Gap Potencial de Receita Pré-Vendas</t>
  </si>
  <si>
    <t>Gap Potencial de Receita Vendas</t>
  </si>
  <si>
    <t>Item de Linha</t>
  </si>
  <si>
    <t>Event Month</t>
  </si>
  <si>
    <t># Itens Vendidos</t>
  </si>
  <si>
    <t>G4 Gestao e Estrategia</t>
  </si>
  <si>
    <t>2024-12</t>
  </si>
  <si>
    <t>2025-01</t>
  </si>
  <si>
    <t>G4 Traction</t>
  </si>
  <si>
    <t>Membro - G4 Club</t>
  </si>
  <si>
    <t>Membro - G4 Scale</t>
  </si>
  <si>
    <r>
      <rPr>
        <rFont val="Roboto"/>
        <b/>
        <color rgb="FF000000"/>
        <sz val="10.0"/>
      </rPr>
      <t>Model name</t>
    </r>
    <r>
      <rPr>
        <rFont val="Roboto"/>
        <b val="0"/>
        <color rgb="FF000000"/>
        <sz val="10.0"/>
      </rPr>
      <t>: databricks</t>
    </r>
    <r>
      <rPr>
        <rFont val="Roboto"/>
        <b/>
        <color rgb="FF000000"/>
        <sz val="10.0"/>
      </rPr>
      <t xml:space="preserve"> Explore name</t>
    </r>
    <r>
      <rPr>
        <rFont val="Roboto"/>
        <b val="0"/>
        <color rgb="FF000000"/>
        <sz val="10.0"/>
      </rPr>
      <t>: funil_comercial</t>
    </r>
  </si>
  <si>
    <t>Field</t>
  </si>
  <si>
    <t>Category</t>
  </si>
  <si>
    <t>Type</t>
  </si>
  <si>
    <t>Description</t>
  </si>
  <si>
    <t>Data</t>
  </si>
  <si>
    <t>Criação.Created At Date</t>
  </si>
  <si>
    <t>DIMENSION</t>
  </si>
  <si>
    <t>DATE_DATE</t>
  </si>
  <si>
    <t>Data e hora da criação do deal.</t>
  </si>
  <si>
    <t>Criação.Created At Day of Month</t>
  </si>
  <si>
    <t>DATE_DAY_OF_MONTH</t>
  </si>
  <si>
    <t>Criação.Created At Day of Week Index</t>
  </si>
  <si>
    <t>DATE_DAY_OF_WEEK_INDEX</t>
  </si>
  <si>
    <t>Criação.Created At Month</t>
  </si>
  <si>
    <t>DATE_MONTH</t>
  </si>
  <si>
    <t>Criação.Created At Month Num</t>
  </si>
  <si>
    <t>DATE_MONTH_NUM</t>
  </si>
  <si>
    <t>Criação.Created At Quarter</t>
  </si>
  <si>
    <t>DATE_QUARTER</t>
  </si>
  <si>
    <t>Criação.Created At Quarter of Year</t>
  </si>
  <si>
    <t>DATE_QUARTER_OF_YEAR</t>
  </si>
  <si>
    <t>Criação.Created At Time</t>
  </si>
  <si>
    <t>DATE_TIME</t>
  </si>
  <si>
    <t>Criação.Created At Week</t>
  </si>
  <si>
    <t>DATE_WEEK</t>
  </si>
  <si>
    <t>Criação.Created At Week of Year</t>
  </si>
  <si>
    <t>DATE_WEEK_OF_YEAR</t>
  </si>
  <si>
    <t>Criação.Created At Year</t>
  </si>
  <si>
    <t>DATE_YEAR</t>
  </si>
  <si>
    <t>Dia atual (Yes / No)</t>
  </si>
  <si>
    <t>YESNO</t>
  </si>
  <si>
    <t>Evento.Event Date</t>
  </si>
  <si>
    <t>Data e hora do evento.</t>
  </si>
  <si>
    <t>Evento.Event Day of Month</t>
  </si>
  <si>
    <t>Evento.Event Day of Week Index</t>
  </si>
  <si>
    <t>Evento.Event Month</t>
  </si>
  <si>
    <t>Evento.Event Month Num</t>
  </si>
  <si>
    <t>Evento.Event Quarter</t>
  </si>
  <si>
    <t>Evento.Event Quarter of Year</t>
  </si>
  <si>
    <t>Evento.Event Time</t>
  </si>
  <si>
    <t>Evento.Event Week</t>
  </si>
  <si>
    <t>Evento.Event Week of Year</t>
  </si>
  <si>
    <t>Evento.Event Year</t>
  </si>
  <si>
    <t>Fechamento.Closed At Date</t>
  </si>
  <si>
    <t>Data e hora do fechamento do deal.</t>
  </si>
  <si>
    <t>Fechamento.Closed At Day of Month</t>
  </si>
  <si>
    <t>Fechamento.Closed At Day of Week Index</t>
  </si>
  <si>
    <t>Fechamento.Closed At Month</t>
  </si>
  <si>
    <t>Fechamento.Closed At Month Num</t>
  </si>
  <si>
    <t>Fechamento.Closed At Quarter</t>
  </si>
  <si>
    <t>Fechamento.Closed At Quarter of Year</t>
  </si>
  <si>
    <t>Fechamento.Closed At Time</t>
  </si>
  <si>
    <t>Fechamento.Closed At Week</t>
  </si>
  <si>
    <t>Fechamento.Closed At Week of Year</t>
  </si>
  <si>
    <t>Fechamento.Closed At Year</t>
  </si>
  <si>
    <t>Deal</t>
  </si>
  <si>
    <t>BU Item de Linha</t>
  </si>
  <si>
    <t>STRING</t>
  </si>
  <si>
    <t>BU responsável pelo item de linha.</t>
  </si>
  <si>
    <t>BU Nova - Item de Linha</t>
  </si>
  <si>
    <t>BU Nova responsável pelo item de linha.</t>
  </si>
  <si>
    <t>Canal de Marketing</t>
  </si>
  <si>
    <t>Canal de marketing do deal.</t>
  </si>
  <si>
    <t>Checkout G4 Código Comercial</t>
  </si>
  <si>
    <t>Código Comercial atrelado ao deal.</t>
  </si>
  <si>
    <t>Deal ID</t>
  </si>
  <si>
    <t>Identificador único do deal.</t>
  </si>
  <si>
    <t>É perfil A a J (Yes / No)</t>
  </si>
  <si>
    <t>Booleano que indica se o perfil está entre os perfis de A a J.</t>
  </si>
  <si>
    <t>Edição do Evento</t>
  </si>
  <si>
    <t>Edição do evento do deal.</t>
  </si>
  <si>
    <t>Email</t>
  </si>
  <si>
    <t>Email do deal.</t>
  </si>
  <si>
    <t>Email do Indicador</t>
  </si>
  <si>
    <t>Email do indicador do deal.</t>
  </si>
  <si>
    <t>Etapa Anterior</t>
  </si>
  <si>
    <t>Etapa anterior em que o deal estava.</t>
  </si>
  <si>
    <t>Faixa de Faturamento</t>
  </si>
  <si>
    <t>Faixa de faturamento do deal.</t>
  </si>
  <si>
    <t>Faixa de Funcionários</t>
  </si>
  <si>
    <t>Faixa de funcionários do deal.</t>
  </si>
  <si>
    <t>Fonte Original</t>
  </si>
  <si>
    <t>Fonte original do deal.</t>
  </si>
  <si>
    <t>Grupo Marketing</t>
  </si>
  <si>
    <t>Grupo de marketing atrelado a meta.</t>
  </si>
  <si>
    <t>ID Único Indivíduo</t>
  </si>
  <si>
    <t>ID único da pessoa.</t>
  </si>
  <si>
    <t>Nome do item de linha.</t>
  </si>
  <si>
    <t>Item de Linha ID</t>
  </si>
  <si>
    <t>Identificador do item de linha.</t>
  </si>
  <si>
    <t>Motivo de Lost</t>
  </si>
  <si>
    <t>Motivo da perda do deal.</t>
  </si>
  <si>
    <t>Nome do Evento</t>
  </si>
  <si>
    <t>Nome do evento do deal.</t>
  </si>
  <si>
    <t>Operação Comercial (Yes / No)</t>
  </si>
  <si>
    <t>Indica se é referente a operação comercial ou não.</t>
  </si>
  <si>
    <t>Origem da Receita</t>
  </si>
  <si>
    <t>Origem da receita do deal.</t>
  </si>
  <si>
    <t>Origem do Deal</t>
  </si>
  <si>
    <t>Origem do deal.</t>
  </si>
  <si>
    <t>Perfil</t>
  </si>
  <si>
    <t>Perfil do deal.</t>
  </si>
  <si>
    <t>Pipeline</t>
  </si>
  <si>
    <t>Nome da pipeline do deal.</t>
  </si>
  <si>
    <t>Pipeline ID</t>
  </si>
  <si>
    <t>ID da pipeline do deal.</t>
  </si>
  <si>
    <t>Pipeline Pré Vendas</t>
  </si>
  <si>
    <t>Pipeline do deal até o momento de Oportunidade.</t>
  </si>
  <si>
    <t>Probabilidade de Previsão</t>
  </si>
  <si>
    <t>NUMBER</t>
  </si>
  <si>
    <t>Probabilidade de previsão do deal.</t>
  </si>
  <si>
    <t>Proprietário</t>
  </si>
  <si>
    <t>Proprietário do deal.</t>
  </si>
  <si>
    <t>Qualificador</t>
  </si>
  <si>
    <t>Qualificador do deal.</t>
  </si>
  <si>
    <t>Receita do Item</t>
  </si>
  <si>
    <t>Selfbooking (Yes / No)</t>
  </si>
  <si>
    <t>.</t>
  </si>
  <si>
    <t>Stage ID</t>
  </si>
  <si>
    <t>ID da stage (etapa) do deal.</t>
  </si>
  <si>
    <t>Status do Deal</t>
  </si>
  <si>
    <t>Status atual do deal.</t>
  </si>
  <si>
    <t>Tipo de Conversão</t>
  </si>
  <si>
    <t>Tipo de conversão do deal.</t>
  </si>
  <si>
    <t>Tipo do Evento</t>
  </si>
  <si>
    <t>Tipo do evento do deal.</t>
  </si>
  <si>
    <t>Transferencia na Hora</t>
  </si>
  <si>
    <t>UTM Campaign</t>
  </si>
  <si>
    <t>UTM campaign do deal.</t>
  </si>
  <si>
    <t>UTM Content</t>
  </si>
  <si>
    <t>UTM content do deal.</t>
  </si>
  <si>
    <t>UTM Medium</t>
  </si>
  <si>
    <t>UTM medium do deal.</t>
  </si>
  <si>
    <t>UTM Source</t>
  </si>
  <si>
    <t>UTM source do deal.</t>
  </si>
  <si>
    <t>UTM Term</t>
  </si>
  <si>
    <t>UTM term do deal.</t>
  </si>
  <si>
    <t>Eventos</t>
  </si>
  <si>
    <t>Event Skipped (Yes / No)</t>
  </si>
  <si>
    <t>Indica se o evento foi pulado.</t>
  </si>
  <si>
    <t>Event Type</t>
  </si>
  <si>
    <t>Indica o tipo do evento.</t>
  </si>
  <si>
    <t>Evento</t>
  </si>
  <si>
    <t>Nome do evento em questão.</t>
  </si>
  <si>
    <t>Grupo de Receita</t>
  </si>
  <si>
    <t>Agrupamento das Linhas de Receita Vigente do deal.</t>
  </si>
  <si>
    <t>Linha de Receita Vigente</t>
  </si>
  <si>
    <t>Linha de Receita Vigente do deal.</t>
  </si>
  <si>
    <t>Ordem do Evento</t>
  </si>
  <si>
    <t>Order dos eventos que acontecem com o deal ao longo da pipeline.</t>
  </si>
  <si>
    <t>Time - Linha de Receita</t>
  </si>
  <si>
    <t>Times das Linhas de Receita Vigente do deal.</t>
  </si>
  <si>
    <t>Métricas</t>
  </si>
  <si>
    <t># Agendamentos</t>
  </si>
  <si>
    <t>MEASURE</t>
  </si>
  <si>
    <t># Conectados</t>
  </si>
  <si>
    <t># Emails</t>
  </si>
  <si>
    <t># Ligações</t>
  </si>
  <si>
    <t># MQL</t>
  </si>
  <si>
    <t># MQL (Fechados)</t>
  </si>
  <si>
    <t># Negociacoes</t>
  </si>
  <si>
    <t># Observações</t>
  </si>
  <si>
    <t># Opp</t>
  </si>
  <si>
    <t># Reuniões</t>
  </si>
  <si>
    <t># SAL</t>
  </si>
  <si>
    <t># Tarefas</t>
  </si>
  <si>
    <t># Vagas por Won</t>
  </si>
  <si>
    <t>Qtd total de vagas vendidas dividido por won</t>
  </si>
  <si>
    <t># Vagas Vendidas</t>
  </si>
  <si>
    <t># Won</t>
  </si>
  <si>
    <t>% Conectado em Agendamento</t>
  </si>
  <si>
    <t>Qtd de agendamentos realizados pela Qtd de leads conectados</t>
  </si>
  <si>
    <t>% CR01 - MQL em SAL</t>
  </si>
  <si>
    <t>Qtd de sals realizados pela Qtd de mqls realizados</t>
  </si>
  <si>
    <t>% CR02 - SAL em Agendamento</t>
  </si>
  <si>
    <t>% CR03 - Agendamento em Opp (Show Rate)</t>
  </si>
  <si>
    <t>% CR04 - Opp em Won (Win Rate)</t>
  </si>
  <si>
    <t>Qtd de won dividido pelo Qtd de oportunidades</t>
  </si>
  <si>
    <t>% MQL em Opp</t>
  </si>
  <si>
    <t>Qtd de leads MQLs dividido pelo Qtd de oportunidades</t>
  </si>
  <si>
    <t>% MQL em Vaga</t>
  </si>
  <si>
    <t>Qtd de vagas vendidas dividido pelo Qtd de MQLs fechados</t>
  </si>
  <si>
    <t>% MQL em Won</t>
  </si>
  <si>
    <t>Qtd de Won dividido pelo Qtd de MQLs fechados</t>
  </si>
  <si>
    <t>% MQL em Won (Closed)</t>
  </si>
  <si>
    <t>Qtd de deals won dividido pelo Qtd de MQLs gerados</t>
  </si>
  <si>
    <t>% Negociação em Won</t>
  </si>
  <si>
    <t>Qtd de deals won dividido pelo Qtd de leads que entraram em negociação</t>
  </si>
  <si>
    <t>% Opp em Negociação</t>
  </si>
  <si>
    <t>Qtd de leads que entraram em negociação dividido pelo Qtd de Opp</t>
  </si>
  <si>
    <t>% Opp em Vaga</t>
  </si>
  <si>
    <t>Qtd de vagas vendidas dividido por oportunindade</t>
  </si>
  <si>
    <t>% SAL em Conectado</t>
  </si>
  <si>
    <t>Qtd de leads conectados dividido pela Qtd de sals gerados</t>
  </si>
  <si>
    <t>% SAL em Opp</t>
  </si>
  <si>
    <t>Qtd de oportunidades dividido pelo Qtd de SALs</t>
  </si>
  <si>
    <t>% SAL em Vaga</t>
  </si>
  <si>
    <t>Qtd de vagas vendidas dividido pelo Qtd de SAL</t>
  </si>
  <si>
    <t>% SAL em Won</t>
  </si>
  <si>
    <t>Qtd de SAL dividido pelo Qtd de deals won</t>
  </si>
  <si>
    <t>BRL Club Receita</t>
  </si>
  <si>
    <t>BRL Corp Receita</t>
  </si>
  <si>
    <t>BRL Creditos Receita</t>
  </si>
  <si>
    <t>BRL Online Receita</t>
  </si>
  <si>
    <t>BRL Parcerias Patrocinios Receita</t>
  </si>
  <si>
    <t>BRL PP Receita</t>
  </si>
  <si>
    <t>BRL Receita</t>
  </si>
  <si>
    <t>BRL Receita Face</t>
  </si>
  <si>
    <t>BRL Receita por MQL</t>
  </si>
  <si>
    <t>Receita total dividida por MQL</t>
  </si>
  <si>
    <t>BRL Receita por Opp</t>
  </si>
  <si>
    <t>Receita total dividida por quantidade de oportunidades</t>
  </si>
  <si>
    <t>BRL Receita por SAL</t>
  </si>
  <si>
    <t>Receita total dividida por SAL</t>
  </si>
  <si>
    <t>BRL Scale Receita</t>
  </si>
  <si>
    <t>BRL Skills Receita</t>
  </si>
  <si>
    <t>BRL Sprints Receita</t>
  </si>
  <si>
    <t>BRL Ticket Face</t>
  </si>
  <si>
    <t>BRL Ticket Medio (Itens)</t>
  </si>
  <si>
    <t>Total de receita dividido pelo número itens</t>
  </si>
  <si>
    <t>BRL Ticket Medio (Won)</t>
  </si>
  <si>
    <t>Total de receita dividido pelo número de won</t>
  </si>
  <si>
    <t>Métricas - Metas</t>
  </si>
  <si>
    <t># Meta MQL </t>
  </si>
  <si>
    <t># Meta Opp </t>
  </si>
  <si>
    <t># Meta SAL </t>
  </si>
  <si>
    <t># Meta Vagas </t>
  </si>
  <si>
    <t># Meta Won </t>
  </si>
  <si>
    <t>BRL Meta Receita </t>
  </si>
  <si>
    <t>Δt</t>
  </si>
  <si>
    <t>Δt Agendado em Oportunidade</t>
  </si>
  <si>
    <t>Dias entre Agendado e Oportunidade</t>
  </si>
  <si>
    <t>Δt Conectado em Agendado</t>
  </si>
  <si>
    <t>Dias entre Conectado e Agendado</t>
  </si>
  <si>
    <t>Δt MQL em Ganho</t>
  </si>
  <si>
    <t>Dias entre MQL e Ganho</t>
  </si>
  <si>
    <t>Δt MQL em Oportunidade</t>
  </si>
  <si>
    <t>Dias entre MQL e Oportunidade</t>
  </si>
  <si>
    <t>Δt MQL em SAL</t>
  </si>
  <si>
    <t>Dias entre MQL e SAL</t>
  </si>
  <si>
    <t>Δt Negociação em Ganho</t>
  </si>
  <si>
    <t>Dias entre Negociação e Ganho</t>
  </si>
  <si>
    <t>Δt Oportunidade em Ganho</t>
  </si>
  <si>
    <t>Dias entre Oportunidade e Ganho</t>
  </si>
  <si>
    <t>Δt Oportunidade em Negociação</t>
  </si>
  <si>
    <t>Dias entre Oportunidade e Negociação</t>
  </si>
  <si>
    <t>Δt SAL em Conectado</t>
  </si>
  <si>
    <t>Dias entre SAL e Conectado</t>
  </si>
  <si>
    <t>Δt SAL em Ganho</t>
  </si>
  <si>
    <t>Dias entre SAL e Ganho</t>
  </si>
  <si>
    <t>Δt SAL em Oportunidade</t>
  </si>
  <si>
    <t>Dias entre SAL e Oportunidade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</si>
</sst>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#;-#,###;&quot;&quot;;@"/>
    <numFmt numFmtId="165" formatCode="0.0%"/>
    <numFmt numFmtId="166" formatCode="0.0pp"/>
    <numFmt numFmtId="167" formatCode="0.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color theme="1"/>
      <name val="Montserrat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0F145C"/>
        <bgColor rgb="FF0F145C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6">
    <border/>
    <border>
      <left style="medium">
        <color rgb="FF999999"/>
      </left>
    </border>
    <border>
      <right style="medium">
        <color rgb="FFB7B7B7"/>
      </right>
    </border>
    <border>
      <right style="thin">
        <color rgb="FFB7B7B7"/>
      </right>
    </border>
    <border>
      <right style="medium">
        <color rgb="FF999999"/>
      </right>
    </border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165" xfId="0" applyFont="1" applyNumberFormat="1"/>
    <xf borderId="0" fillId="0" fontId="1" numFmtId="164" xfId="0" applyFont="1" applyNumberFormat="1"/>
    <xf borderId="0" fillId="0" fontId="1" numFmtId="4" xfId="0" applyAlignment="1" applyFont="1" applyNumberFormat="1">
      <alignment horizontal="center"/>
    </xf>
    <xf borderId="0" fillId="0" fontId="1" numFmtId="4" xfId="0" applyAlignment="1" applyFont="1" applyNumberFormat="1">
      <alignment horizontal="center" readingOrder="0"/>
    </xf>
    <xf borderId="0" fillId="0" fontId="1" numFmtId="2" xfId="0" applyFont="1" applyNumberFormat="1"/>
    <xf borderId="0" fillId="2" fontId="2" numFmtId="0" xfId="0" applyAlignment="1" applyFill="1" applyFont="1">
      <alignment horizontal="center" readingOrder="0"/>
    </xf>
    <xf borderId="0" fillId="2" fontId="2" numFmtId="165" xfId="0" applyAlignment="1" applyFont="1" applyNumberFormat="1">
      <alignment horizontal="center" readingOrder="0"/>
    </xf>
    <xf borderId="0" fillId="2" fontId="2" numFmtId="167" xfId="0" applyAlignment="1" applyFont="1" applyNumberFormat="1">
      <alignment horizontal="center" readingOrder="0"/>
    </xf>
    <xf borderId="1" fillId="0" fontId="3" numFmtId="164" xfId="0" applyAlignment="1" applyBorder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3" fontId="3" numFmtId="164" xfId="0" applyAlignment="1" applyFill="1" applyFont="1" applyNumberFormat="1">
      <alignment horizontal="center" vertical="bottom"/>
    </xf>
    <xf borderId="0" fillId="4" fontId="3" numFmtId="165" xfId="0" applyAlignment="1" applyFill="1" applyFont="1" applyNumberFormat="1">
      <alignment horizontal="center" vertical="bottom"/>
    </xf>
    <xf borderId="0" fillId="0" fontId="3" numFmtId="165" xfId="0" applyAlignment="1" applyFont="1" applyNumberFormat="1">
      <alignment horizontal="center" vertical="bottom"/>
    </xf>
    <xf borderId="2" fillId="4" fontId="3" numFmtId="166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vertical="bottom"/>
    </xf>
    <xf borderId="2" fillId="3" fontId="3" numFmtId="166" xfId="0" applyAlignment="1" applyBorder="1" applyFont="1" applyNumberFormat="1">
      <alignment horizontal="center"/>
    </xf>
    <xf borderId="3" fillId="3" fontId="3" numFmtId="165" xfId="0" applyAlignment="1" applyBorder="1" applyFont="1" applyNumberFormat="1">
      <alignment horizontal="center" vertical="bottom"/>
    </xf>
    <xf borderId="0" fillId="3" fontId="3" numFmtId="165" xfId="0" applyAlignment="1" applyFont="1" applyNumberFormat="1">
      <alignment horizontal="center" vertical="bottom"/>
    </xf>
    <xf borderId="4" fillId="3" fontId="3" numFmtId="165" xfId="0" applyAlignment="1" applyBorder="1" applyFont="1" applyNumberFormat="1">
      <alignment horizontal="center" vertical="bottom"/>
    </xf>
    <xf borderId="0" fillId="0" fontId="3" numFmtId="4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" numFmtId="167" xfId="0" applyAlignment="1" applyFont="1" applyNumberFormat="1">
      <alignment horizontal="center"/>
    </xf>
    <xf borderId="0" fillId="0" fontId="1" numFmtId="3" xfId="0" applyFont="1" applyNumberFormat="1"/>
    <xf borderId="0" fillId="0" fontId="1" numFmtId="166" xfId="0" applyFont="1" applyNumberFormat="1"/>
    <xf borderId="0" fillId="0" fontId="1" numFmtId="4" xfId="0" applyFont="1" applyNumberFormat="1"/>
    <xf borderId="0" fillId="5" fontId="4" numFmtId="0" xfId="0" applyAlignment="1" applyFill="1" applyFont="1">
      <alignment horizontal="left" readingOrder="0" shrinkToFit="0" vertical="center" wrapText="0"/>
    </xf>
    <xf borderId="5" fillId="6" fontId="5" numFmtId="0" xfId="0" applyAlignment="1" applyBorder="1" applyFill="1" applyFont="1">
      <alignment horizontal="left" readingOrder="0" shrinkToFit="0" vertical="center" wrapText="0"/>
    </xf>
    <xf borderId="0" fillId="5" fontId="6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2">
    <dxf>
      <font/>
      <fill>
        <patternFill patternType="solid">
          <fgColor rgb="FFFFC7CE"/>
          <bgColor rgb="FFFFC7CE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4.63"/>
    <col customWidth="1" min="3" max="3" width="13.38"/>
    <col customWidth="1" min="4" max="4" width="11.0"/>
    <col customWidth="1" min="5" max="5" width="25.25"/>
    <col customWidth="1" min="6" max="6" width="19.75"/>
    <col customWidth="1" min="7" max="8" width="19.38"/>
    <col customWidth="1" min="10" max="10" width="27.75"/>
    <col customWidth="1" min="11" max="11" width="17.75"/>
    <col customWidth="1" min="12" max="12" width="26.5"/>
    <col customWidth="1" min="13" max="13" width="25.38"/>
    <col customWidth="1" min="14" max="14" width="20.38"/>
    <col customWidth="1" min="15" max="16" width="19.25"/>
    <col customWidth="1" min="27" max="27" width="24.0"/>
    <col customWidth="1" min="29" max="30" width="24.63"/>
    <col customWidth="1" min="31" max="44" width="23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>
      <c r="A2" s="3">
        <f>IFERROR(__xludf.DUMMYFUNCTION("IMPORTRANGE(""https://docs.google.com/spreadsheets/d/1D6uzcbxSwPrh4oDMzqUQcTT-8H5GNx5DfmYrtr-kz2w/edit?gid=412162225#gid=412162225"",""Visão Geral - Metas Comercial!AE4:AF4"")"),7900099.20115485)</f>
        <v>7900099.201</v>
      </c>
      <c r="B2" s="3">
        <f>IFERROR(__xludf.DUMMYFUNCTION("""COMPUTED_VALUE"""),5486718.548217773)</f>
        <v>5486718.548</v>
      </c>
      <c r="C2" s="3">
        <f>B2-A2</f>
        <v>-2413380.653</v>
      </c>
      <c r="D2" s="4"/>
      <c r="E2" s="4"/>
      <c r="F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Comercial!E6:E52"")},
IMPORTRANGE(""https://docs.google.com/spreadsheets/d/1D6uzcbxSwPrh4oDMzqUQcTT-8H5GNx5DfmYrtr-kz2w/edit?gid=412162225#gid=412162225"", ""Visão"&amp;" Geral - Metas Comercial!E6:E52"")&lt;0), 2, 1)
"),"[ON] Outros")</f>
        <v>[ON] Outros</v>
      </c>
      <c r="G2" s="5">
        <f>IFERROR(__xludf.DUMMYFUNCTION("""COMPUTED_VALUE"""),-0.852431145868752)</f>
        <v>-0.8524311459</v>
      </c>
      <c r="H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Comercial!L6:L52"")},
IMPORTRANGE(""https://docs.google.com/spreadsheets/d/1D6uzcbxSwPrh4oDMzqUQcTT-8H5GNx5DfmYrtr-kz2w/edit?gid=412162225#gid=412162225"", ""Visão"&amp;" Geral - Metas Comercial!L6:L52"")&lt;0), 2, 1)
"),"[IM] Outros")</f>
        <v>[IM] Outros</v>
      </c>
      <c r="I2" s="5">
        <f>IFERROR(__xludf.DUMMYFUNCTION("""COMPUTED_VALUE"""),-0.8729247796679647)</f>
        <v>-0.8729247797</v>
      </c>
      <c r="J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Comercial!o6:o52"")},
IMPORTRANGE(""https://docs.google.com/spreadsheets/d/1D6uzcbxSwPrh4oDMzqUQcTT-8H5GNx5DfmYrtr-kz2w/edit?gid=412162225#gid=412162225"", ""Visão"&amp;" Geral - Metas Comercial!o6:o52"")&lt;0), 2, 1)
"),"[ON] Outros")</f>
        <v>[ON] Outros</v>
      </c>
      <c r="K2" s="6">
        <f>IFERROR(__xludf.DUMMYFUNCTION("""COMPUTED_VALUE"""),-13.348968105065667)</f>
        <v>-13.34896811</v>
      </c>
      <c r="L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Comercial!v6:v52"")},
IMPORTRANGE(""https://docs.google.com/spreadsheets/d/1D6uzcbxSwPrh4oDMzqUQcTT-8H5GNx5DfmYrtr-kz2w/edit?gid=412162225#gid=412162225"", ""Visão"&amp;" Geral - Metas Comercial!v6:v52"")&lt;0), 2, 1)
"),"Indicação - Outros")</f>
        <v>Indicação - Outros</v>
      </c>
      <c r="M2" s="6">
        <f>IFERROR(__xludf.DUMMYFUNCTION("""COMPUTED_VALUE"""),-63.63636363636365)</f>
        <v>-63.63636364</v>
      </c>
      <c r="N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Comercial!AD6:AD52""),
IMPORTRANGE(""https://docs.google.com/spreadsheets/d/1D6uzcbxSwPrh4oDMzqUQcTT-8H5GNx5DfmYrtr-kz2w/edit?gid=412162225#gid=412162225"", ""Visã"&amp;"o Geral - Metas Comercial!AC6:AC52"")},
IMPORTRANGE(""https://docs.google.com/spreadsheets/d/1D6uzcbxSwPrh4oDMzqUQcTT-8H5GNx5DfmYrtr-kz2w/edit?gid=412162225#gid=412162225"", ""Visão Geral - Metas Comercial!AD6:AD52"")&lt;0), 2, 1)
"),"[CM] Form G4 - Instagram")</f>
        <v>[CM] Form G4 - Instagram</v>
      </c>
      <c r="O2" s="5">
        <f>IFERROR(__xludf.DUMMYFUNCTION("""COMPUTED_VALUE"""),-1.0)</f>
        <v>-1</v>
      </c>
      <c r="P2" s="3">
        <f>IFERROR(__xludf.DUMMYFUNCTION("""COMPUTED_VALUE"""),-40743.0)</f>
        <v>-40743</v>
      </c>
      <c r="Q2" s="7">
        <f>IFERROR(__xludf.DUMMYFUNCTION("COUNTIFS(IMPORTRANGE(""https://docs.google.com/spreadsheets/d/1D6uzcbxSwPrh4oDMzqUQcTT-8H5GNx5DfmYrtr-kz2w/edit?gid=1545758834#gid=1545758834"",""Metas Pré-Vendas!I7:I56""),""OK"")/
COUNTIFS(IMPORTRANGE(""https://docs.google.com/spreadsheets/d/1D6uzcbxSwP"&amp;"rh4oDMzqUQcTT-8H5GNx5DfmYrtr-kz2w/edit?gid=1545758834#gid=1545758834"", ""Metas Pré-Vendas!I7:I56""), ""&lt;&gt;"")
"),0.5531914893617021)</f>
        <v>0.5531914894</v>
      </c>
      <c r="R2" s="7">
        <f>IFERROR(__xludf.DUMMYFUNCTION("COUNTIFS(IMPORTRANGE(""https://docs.google.com/spreadsheets/d/1D6uzcbxSwPrh4oDMzqUQcTT-8H5GNx5DfmYrtr-kz2w/edit?gid=1545758834#gid=1545758834"",""Metas Vendas!I7:I46""),""OK"")/
COUNTIFS(IMPORTRANGE(""https://docs.google.com/spreadsheets/d/1D6uzcbxSwPrh4o"&amp;"DMzqUQcTT-8H5GNx5DfmYrtr-kz2w/edit?gid=1545758834#gid=1545758834"", ""Metas Vendas!I7:I46""), ""&lt;&gt;"")
"),0.2631578947368421)</f>
        <v>0.2631578947</v>
      </c>
      <c r="S2" s="8">
        <f t="array" ref="S2:Z2">TRANSPOSE(Vagas!C2:C9)</f>
        <v>88</v>
      </c>
      <c r="T2" s="8">
        <v>26.0</v>
      </c>
      <c r="U2" s="8">
        <v>147.0</v>
      </c>
      <c r="V2" s="8">
        <v>80.0</v>
      </c>
      <c r="W2" s="8">
        <v>9.0</v>
      </c>
      <c r="X2" s="8">
        <v>1.0</v>
      </c>
      <c r="Y2" s="8">
        <v>47.0</v>
      </c>
      <c r="Z2" s="8">
        <v>9.0</v>
      </c>
      <c r="AA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 },
IMPORTRANGE(""https://docs.google."&amp;"com/spreadsheets/d/1D6uzcbxSwPrh4oDMzqUQcTT-8H5GNx5DfmYrtr-kz2w/edit?gid=412162225#gid=412162225"", ""Visão Geral - Metas Comercial!AV6:AV52"")&lt;-0.05), 2, 1)
"),"[IM] Form G4 Facebook Ads - K")</f>
        <v>[IM] Form G4 Facebook Ads - K</v>
      </c>
      <c r="AB2" s="5">
        <f>IFERROR(__xludf.DUMMYFUNCTION("""COMPUTED_VALUE"""),-0.8087458708144946)</f>
        <v>-0.8087458708</v>
      </c>
      <c r="AC2" s="3">
        <f>IFERROR(__xludf.DUMMYFUNCTION("""COMPUTED_VALUE"""),-1930.1960072595277)</f>
        <v>-1930.196007</v>
      </c>
      <c r="AD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Comercial!AT6:AT52"")},
IMPORTRANGE(""https://docs.google.c"&amp;"om/spreadsheets/d/1D6uzcbxSwPrh4oDMzqUQcTT-8H5GNx5DfmYrtr-kz2w/edit?gid=412162225#gid=412162225"", ""Visão Geral - Metas Comercial!AV6:AV52"")&gt;0.05,
IMPORTRANGE(""https://docs.google.com/spreadsheets/d/1D6uzcbxSwPrh4oDMzqUQcTT-8H5GNx5DfmYrtr-kz2w/edit?gid"&amp;"=412162225#gid=412162225"", ""Visão Geral - Metas Comercial!AV6:AV52"")&lt;&gt;"""",
IMPORTRANGE(""https://docs.google.com/spreadsheets/d/1D6uzcbxSwPrh4oDMzqUQcTT-8H5GNx5DfmYrtr-kz2w/edit?gid=412162225#gid=412162225"", ""Visão Geral - Metas Comercial!AV6:AV52"""&amp;")&lt;&gt;""vs Meta""), 2, 0)
"),"[CM] Form G4 - Outros")</f>
        <v>[CM] Form G4 - Outros</v>
      </c>
      <c r="AE2" s="5">
        <f>IFERROR(__xludf.DUMMYFUNCTION("""COMPUTED_VALUE"""),6.037677589297183)</f>
        <v>6.037677589</v>
      </c>
      <c r="AF2" s="3">
        <f>IFERROR(__xludf.DUMMYFUNCTION("""COMPUTED_VALUE"""),32234.464285714286)</f>
        <v>32234.46429</v>
      </c>
      <c r="AG2" s="4">
        <f>IFERROR(__xludf.DUMMYFUNCTION("IMPORTRANGE(""https://docs.google.com/spreadsheets/d/1D6uzcbxSwPrh4oDMzqUQcTT-8H5GNx5DfmYrtr-kz2w/edit?gid=412162225#gid=412162225"",""Visão Geral - Metas Comercial!AE4"")/IMPORTRANGE(""https://docs.google.com/spreadsheets/d/1D6uzcbxSwPrh4oDMzqUQcTT-8H5GN"&amp;"x5DfmYrtr-kz2w/edit?gid=412162225#gid=412162225"",""Visão Geral - Metas Comercial!AE2"")"),2.680260656775241E7)</f>
        <v>26802606.57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>
      <c r="F3" s="4" t="str">
        <f>IFERROR(__xludf.DUMMYFUNCTION("""COMPUTED_VALUE"""),"[IM] Outros")</f>
        <v>[IM] Outros</v>
      </c>
      <c r="G3" s="5">
        <f>IFERROR(__xludf.DUMMYFUNCTION("""COMPUTED_VALUE"""),-0.8227862573600868)</f>
        <v>-0.8227862574</v>
      </c>
      <c r="H3" s="4" t="str">
        <f>IFERROR(__xludf.DUMMYFUNCTION("""COMPUTED_VALUE"""),"Indicação - Outros")</f>
        <v>Indicação - Outros</v>
      </c>
      <c r="I3" s="5">
        <f>IFERROR(__xludf.DUMMYFUNCTION("""COMPUTED_VALUE"""),-0.7384495967061522)</f>
        <v>-0.7384495967</v>
      </c>
      <c r="J3" s="4" t="str">
        <f>IFERROR(__xludf.DUMMYFUNCTION("""COMPUTED_VALUE"""),"Form G4 Outros - Não Orgânico")</f>
        <v>Form G4 Outros - Não Orgânico</v>
      </c>
      <c r="K3" s="6">
        <f>IFERROR(__xludf.DUMMYFUNCTION("""COMPUTED_VALUE"""),-8.02675585284281)</f>
        <v>-8.026755853</v>
      </c>
      <c r="L3" s="4" t="str">
        <f>IFERROR(__xludf.DUMMYFUNCTION("""COMPUTED_VALUE"""),"[IM] Outros")</f>
        <v>[IM] Outros</v>
      </c>
      <c r="M3" s="6">
        <f>IFERROR(__xludf.DUMMYFUNCTION("""COMPUTED_VALUE"""),-22.969187675070025)</f>
        <v>-22.96918768</v>
      </c>
      <c r="N3" s="4" t="str">
        <f>IFERROR(__xludf.DUMMYFUNCTION("""COMPUTED_VALUE"""),"Indicação - Outros")</f>
        <v>Indicação - Outros</v>
      </c>
      <c r="O3" s="5">
        <f>IFERROR(__xludf.DUMMYFUNCTION("""COMPUTED_VALUE"""),-1.0)</f>
        <v>-1</v>
      </c>
      <c r="P3" s="3">
        <f>IFERROR(__xludf.DUMMYFUNCTION("""COMPUTED_VALUE"""),-27596.0)</f>
        <v>-27596</v>
      </c>
      <c r="T3" s="4"/>
      <c r="AA3" s="4" t="str">
        <f>IFERROR(__xludf.DUMMYFUNCTION("""COMPUTED_VALUE"""),"[IM] Outros")</f>
        <v>[IM] Outros</v>
      </c>
      <c r="AB3" s="5">
        <f>IFERROR(__xludf.DUMMYFUNCTION("""COMPUTED_VALUE"""),-0.740683110443461)</f>
        <v>-0.7406831104</v>
      </c>
      <c r="AC3" s="3">
        <f>IFERROR(__xludf.DUMMYFUNCTION("""COMPUTED_VALUE"""),-5727.907563025209)</f>
        <v>-5727.907563</v>
      </c>
      <c r="AD3" s="4" t="str">
        <f>IFERROR(__xludf.DUMMYFUNCTION("""COMPUTED_VALUE"""),"[IM] Link de Indicação")</f>
        <v>[IM] Link de Indicação</v>
      </c>
      <c r="AE3" s="5">
        <f>IFERROR(__xludf.DUMMYFUNCTION("""COMPUTED_VALUE"""),1.1636787533979538)</f>
        <v>1.163678753</v>
      </c>
      <c r="AF3" s="3">
        <f>IFERROR(__xludf.DUMMYFUNCTION("""COMPUTED_VALUE"""),3056.982)</f>
        <v>3056.982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>
      <c r="F4" s="4" t="str">
        <f>IFERROR(__xludf.DUMMYFUNCTION("""COMPUTED_VALUE"""),"[SKL] Outros")</f>
        <v>[SKL] Outros</v>
      </c>
      <c r="G4" s="5">
        <f>IFERROR(__xludf.DUMMYFUNCTION("""COMPUTED_VALUE"""),-0.7565584431519791)</f>
        <v>-0.7565584432</v>
      </c>
      <c r="H4" s="4" t="str">
        <f>IFERROR(__xludf.DUMMYFUNCTION("""COMPUTED_VALUE"""),"[SKL] Outros")</f>
        <v>[SKL] Outros</v>
      </c>
      <c r="I4" s="5">
        <f>IFERROR(__xludf.DUMMYFUNCTION("""COMPUTED_VALUE"""),-0.7364651475157589)</f>
        <v>-0.7364651475</v>
      </c>
      <c r="J4" s="4" t="str">
        <f>IFERROR(__xludf.DUMMYFUNCTION("""COMPUTED_VALUE"""),"[CM] Form G4 - Instagram")</f>
        <v>[CM] Form G4 - Instagram</v>
      </c>
      <c r="K4" s="6">
        <f>IFERROR(__xludf.DUMMYFUNCTION("""COMPUTED_VALUE"""),-7.600000000000001)</f>
        <v>-7.6</v>
      </c>
      <c r="L4" s="4" t="str">
        <f>IFERROR(__xludf.DUMMYFUNCTION("""COMPUTED_VALUE"""),"[ON] Chat")</f>
        <v>[ON] Chat</v>
      </c>
      <c r="M4" s="6">
        <f>IFERROR(__xludf.DUMMYFUNCTION("""COMPUTED_VALUE"""),-22.599999999999998)</f>
        <v>-22.6</v>
      </c>
      <c r="N4" s="4" t="str">
        <f>IFERROR(__xludf.DUMMYFUNCTION("""COMPUTED_VALUE"""),"[ON] Time de vendas")</f>
        <v>[ON] Time de vendas</v>
      </c>
      <c r="O4" s="5">
        <f>IFERROR(__xludf.DUMMYFUNCTION("""COMPUTED_VALUE"""),-0.8386803403442227)</f>
        <v>-0.8386803403</v>
      </c>
      <c r="P4" s="3">
        <f>IFERROR(__xludf.DUMMYFUNCTION("""COMPUTED_VALUE"""),-20779.89333419602)</f>
        <v>-20779.89333</v>
      </c>
      <c r="S4" s="4"/>
      <c r="T4" s="4"/>
      <c r="AA4" s="4" t="str">
        <f>IFERROR(__xludf.DUMMYFUNCTION("""COMPUTED_VALUE"""),"Form G4 Instagram Tallis")</f>
        <v>Form G4 Instagram Tallis</v>
      </c>
      <c r="AB4" s="5">
        <f>IFERROR(__xludf.DUMMYFUNCTION("""COMPUTED_VALUE"""),-0.7081843777522858)</f>
        <v>-0.7081843778</v>
      </c>
      <c r="AC4" s="3">
        <f>IFERROR(__xludf.DUMMYFUNCTION("""COMPUTED_VALUE"""),-4019.293548387097)</f>
        <v>-4019.293548</v>
      </c>
      <c r="AD4" s="4" t="str">
        <f>IFERROR(__xludf.DUMMYFUNCTION("""COMPUTED_VALUE"""),"Aplicativo G4 - Indicação")</f>
        <v>Aplicativo G4 - Indicação</v>
      </c>
      <c r="AE4" s="5">
        <f>IFERROR(__xludf.DUMMYFUNCTION("""COMPUTED_VALUE"""),1.081751050026079)</f>
        <v>1.08175105</v>
      </c>
      <c r="AF4" s="3">
        <f>IFERROR(__xludf.DUMMYFUNCTION("""COMPUTED_VALUE"""),2642.3076923076924)</f>
        <v>2642.307692</v>
      </c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>
      <c r="F5" s="4" t="str">
        <f>IFERROR(__xludf.DUMMYFUNCTION("""COMPUTED_VALUE"""),"[SKL] CRM - Email")</f>
        <v>[SKL] CRM - Email</v>
      </c>
      <c r="G5" s="5">
        <f>IFERROR(__xludf.DUMMYFUNCTION("""COMPUTED_VALUE"""),-0.6890827942430168)</f>
        <v>-0.6890827942</v>
      </c>
      <c r="H5" s="4" t="str">
        <f>IFERROR(__xludf.DUMMYFUNCTION("""COMPUTED_VALUE"""),"[SKL] CRM - Email")</f>
        <v>[SKL] CRM - Email</v>
      </c>
      <c r="I5" s="5">
        <f>IFERROR(__xludf.DUMMYFUNCTION("""COMPUTED_VALUE"""),-0.6997098471741636)</f>
        <v>-0.6997098472</v>
      </c>
      <c r="J5" s="4" t="str">
        <f>IFERROR(__xludf.DUMMYFUNCTION("""COMPUTED_VALUE"""),"[IM] Form Facebook Ads")</f>
        <v>[IM] Form Facebook Ads</v>
      </c>
      <c r="K5" s="6">
        <f>IFERROR(__xludf.DUMMYFUNCTION("""COMPUTED_VALUE"""),-6.674418604651167)</f>
        <v>-6.674418605</v>
      </c>
      <c r="L5" s="4" t="str">
        <f>IFERROR(__xludf.DUMMYFUNCTION("""COMPUTED_VALUE"""),"[ON] Outros")</f>
        <v>[ON] Outros</v>
      </c>
      <c r="M5" s="6">
        <f>IFERROR(__xludf.DUMMYFUNCTION("""COMPUTED_VALUE"""),-20.91942148760331)</f>
        <v>-20.91942149</v>
      </c>
      <c r="N5" s="4" t="str">
        <f>IFERROR(__xludf.DUMMYFUNCTION("""COMPUTED_VALUE"""),"[IM] Form G4 Facebook Ads - K")</f>
        <v>[IM] Form G4 Facebook Ads - K</v>
      </c>
      <c r="O5" s="5">
        <f>IFERROR(__xludf.DUMMYFUNCTION("""COMPUTED_VALUE"""),-0.7747483903958348)</f>
        <v>-0.7747483904</v>
      </c>
      <c r="P5" s="3">
        <f>IFERROR(__xludf.DUMMYFUNCTION("""COMPUTED_VALUE"""),-11110.666666666666)</f>
        <v>-11110.66667</v>
      </c>
      <c r="S5" s="4"/>
      <c r="T5" s="4"/>
      <c r="AA5" s="4" t="str">
        <f>IFERROR(__xludf.DUMMYFUNCTION("""COMPUTED_VALUE"""),"[SKL] Midia Paga - Quente")</f>
        <v>[SKL] Midia Paga - Quente</v>
      </c>
      <c r="AB5" s="5">
        <f>IFERROR(__xludf.DUMMYFUNCTION("""COMPUTED_VALUE"""),-0.6963935956615251)</f>
        <v>-0.6963935957</v>
      </c>
      <c r="AC5" s="3">
        <f>IFERROR(__xludf.DUMMYFUNCTION("""COMPUTED_VALUE"""),-2516.32962962963)</f>
        <v>-2516.32963</v>
      </c>
      <c r="AD5" s="4" t="str">
        <f>IFERROR(__xludf.DUMMYFUNCTION("""COMPUTED_VALUE"""),"[IM] Chat")</f>
        <v>[IM] Chat</v>
      </c>
      <c r="AE5" s="5">
        <f>IFERROR(__xludf.DUMMYFUNCTION("""COMPUTED_VALUE"""),1.059733431253287)</f>
        <v>1.059733431</v>
      </c>
      <c r="AF5" s="3">
        <f>IFERROR(__xludf.DUMMYFUNCTION("""COMPUTED_VALUE"""),2826.6350814295683)</f>
        <v>2826.635081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>
      <c r="F6" s="4" t="str">
        <f>IFERROR(__xludf.DUMMYFUNCTION("""COMPUTED_VALUE"""),"[SKL] Social")</f>
        <v>[SKL] Social</v>
      </c>
      <c r="G6" s="5">
        <f>IFERROR(__xludf.DUMMYFUNCTION("""COMPUTED_VALUE"""),-0.6808823529411764)</f>
        <v>-0.6808823529</v>
      </c>
      <c r="H6" s="4" t="str">
        <f>IFERROR(__xludf.DUMMYFUNCTION("""COMPUTED_VALUE"""),"Aplicativo G4 - Indicação")</f>
        <v>Aplicativo G4 - Indicação</v>
      </c>
      <c r="I6" s="5">
        <f>IFERROR(__xludf.DUMMYFUNCTION("""COMPUTED_VALUE"""),-0.6748164286290647)</f>
        <v>-0.6748164286</v>
      </c>
      <c r="J6" s="4" t="str">
        <f>IFERROR(__xludf.DUMMYFUNCTION("""COMPUTED_VALUE"""),"[ON] Abandono de carrinho")</f>
        <v>[ON] Abandono de carrinho</v>
      </c>
      <c r="K6" s="6">
        <f>IFERROR(__xludf.DUMMYFUNCTION("""COMPUTED_VALUE"""),-5.915384615384614)</f>
        <v>-5.915384615</v>
      </c>
      <c r="L6" s="4" t="str">
        <f>IFERROR(__xludf.DUMMYFUNCTION("""COMPUTED_VALUE"""),"[CM] Form G4 - Instagram")</f>
        <v>[CM] Form G4 - Instagram</v>
      </c>
      <c r="M6" s="6">
        <f>IFERROR(__xludf.DUMMYFUNCTION("""COMPUTED_VALUE"""),-17.85714285714286)</f>
        <v>-17.85714286</v>
      </c>
      <c r="N6" s="4" t="str">
        <f>IFERROR(__xludf.DUMMYFUNCTION("""COMPUTED_VALUE"""),"[SKL] Social")</f>
        <v>[SKL] Social</v>
      </c>
      <c r="O6" s="5">
        <f>IFERROR(__xludf.DUMMYFUNCTION("""COMPUTED_VALUE"""),-0.7324411764705883)</f>
        <v>-0.7324411765</v>
      </c>
      <c r="P6" s="3">
        <f>IFERROR(__xludf.DUMMYFUNCTION("""COMPUTED_VALUE"""),-12451.5)</f>
        <v>-12451.5</v>
      </c>
      <c r="Q6" s="7"/>
      <c r="S6" s="4"/>
      <c r="T6" s="4"/>
      <c r="AA6" s="4" t="str">
        <f>IFERROR(__xludf.DUMMYFUNCTION("""COMPUTED_VALUE"""),"[SKL] CRM - WhatsApp")</f>
        <v>[SKL] CRM - WhatsApp</v>
      </c>
      <c r="AB6" s="5">
        <f>IFERROR(__xludf.DUMMYFUNCTION("""COMPUTED_VALUE"""),-0.6740939875526439)</f>
        <v>-0.6740939876</v>
      </c>
      <c r="AC6" s="3">
        <f>IFERROR(__xludf.DUMMYFUNCTION("""COMPUTED_VALUE"""),-1579.8052373158755)</f>
        <v>-1579.805237</v>
      </c>
      <c r="AD6" s="4" t="str">
        <f>IFERROR(__xludf.DUMMYFUNCTION("""COMPUTED_VALUE"""),"Form G4 - K Outros")</f>
        <v>Form G4 - K Outros</v>
      </c>
      <c r="AE6" s="5">
        <f>IFERROR(__xludf.DUMMYFUNCTION("""COMPUTED_VALUE"""),0.613766281832389)</f>
        <v>0.6137662818</v>
      </c>
      <c r="AF6" s="3">
        <f>IFERROR(__xludf.DUMMYFUNCTION("""COMPUTED_VALUE"""),392.17428571428604)</f>
        <v>392.1742857</v>
      </c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>
      <c r="F7" s="4" t="str">
        <f>IFERROR(__xludf.DUMMYFUNCTION("""COMPUTED_VALUE"""),"Indicação - Outros")</f>
        <v>Indicação - Outros</v>
      </c>
      <c r="G7" s="5">
        <f>IFERROR(__xludf.DUMMYFUNCTION("""COMPUTED_VALUE"""),-0.5605953224663357)</f>
        <v>-0.5605953225</v>
      </c>
      <c r="H7" s="4" t="str">
        <f>IFERROR(__xludf.DUMMYFUNCTION("""COMPUTED_VALUE"""),"[SKL] Social")</f>
        <v>[SKL] Social</v>
      </c>
      <c r="I7" s="5">
        <f>IFERROR(__xludf.DUMMYFUNCTION("""COMPUTED_VALUE"""),-0.6627344484119525)</f>
        <v>-0.6627344484</v>
      </c>
      <c r="J7" s="4" t="str">
        <f>IFERROR(__xludf.DUMMYFUNCTION("""COMPUTED_VALUE"""),"[SKL] CRM - WhatsApp")</f>
        <v>[SKL] CRM - WhatsApp</v>
      </c>
      <c r="K7" s="6">
        <f>IFERROR(__xludf.DUMMYFUNCTION("""COMPUTED_VALUE"""),-5.77821625887924)</f>
        <v>-5.778216259</v>
      </c>
      <c r="L7" s="4" t="str">
        <f>IFERROR(__xludf.DUMMYFUNCTION("""COMPUTED_VALUE"""),"Form G4 Instagram Tallis")</f>
        <v>Form G4 Instagram Tallis</v>
      </c>
      <c r="M7" s="6">
        <f>IFERROR(__xludf.DUMMYFUNCTION("""COMPUTED_VALUE"""),-13.225806451612904)</f>
        <v>-13.22580645</v>
      </c>
      <c r="N7" s="4" t="str">
        <f>IFERROR(__xludf.DUMMYFUNCTION("""COMPUTED_VALUE"""),"[IM] Outros")</f>
        <v>[IM] Outros</v>
      </c>
      <c r="O7" s="5">
        <f>IFERROR(__xludf.DUMMYFUNCTION("""COMPUTED_VALUE"""),-0.4781749128557307)</f>
        <v>-0.4781749129</v>
      </c>
      <c r="P7" s="3">
        <f>IFERROR(__xludf.DUMMYFUNCTION("""COMPUTED_VALUE"""),-9191.0)</f>
        <v>-9191</v>
      </c>
      <c r="S7" s="4"/>
      <c r="T7" s="4"/>
      <c r="AA7" s="4" t="str">
        <f>IFERROR(__xludf.DUMMYFUNCTION("""COMPUTED_VALUE"""),"Form G4 - K Instagram")</f>
        <v>Form G4 - K Instagram</v>
      </c>
      <c r="AB7" s="5">
        <f>IFERROR(__xludf.DUMMYFUNCTION("""COMPUTED_VALUE"""),-0.6348115143225639)</f>
        <v>-0.6348115143</v>
      </c>
      <c r="AC7" s="3">
        <f>IFERROR(__xludf.DUMMYFUNCTION("""COMPUTED_VALUE"""),-772.9962406015037)</f>
        <v>-772.9962406</v>
      </c>
      <c r="AD7" s="4" t="str">
        <f>IFERROR(__xludf.DUMMYFUNCTION("""COMPUTED_VALUE"""),"Form G4 Outros - Orgânico")</f>
        <v>Form G4 Outros - Orgânico</v>
      </c>
      <c r="AE7" s="5">
        <f>IFERROR(__xludf.DUMMYFUNCTION("""COMPUTED_VALUE"""),0.3703138830155035)</f>
        <v>0.370313883</v>
      </c>
      <c r="AF7" s="3">
        <f>IFERROR(__xludf.DUMMYFUNCTION("""COMPUTED_VALUE"""),309.0692684419819)</f>
        <v>309.0692684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>
      <c r="F8" s="4" t="str">
        <f>IFERROR(__xludf.DUMMYFUNCTION("""COMPUTED_VALUE"""),"Form G4 Instagram Tallis")</f>
        <v>Form G4 Instagram Tallis</v>
      </c>
      <c r="G8" s="5">
        <f>IFERROR(__xludf.DUMMYFUNCTION("""COMPUTED_VALUE"""),-0.5349999999999998)</f>
        <v>-0.535</v>
      </c>
      <c r="H8" s="4" t="str">
        <f>IFERROR(__xludf.DUMMYFUNCTION("""COMPUTED_VALUE"""),"Form G4 - K Instagram")</f>
        <v>Form G4 - K Instagram</v>
      </c>
      <c r="I8" s="5">
        <f>IFERROR(__xludf.DUMMYFUNCTION("""COMPUTED_VALUE"""),-0.4966353075094578)</f>
        <v>-0.4966353075</v>
      </c>
      <c r="J8" s="4" t="str">
        <f>IFERROR(__xludf.DUMMYFUNCTION("""COMPUTED_VALUE"""),"[SKL] Site")</f>
        <v>[SKL] Site</v>
      </c>
      <c r="K8" s="6">
        <f>IFERROR(__xludf.DUMMYFUNCTION("""COMPUTED_VALUE"""),-5.216564237635351)</f>
        <v>-5.216564238</v>
      </c>
      <c r="L8" s="4" t="str">
        <f>IFERROR(__xludf.DUMMYFUNCTION("""COMPUTED_VALUE"""),"[SKL] Midia Paga - Quente")</f>
        <v>[SKL] Midia Paga - Quente</v>
      </c>
      <c r="M8" s="6">
        <f>IFERROR(__xludf.DUMMYFUNCTION("""COMPUTED_VALUE"""),-12.592592592592593)</f>
        <v>-12.59259259</v>
      </c>
      <c r="N8" s="4" t="str">
        <f>IFERROR(__xludf.DUMMYFUNCTION("""COMPUTED_VALUE"""),"[SKL] Midia Paga - Quente")</f>
        <v>[SKL] Midia Paga - Quente</v>
      </c>
      <c r="O8" s="5">
        <f>IFERROR(__xludf.DUMMYFUNCTION("""COMPUTED_VALUE"""),-0.36746089708477875)</f>
        <v>-0.3674608971</v>
      </c>
      <c r="P8" s="3">
        <f>IFERROR(__xludf.DUMMYFUNCTION("""COMPUTED_VALUE"""),-6037.75)</f>
        <v>-6037.75</v>
      </c>
      <c r="Q8" s="4"/>
      <c r="S8" s="4"/>
      <c r="T8" s="4"/>
      <c r="AA8" s="4" t="str">
        <f>IFERROR(__xludf.DUMMYFUNCTION("""COMPUTED_VALUE"""),"[SKL] Social")</f>
        <v>[SKL] Social</v>
      </c>
      <c r="AB8" s="5">
        <f>IFERROR(__xludf.DUMMYFUNCTION("""COMPUTED_VALUE"""),-0.6108782949246303)</f>
        <v>-0.6108782949</v>
      </c>
      <c r="AC8" s="3">
        <f>IFERROR(__xludf.DUMMYFUNCTION("""COMPUTED_VALUE"""),-1413.335313531353)</f>
        <v>-1413.335314</v>
      </c>
      <c r="AD8" s="4" t="str">
        <f>IFERROR(__xludf.DUMMYFUNCTION("""COMPUTED_VALUE"""),"[ON] Outros")</f>
        <v>[ON] Outros</v>
      </c>
      <c r="AE8" s="5">
        <f>IFERROR(__xludf.DUMMYFUNCTION("""COMPUTED_VALUE"""),0.2760835298806552)</f>
        <v>0.2760835299</v>
      </c>
      <c r="AF8" s="3">
        <f>IFERROR(__xludf.DUMMYFUNCTION("""COMPUTED_VALUE"""),-42.665805785123666)</f>
        <v>-42.66580579</v>
      </c>
    </row>
    <row r="9">
      <c r="F9" s="4" t="str">
        <f>IFERROR(__xludf.DUMMYFUNCTION("""COMPUTED_VALUE"""),"Form G4 Instagram Outros")</f>
        <v>Form G4 Instagram Outros</v>
      </c>
      <c r="G9" s="5">
        <f>IFERROR(__xludf.DUMMYFUNCTION("""COMPUTED_VALUE"""),-0.5310924369747897)</f>
        <v>-0.531092437</v>
      </c>
      <c r="H9" s="4" t="str">
        <f>IFERROR(__xludf.DUMMYFUNCTION("""COMPUTED_VALUE"""),"Form G4 Instagram Outros")</f>
        <v>Form G4 Instagram Outros</v>
      </c>
      <c r="I9" s="5">
        <f>IFERROR(__xludf.DUMMYFUNCTION("""COMPUTED_VALUE"""),-0.49078396790815076)</f>
        <v>-0.4907839679</v>
      </c>
      <c r="J9" s="4" t="str">
        <f>IFERROR(__xludf.DUMMYFUNCTION("""COMPUTED_VALUE"""),"[IM] Form G4 Facebook Ads - K")</f>
        <v>[IM] Form G4 Facebook Ads - K</v>
      </c>
      <c r="K9" s="6">
        <f>IFERROR(__xludf.DUMMYFUNCTION("""COMPUTED_VALUE"""),-4.1129983097662555)</f>
        <v>-4.11299831</v>
      </c>
      <c r="L9" s="4" t="str">
        <f>IFERROR(__xludf.DUMMYFUNCTION("""COMPUTED_VALUE"""),"Form G4 Google")</f>
        <v>Form G4 Google</v>
      </c>
      <c r="M9" s="6">
        <f>IFERROR(__xludf.DUMMYFUNCTION("""COMPUTED_VALUE"""),-12.24390243902439)</f>
        <v>-12.24390244</v>
      </c>
      <c r="N9" s="9" t="str">
        <f>IFERROR(__xludf.DUMMYFUNCTION("""COMPUTED_VALUE"""),"[SKL] Site")</f>
        <v>[SKL] Site</v>
      </c>
      <c r="O9" s="5">
        <f>IFERROR(__xludf.DUMMYFUNCTION("""COMPUTED_VALUE"""),-0.3590714896041014)</f>
        <v>-0.3590714896</v>
      </c>
      <c r="P9" s="3">
        <f>IFERROR(__xludf.DUMMYFUNCTION("""COMPUTED_VALUE"""),-6303.5)</f>
        <v>-6303.5</v>
      </c>
      <c r="S9" s="4"/>
      <c r="T9" s="4"/>
      <c r="AA9" s="4" t="str">
        <f>IFERROR(__xludf.DUMMYFUNCTION("""COMPUTED_VALUE"""),"Form G4 Outros - Não Orgânico")</f>
        <v>Form G4 Outros - Não Orgânico</v>
      </c>
      <c r="AB9" s="5">
        <f>IFERROR(__xludf.DUMMYFUNCTION("""COMPUTED_VALUE"""),-0.5985089163139865)</f>
        <v>-0.5985089163</v>
      </c>
      <c r="AC9" s="3">
        <f>IFERROR(__xludf.DUMMYFUNCTION("""COMPUTED_VALUE"""),-3484.9714285714285)</f>
        <v>-3484.971429</v>
      </c>
      <c r="AD9" s="4" t="str">
        <f>IFERROR(__xludf.DUMMYFUNCTION("""COMPUTED_VALUE"""),"[SKL] Outros")</f>
        <v>[SKL] Outros</v>
      </c>
      <c r="AE9" s="5">
        <f>IFERROR(__xludf.DUMMYFUNCTION("""COMPUTED_VALUE"""),0.11559447450269511)</f>
        <v>0.1155944745</v>
      </c>
      <c r="AF9" s="3">
        <f>IFERROR(__xludf.DUMMYFUNCTION("""COMPUTED_VALUE"""),-593.4938426740387)</f>
        <v>-593.4938427</v>
      </c>
    </row>
    <row r="10">
      <c r="F10" s="4" t="str">
        <f>IFERROR(__xludf.DUMMYFUNCTION("""COMPUTED_VALUE"""),"Form G4 - K Instagram")</f>
        <v>Form G4 - K Instagram</v>
      </c>
      <c r="G10" s="5">
        <f>IFERROR(__xludf.DUMMYFUNCTION("""COMPUTED_VALUE"""),-0.49271524225870944)</f>
        <v>-0.4927152423</v>
      </c>
      <c r="H10" s="4" t="str">
        <f>IFERROR(__xludf.DUMMYFUNCTION("""COMPUTED_VALUE"""),"Form G4 Instagram Tallis")</f>
        <v>Form G4 Instagram Tallis</v>
      </c>
      <c r="I10" s="5">
        <f>IFERROR(__xludf.DUMMYFUNCTION("""COMPUTED_VALUE"""),-0.48629842180774724)</f>
        <v>-0.4862984218</v>
      </c>
      <c r="J10" s="4" t="str">
        <f>IFERROR(__xludf.DUMMYFUNCTION("""COMPUTED_VALUE"""),"[CM] Form G4 - Outros")</f>
        <v>[CM] Form G4 - Outros</v>
      </c>
      <c r="K10" s="6">
        <f>IFERROR(__xludf.DUMMYFUNCTION("""COMPUTED_VALUE"""),-4.07058823529412)</f>
        <v>-4.070588235</v>
      </c>
      <c r="L10" s="4" t="str">
        <f>IFERROR(__xludf.DUMMYFUNCTION("""COMPUTED_VALUE"""),"Form G4 - K Instagram")</f>
        <v>Form G4 - K Instagram</v>
      </c>
      <c r="M10" s="6">
        <f>IFERROR(__xludf.DUMMYFUNCTION("""COMPUTED_VALUE"""),-11.654135338345863)</f>
        <v>-11.65413534</v>
      </c>
      <c r="N10" s="9" t="str">
        <f>IFERROR(__xludf.DUMMYFUNCTION("""COMPUTED_VALUE"""),"[ON] Abandono de carrinho")</f>
        <v>[ON] Abandono de carrinho</v>
      </c>
      <c r="O10" s="5">
        <f>IFERROR(__xludf.DUMMYFUNCTION("""COMPUTED_VALUE"""),-0.34860062176509665)</f>
        <v>-0.3486006218</v>
      </c>
      <c r="P10" s="3">
        <f>IFERROR(__xludf.DUMMYFUNCTION("""COMPUTED_VALUE"""),-1061.8374938964844)</f>
        <v>-1061.837494</v>
      </c>
      <c r="Q10" s="4"/>
      <c r="S10" s="4"/>
      <c r="T10" s="4"/>
      <c r="AA10" s="4" t="str">
        <f>IFERROR(__xludf.DUMMYFUNCTION("""COMPUTED_VALUE"""),"Form G4 Instagram Outros")</f>
        <v>Form G4 Instagram Outros</v>
      </c>
      <c r="AB10" s="5">
        <f>IFERROR(__xludf.DUMMYFUNCTION("""COMPUTED_VALUE"""),-0.4376571501822497)</f>
        <v>-0.4376571502</v>
      </c>
      <c r="AC10" s="3">
        <f>IFERROR(__xludf.DUMMYFUNCTION("""COMPUTED_VALUE"""),-3905.923076923077)</f>
        <v>-3905.923077</v>
      </c>
      <c r="AD10" s="9" t="str">
        <f>IFERROR(__xludf.DUMMYFUNCTION("""COMPUTED_VALUE"""),"[SKL] Site")</f>
        <v>[SKL] Site</v>
      </c>
      <c r="AE10" s="10">
        <f>IFERROR(__xludf.DUMMYFUNCTION("""COMPUTED_VALUE"""),0.08230937586489295)</f>
        <v>0.08230937586</v>
      </c>
      <c r="AF10" s="11">
        <f>IFERROR(__xludf.DUMMYFUNCTION("""COMPUTED_VALUE"""),-605.7114164904865)</f>
        <v>-605.7114165</v>
      </c>
    </row>
    <row r="11">
      <c r="F11" s="4" t="str">
        <f>IFERROR(__xludf.DUMMYFUNCTION("""COMPUTED_VALUE"""),"Form G4 Outros - Não Orgânico")</f>
        <v>Form G4 Outros - Não Orgânico</v>
      </c>
      <c r="G11" s="5">
        <f>IFERROR(__xludf.DUMMYFUNCTION("""COMPUTED_VALUE"""),-0.4763370841620574)</f>
        <v>-0.4763370842</v>
      </c>
      <c r="H11" s="4" t="str">
        <f>IFERROR(__xludf.DUMMYFUNCTION("""COMPUTED_VALUE"""),"Form G4 Outros - Não Orgânico")</f>
        <v>Form G4 Outros - Não Orgânico</v>
      </c>
      <c r="I11" s="5">
        <f>IFERROR(__xludf.DUMMYFUNCTION("""COMPUTED_VALUE"""),-0.4577740598501841)</f>
        <v>-0.4577740599</v>
      </c>
      <c r="J11" s="4" t="str">
        <f>IFERROR(__xludf.DUMMYFUNCTION("""COMPUTED_VALUE"""),"[IM] Chat")</f>
        <v>[IM] Chat</v>
      </c>
      <c r="K11" s="6">
        <f>IFERROR(__xludf.DUMMYFUNCTION("""COMPUTED_VALUE"""),-2.278042560735299)</f>
        <v>-2.278042561</v>
      </c>
      <c r="L11" s="4" t="str">
        <f>IFERROR(__xludf.DUMMYFUNCTION("""COMPUTED_VALUE"""),"[SKL] CRM - WhatsApp")</f>
        <v>[SKL] CRM - WhatsApp</v>
      </c>
      <c r="M11" s="6">
        <f>IFERROR(__xludf.DUMMYFUNCTION("""COMPUTED_VALUE"""),-11.047463175122749)</f>
        <v>-11.04746318</v>
      </c>
      <c r="N11" s="9" t="str">
        <f>IFERROR(__xludf.DUMMYFUNCTION("""COMPUTED_VALUE"""),"Form G4 Instagram Tallis")</f>
        <v>Form G4 Instagram Tallis</v>
      </c>
      <c r="O11" s="5">
        <f>IFERROR(__xludf.DUMMYFUNCTION("""COMPUTED_VALUE"""),-0.32810522682823945)</f>
        <v>-0.3281052268</v>
      </c>
      <c r="P11" s="3">
        <f>IFERROR(__xludf.DUMMYFUNCTION("""COMPUTED_VALUE"""),-8556.0)</f>
        <v>-8556</v>
      </c>
      <c r="AA11" s="4" t="str">
        <f>IFERROR(__xludf.DUMMYFUNCTION("""COMPUTED_VALUE"""),"[IM] Form Facebook Ads")</f>
        <v>[IM] Form Facebook Ads</v>
      </c>
      <c r="AB11" s="5">
        <f>IFERROR(__xludf.DUMMYFUNCTION("""COMPUTED_VALUE"""),-0.41210241008323534)</f>
        <v>-0.4121024101</v>
      </c>
      <c r="AC11" s="3">
        <f>IFERROR(__xludf.DUMMYFUNCTION("""COMPUTED_VALUE"""),-2535.095744680851)</f>
        <v>-2535.095745</v>
      </c>
    </row>
    <row r="12">
      <c r="F12" s="4" t="str">
        <f>IFERROR(__xludf.DUMMYFUNCTION("""COMPUTED_VALUE"""),"[ON] Chat")</f>
        <v>[ON] Chat</v>
      </c>
      <c r="G12" s="5">
        <f>IFERROR(__xludf.DUMMYFUNCTION("""COMPUTED_VALUE"""),-0.44078431372548993)</f>
        <v>-0.4407843137</v>
      </c>
      <c r="H12" s="4" t="str">
        <f>IFERROR(__xludf.DUMMYFUNCTION("""COMPUTED_VALUE"""),"Form G4 - K Outros")</f>
        <v>Form G4 - K Outros</v>
      </c>
      <c r="I12" s="5">
        <f>IFERROR(__xludf.DUMMYFUNCTION("""COMPUTED_VALUE"""),-0.38192381329636205)</f>
        <v>-0.3819238133</v>
      </c>
      <c r="J12" s="4" t="str">
        <f>IFERROR(__xludf.DUMMYFUNCTION("""COMPUTED_VALUE"""),"Form G4 Instagram G4")</f>
        <v>Form G4 Instagram G4</v>
      </c>
      <c r="K12" s="6">
        <f>IFERROR(__xludf.DUMMYFUNCTION("""COMPUTED_VALUE"""),-1.8817621866608014)</f>
        <v>-1.881762187</v>
      </c>
      <c r="L12" s="4" t="str">
        <f>IFERROR(__xludf.DUMMYFUNCTION("""COMPUTED_VALUE"""),"Form G4 Instagram Outros")</f>
        <v>Form G4 Instagram Outros</v>
      </c>
      <c r="M12" s="6">
        <f>IFERROR(__xludf.DUMMYFUNCTION("""COMPUTED_VALUE"""),-10.179487179487182)</f>
        <v>-10.17948718</v>
      </c>
      <c r="N12" s="9" t="str">
        <f>IFERROR(__xludf.DUMMYFUNCTION("""COMPUTED_VALUE"""),"[IM] Social DM")</f>
        <v>[IM] Social DM</v>
      </c>
      <c r="O12" s="5">
        <f>IFERROR(__xludf.DUMMYFUNCTION("""COMPUTED_VALUE"""),-0.30934989114816264)</f>
        <v>-0.3093498911</v>
      </c>
      <c r="P12" s="3">
        <f>IFERROR(__xludf.DUMMYFUNCTION("""COMPUTED_VALUE"""),-12243.44999186198)</f>
        <v>-12243.44999</v>
      </c>
      <c r="AA12" s="4" t="str">
        <f>IFERROR(__xludf.DUMMYFUNCTION("""COMPUTED_VALUE"""),"[IM] Social DM")</f>
        <v>[IM] Social DM</v>
      </c>
      <c r="AB12" s="5">
        <f>IFERROR(__xludf.DUMMYFUNCTION("""COMPUTED_VALUE"""),-0.3583899008703655)</f>
        <v>-0.3583899009</v>
      </c>
      <c r="AC12" s="3">
        <f>IFERROR(__xludf.DUMMYFUNCTION("""COMPUTED_VALUE"""),-6194.835553747105)</f>
        <v>-6194.835554</v>
      </c>
    </row>
    <row r="13">
      <c r="F13" s="4" t="str">
        <f>IFERROR(__xludf.DUMMYFUNCTION("""COMPUTED_VALUE"""),"Form G4 - K Outros")</f>
        <v>Form G4 - K Outros</v>
      </c>
      <c r="G13" s="5">
        <f>IFERROR(__xludf.DUMMYFUNCTION("""COMPUTED_VALUE"""),-0.3696441539578792)</f>
        <v>-0.369644154</v>
      </c>
      <c r="H13" s="4" t="str">
        <f>IFERROR(__xludf.DUMMYFUNCTION("""COMPUTED_VALUE"""),"[ON] Abandono de carrinho")</f>
        <v>[ON] Abandono de carrinho</v>
      </c>
      <c r="I13" s="5">
        <f>IFERROR(__xludf.DUMMYFUNCTION("""COMPUTED_VALUE"""),-0.37086933538847616)</f>
        <v>-0.3708693354</v>
      </c>
      <c r="J13" s="4" t="str">
        <f>IFERROR(__xludf.DUMMYFUNCTION("""COMPUTED_VALUE"""),"[SKL] Midia Paga - Quente")</f>
        <v>[SKL] Midia Paga - Quente</v>
      </c>
      <c r="K13" s="6">
        <f>IFERROR(__xludf.DUMMYFUNCTION("""COMPUTED_VALUE"""),-1.8507863444572337)</f>
        <v>-1.850786344</v>
      </c>
      <c r="L13" s="4" t="str">
        <f>IFERROR(__xludf.DUMMYFUNCTION("""COMPUTED_VALUE"""),"Form G4 Outros - Não Orgânico")</f>
        <v>Form G4 Outros - Não Orgânico</v>
      </c>
      <c r="M13" s="6">
        <f>IFERROR(__xludf.DUMMYFUNCTION("""COMPUTED_VALUE"""),-10.0)</f>
        <v>-10</v>
      </c>
      <c r="N13" s="9" t="str">
        <f>IFERROR(__xludf.DUMMYFUNCTION("""COMPUTED_VALUE"""),"Form G4 Outros - Não Orgânico")</f>
        <v>Form G4 Outros - Não Orgânico</v>
      </c>
      <c r="O13" s="5">
        <f>IFERROR(__xludf.DUMMYFUNCTION("""COMPUTED_VALUE"""),-0.2564677123650438)</f>
        <v>-0.2564677124</v>
      </c>
      <c r="P13" s="3">
        <f>IFERROR(__xludf.DUMMYFUNCTION("""COMPUTED_VALUE"""),-7554.0)</f>
        <v>-7554</v>
      </c>
      <c r="AA13" s="4" t="str">
        <f>IFERROR(__xludf.DUMMYFUNCTION("""COMPUTED_VALUE"""),"Form G4 Google")</f>
        <v>Form G4 Google</v>
      </c>
      <c r="AB13" s="5">
        <f>IFERROR(__xludf.DUMMYFUNCTION("""COMPUTED_VALUE"""),-0.2989145430607143)</f>
        <v>-0.2989145431</v>
      </c>
      <c r="AC13" s="3">
        <f>IFERROR(__xludf.DUMMYFUNCTION("""COMPUTED_VALUE"""),-2234.669023794779)</f>
        <v>-2234.669024</v>
      </c>
    </row>
    <row r="14">
      <c r="F14" s="4" t="str">
        <f>IFERROR(__xludf.DUMMYFUNCTION("""COMPUTED_VALUE"""),"Form G4 Incompleto Instagram")</f>
        <v>Form G4 Incompleto Instagram</v>
      </c>
      <c r="G14" s="5">
        <f>IFERROR(__xludf.DUMMYFUNCTION("""COMPUTED_VALUE"""),-0.3226890756302518)</f>
        <v>-0.3226890756</v>
      </c>
      <c r="H14" s="4" t="str">
        <f>IFERROR(__xludf.DUMMYFUNCTION("""COMPUTED_VALUE"""),"Form G4 Incompleto Instagram")</f>
        <v>Form G4 Incompleto Instagram</v>
      </c>
      <c r="I14" s="5">
        <f>IFERROR(__xludf.DUMMYFUNCTION("""COMPUTED_VALUE"""),-0.3301320528211281)</f>
        <v>-0.3301320528</v>
      </c>
      <c r="J14" s="4" t="str">
        <f>IFERROR(__xludf.DUMMYFUNCTION("""COMPUTED_VALUE"""),"[IM] Social DM")</f>
        <v>[IM] Social DM</v>
      </c>
      <c r="K14" s="6">
        <f>IFERROR(__xludf.DUMMYFUNCTION("""COMPUTED_VALUE"""),-1.5625)</f>
        <v>-1.5625</v>
      </c>
      <c r="L14" s="4" t="str">
        <f>IFERROR(__xludf.DUMMYFUNCTION("""COMPUTED_VALUE"""),"[SKL] CRM - Email")</f>
        <v>[SKL] CRM - Email</v>
      </c>
      <c r="M14" s="6">
        <f>IFERROR(__xludf.DUMMYFUNCTION("""COMPUTED_VALUE"""),-9.666666666666666)</f>
        <v>-9.666666667</v>
      </c>
      <c r="N14" s="9" t="str">
        <f>IFERROR(__xludf.DUMMYFUNCTION("""COMPUTED_VALUE"""),"Form G4 Incompleto Instagram")</f>
        <v>Form G4 Incompleto Instagram</v>
      </c>
      <c r="O14" s="5">
        <f>IFERROR(__xludf.DUMMYFUNCTION("""COMPUTED_VALUE"""),-0.22307843137254907)</f>
        <v>-0.2230784314</v>
      </c>
      <c r="P14" s="3">
        <f>IFERROR(__xludf.DUMMYFUNCTION("""COMPUTED_VALUE"""),-3792.333333333334)</f>
        <v>-3792.333333</v>
      </c>
      <c r="AA14" s="4" t="str">
        <f>IFERROR(__xludf.DUMMYFUNCTION("""COMPUTED_VALUE"""),"Form G4 Facebook")</f>
        <v>Form G4 Facebook</v>
      </c>
      <c r="AB14" s="5">
        <f>IFERROR(__xludf.DUMMYFUNCTION("""COMPUTED_VALUE"""),-0.26208560831458827)</f>
        <v>-0.2620856083</v>
      </c>
      <c r="AC14" s="3">
        <f>IFERROR(__xludf.DUMMYFUNCTION("""COMPUTED_VALUE"""),-1528.2269230769225)</f>
        <v>-1528.226923</v>
      </c>
    </row>
    <row r="15">
      <c r="F15" s="4" t="str">
        <f>IFERROR(__xludf.DUMMYFUNCTION("""COMPUTED_VALUE"""),"Form G4 Incompleto Outros")</f>
        <v>Form G4 Incompleto Outros</v>
      </c>
      <c r="G15" s="5">
        <f>IFERROR(__xludf.DUMMYFUNCTION("""COMPUTED_VALUE"""),-0.32008403361344506)</f>
        <v>-0.3200840336</v>
      </c>
      <c r="H15" s="4" t="str">
        <f>IFERROR(__xludf.DUMMYFUNCTION("""COMPUTED_VALUE"""),"Form G4 Incompleto Outros")</f>
        <v>Form G4 Incompleto Outros</v>
      </c>
      <c r="I15" s="5">
        <f>IFERROR(__xludf.DUMMYFUNCTION("""COMPUTED_VALUE"""),-0.28462298740634434)</f>
        <v>-0.2846229874</v>
      </c>
      <c r="J15" s="4"/>
      <c r="K15" s="4"/>
      <c r="L15" s="9" t="str">
        <f>IFERROR(__xludf.DUMMYFUNCTION("""COMPUTED_VALUE"""),"[IM] Form Facebook Ads")</f>
        <v>[IM] Form Facebook Ads</v>
      </c>
      <c r="M15" s="6">
        <f>IFERROR(__xludf.DUMMYFUNCTION("""COMPUTED_VALUE"""),-9.617021276595745)</f>
        <v>-9.617021277</v>
      </c>
      <c r="N15" s="9" t="str">
        <f>IFERROR(__xludf.DUMMYFUNCTION("""COMPUTED_VALUE"""),"Form G4 Instagram Outros")</f>
        <v>Form G4 Instagram Outros</v>
      </c>
      <c r="O15" s="5">
        <f>IFERROR(__xludf.DUMMYFUNCTION("""COMPUTED_VALUE"""),-0.22154000000000001)</f>
        <v>-0.22154</v>
      </c>
      <c r="P15" s="3">
        <f>IFERROR(__xludf.DUMMYFUNCTION("""COMPUTED_VALUE"""),-6646.200000000001)</f>
        <v>-6646.2</v>
      </c>
      <c r="AA15" s="4" t="str">
        <f>IFERROR(__xludf.DUMMYFUNCTION("""COMPUTED_VALUE"""),"Form G4 Incompleto Instagram")</f>
        <v>Form G4 Incompleto Instagram</v>
      </c>
      <c r="AB15" s="5">
        <f>IFERROR(__xludf.DUMMYFUNCTION("""COMPUTED_VALUE"""),-0.25966959800497236)</f>
        <v>-0.259669598</v>
      </c>
      <c r="AC15" s="3">
        <f>IFERROR(__xludf.DUMMYFUNCTION("""COMPUTED_VALUE"""),-874.6176470588234)</f>
        <v>-874.6176471</v>
      </c>
    </row>
    <row r="16">
      <c r="F16" s="4" t="str">
        <f>IFERROR(__xludf.DUMMYFUNCTION("""COMPUTED_VALUE"""),"[ON] Abandono de carrinho")</f>
        <v>[ON] Abandono de carrinho</v>
      </c>
      <c r="G16" s="5">
        <f>IFERROR(__xludf.DUMMYFUNCTION("""COMPUTED_VALUE"""),-0.3189905591866373)</f>
        <v>-0.3189905592</v>
      </c>
      <c r="H16" s="4" t="str">
        <f>IFERROR(__xludf.DUMMYFUNCTION("""COMPUTED_VALUE"""),"[SKL] Site")</f>
        <v>[SKL] Site</v>
      </c>
      <c r="I16" s="5">
        <f>IFERROR(__xludf.DUMMYFUNCTION("""COMPUTED_VALUE"""),-0.2591111428503412)</f>
        <v>-0.2591111429</v>
      </c>
      <c r="J16" s="4"/>
      <c r="K16" s="4"/>
      <c r="L16" s="9" t="str">
        <f>IFERROR(__xludf.DUMMYFUNCTION("""COMPUTED_VALUE"""),"[IM] Social DM")</f>
        <v>[IM] Social DM</v>
      </c>
      <c r="M16" s="6">
        <f>IFERROR(__xludf.DUMMYFUNCTION("""COMPUTED_VALUE"""),-8.777777777777779)</f>
        <v>-8.777777778</v>
      </c>
      <c r="N16" s="9" t="str">
        <f>IFERROR(__xludf.DUMMYFUNCTION("""COMPUTED_VALUE"""),"[SKL] CRM - WhatsApp")</f>
        <v>[SKL] CRM - WhatsApp</v>
      </c>
      <c r="O16" s="5">
        <f>IFERROR(__xludf.DUMMYFUNCTION("""COMPUTED_VALUE"""),-0.026180227224613647)</f>
        <v>-0.02618022722</v>
      </c>
      <c r="P16" s="3">
        <f>IFERROR(__xludf.DUMMYFUNCTION("""COMPUTED_VALUE"""),-371.0)</f>
        <v>-371</v>
      </c>
      <c r="AA16" s="4" t="str">
        <f>IFERROR(__xludf.DUMMYFUNCTION("""COMPUTED_VALUE"""),"[ON] Abandono de carrinho")</f>
        <v>[ON] Abandono de carrinho</v>
      </c>
      <c r="AB16" s="5">
        <f>IFERROR(__xludf.DUMMYFUNCTION("""COMPUTED_VALUE"""),-0.21617528962359045)</f>
        <v>-0.2161752896</v>
      </c>
      <c r="AC16" s="3">
        <f>IFERROR(__xludf.DUMMYFUNCTION("""COMPUTED_VALUE"""),-864.2529959309898)</f>
        <v>-864.2529959</v>
      </c>
    </row>
    <row r="17">
      <c r="F17" s="4" t="str">
        <f>IFERROR(__xludf.DUMMYFUNCTION("""COMPUTED_VALUE"""),"[SKL] Site")</f>
        <v>[SKL] Site</v>
      </c>
      <c r="G17" s="5">
        <f>IFERROR(__xludf.DUMMYFUNCTION("""COMPUTED_VALUE"""),-0.24092316352378232)</f>
        <v>-0.2409231635</v>
      </c>
      <c r="H17" s="4" t="str">
        <f>IFERROR(__xludf.DUMMYFUNCTION("""COMPUTED_VALUE"""),"Form G4 Google")</f>
        <v>Form G4 Google</v>
      </c>
      <c r="I17" s="5">
        <f>IFERROR(__xludf.DUMMYFUNCTION("""COMPUTED_VALUE"""),-0.2358846637738462)</f>
        <v>-0.2358846638</v>
      </c>
      <c r="J17" s="4"/>
      <c r="K17" s="4"/>
      <c r="L17" s="9" t="str">
        <f>IFERROR(__xludf.DUMMYFUNCTION("""COMPUTED_VALUE"""),"Form G4 Instagram G4")</f>
        <v>Form G4 Instagram G4</v>
      </c>
      <c r="M17" s="6">
        <f>IFERROR(__xludf.DUMMYFUNCTION("""COMPUTED_VALUE"""),-7.839572192513368)</f>
        <v>-7.839572193</v>
      </c>
      <c r="N17" s="9" t="str">
        <f>IFERROR(__xludf.DUMMYFUNCTION("""COMPUTED_VALUE"""),"[IM] Time de vendas")</f>
        <v>[IM] Time de vendas</v>
      </c>
      <c r="O17" s="5">
        <f>IFERROR(__xludf.DUMMYFUNCTION("""COMPUTED_VALUE"""),-0.011730087794674302)</f>
        <v>-0.01173008779</v>
      </c>
      <c r="P17" s="3">
        <f>IFERROR(__xludf.DUMMYFUNCTION("""COMPUTED_VALUE"""),-377.2712636611868)</f>
        <v>-377.2712637</v>
      </c>
      <c r="AA17" s="4" t="str">
        <f>IFERROR(__xludf.DUMMYFUNCTION("""COMPUTED_VALUE"""),"[SKL] CRM - Email")</f>
        <v>[SKL] CRM - Email</v>
      </c>
      <c r="AB17" s="5">
        <f>IFERROR(__xludf.DUMMYFUNCTION("""COMPUTED_VALUE"""),-0.12228023611015781)</f>
        <v>-0.1222802361</v>
      </c>
      <c r="AC17" s="3">
        <f>IFERROR(__xludf.DUMMYFUNCTION("""COMPUTED_VALUE"""),-869.5999999999995)</f>
        <v>-869.6</v>
      </c>
    </row>
    <row r="18">
      <c r="F18" s="4" t="str">
        <f>IFERROR(__xludf.DUMMYFUNCTION("""COMPUTED_VALUE"""),"Form G4 Google")</f>
        <v>Form G4 Google</v>
      </c>
      <c r="G18" s="5">
        <f>IFERROR(__xludf.DUMMYFUNCTION("""COMPUTED_VALUE"""),-0.21399594320486773)</f>
        <v>-0.2139959432</v>
      </c>
      <c r="H18" s="4" t="str">
        <f>IFERROR(__xludf.DUMMYFUNCTION("""COMPUTED_VALUE"""),"[SKL] CRM - WhatsApp")</f>
        <v>[SKL] CRM - WhatsApp</v>
      </c>
      <c r="I18" s="5">
        <f>IFERROR(__xludf.DUMMYFUNCTION("""COMPUTED_VALUE"""),-0.2141456582633049)</f>
        <v>-0.2141456583</v>
      </c>
      <c r="J18" s="4"/>
      <c r="K18" s="4"/>
      <c r="L18" s="9" t="str">
        <f>IFERROR(__xludf.DUMMYFUNCTION("""COMPUTED_VALUE"""),"Form G4 Incompleto Outros")</f>
        <v>Form G4 Incompleto Outros</v>
      </c>
      <c r="M18" s="6">
        <f>IFERROR(__xludf.DUMMYFUNCTION("""COMPUTED_VALUE"""),-7.55775577557756)</f>
        <v>-7.557755776</v>
      </c>
      <c r="O18" s="4"/>
      <c r="P18" s="4"/>
      <c r="AA18" s="4" t="str">
        <f>IFERROR(__xludf.DUMMYFUNCTION("""COMPUTED_VALUE"""),"Form G4 Instagram G4")</f>
        <v>Form G4 Instagram G4</v>
      </c>
      <c r="AB18" s="5">
        <f>IFERROR(__xludf.DUMMYFUNCTION("""COMPUTED_VALUE"""),-0.09144678135156048)</f>
        <v>-0.09144678135</v>
      </c>
      <c r="AC18" s="3">
        <f>IFERROR(__xludf.DUMMYFUNCTION("""COMPUTED_VALUE"""),-1506.5935828877004)</f>
        <v>-1506.593583</v>
      </c>
    </row>
    <row r="19">
      <c r="F19" s="4" t="str">
        <f>IFERROR(__xludf.DUMMYFUNCTION("""COMPUTED_VALUE"""),"[SKL] CRM - WhatsApp")</f>
        <v>[SKL] CRM - WhatsApp</v>
      </c>
      <c r="G19" s="5">
        <f>IFERROR(__xludf.DUMMYFUNCTION("""COMPUTED_VALUE"""),-0.19627137447845014)</f>
        <v>-0.1962713745</v>
      </c>
      <c r="H19" s="4" t="str">
        <f>IFERROR(__xludf.DUMMYFUNCTION("""COMPUTED_VALUE"""),"[IM] Form Facebook Ads")</f>
        <v>[IM] Form Facebook Ads</v>
      </c>
      <c r="I19" s="5">
        <f>IFERROR(__xludf.DUMMYFUNCTION("""COMPUTED_VALUE"""),-0.1789344009855247)</f>
        <v>-0.178934401</v>
      </c>
      <c r="J19" s="4"/>
      <c r="K19" s="4"/>
      <c r="L19" s="9" t="str">
        <f>IFERROR(__xludf.DUMMYFUNCTION("""COMPUTED_VALUE"""),"Form G4 Outros - Orgânico")</f>
        <v>Form G4 Outros - Orgânico</v>
      </c>
      <c r="M19" s="6">
        <f>IFERROR(__xludf.DUMMYFUNCTION("""COMPUTED_VALUE"""),-7.085416213866552)</f>
        <v>-7.085416214</v>
      </c>
      <c r="O19" s="4"/>
      <c r="P19" s="4"/>
      <c r="AA19" s="4"/>
      <c r="AB19" s="4"/>
      <c r="AC19" s="4"/>
    </row>
    <row r="20">
      <c r="F20" s="4" t="str">
        <f>IFERROR(__xludf.DUMMYFUNCTION("""COMPUTED_VALUE"""),"Form G4 Outros - Orgânico")</f>
        <v>Form G4 Outros - Orgânico</v>
      </c>
      <c r="G20" s="5">
        <f>IFERROR(__xludf.DUMMYFUNCTION("""COMPUTED_VALUE"""),-0.176531189398836)</f>
        <v>-0.1765311894</v>
      </c>
      <c r="H20" s="4" t="str">
        <f>IFERROR(__xludf.DUMMYFUNCTION("""COMPUTED_VALUE"""),"[ON] Chat")</f>
        <v>[ON] Chat</v>
      </c>
      <c r="I20" s="5">
        <f>IFERROR(__xludf.DUMMYFUNCTION("""COMPUTED_VALUE"""),-0.173823969049503)</f>
        <v>-0.173823969</v>
      </c>
      <c r="J20" s="4"/>
      <c r="K20" s="4"/>
      <c r="L20" s="9" t="str">
        <f>IFERROR(__xludf.DUMMYFUNCTION("""COMPUTED_VALUE"""),"Form G4 Facebook")</f>
        <v>Form G4 Facebook</v>
      </c>
      <c r="M20" s="6">
        <f>IFERROR(__xludf.DUMMYFUNCTION("""COMPUTED_VALUE"""),-7.05128205128205)</f>
        <v>-7.051282051</v>
      </c>
      <c r="O20" s="4"/>
      <c r="P20" s="4"/>
      <c r="AA20" s="4"/>
      <c r="AB20" s="4"/>
      <c r="AC20" s="4"/>
    </row>
    <row r="21">
      <c r="F21" s="4" t="str">
        <f>IFERROR(__xludf.DUMMYFUNCTION("""COMPUTED_VALUE"""),"[SKL] Midia Paga - Quente")</f>
        <v>[SKL] Midia Paga - Quente</v>
      </c>
      <c r="G21" s="5">
        <f>IFERROR(__xludf.DUMMYFUNCTION("""COMPUTED_VALUE"""),-0.16244870041039633)</f>
        <v>-0.1624487004</v>
      </c>
      <c r="H21" s="4" t="str">
        <f>IFERROR(__xludf.DUMMYFUNCTION("""COMPUTED_VALUE"""),"[SKL] Midia Paga - Quente")</f>
        <v>[SKL] Midia Paga - Quente</v>
      </c>
      <c r="I21" s="5">
        <f>IFERROR(__xludf.DUMMYFUNCTION("""COMPUTED_VALUE"""),-0.16244870041039625)</f>
        <v>-0.1624487004</v>
      </c>
      <c r="J21" s="4"/>
      <c r="K21" s="4"/>
      <c r="L21" s="9" t="str">
        <f>IFERROR(__xludf.DUMMYFUNCTION("""COMPUTED_VALUE"""),"[IM] Form G4 Facebook Ads - K")</f>
        <v>[IM] Form G4 Facebook Ads - K</v>
      </c>
      <c r="M21" s="6">
        <f>IFERROR(__xludf.DUMMYFUNCTION("""COMPUTED_VALUE"""),-5.444646098003629)</f>
        <v>-5.444646098</v>
      </c>
      <c r="O21" s="4"/>
      <c r="P21" s="4"/>
      <c r="AA21" s="4"/>
      <c r="AB21" s="4"/>
      <c r="AC21" s="4"/>
    </row>
    <row r="22">
      <c r="F22" s="4" t="str">
        <f>IFERROR(__xludf.DUMMYFUNCTION("""COMPUTED_VALUE"""),"[IM] Form Facebook Ads")</f>
        <v>[IM] Form Facebook Ads</v>
      </c>
      <c r="G22" s="5">
        <f>IFERROR(__xludf.DUMMYFUNCTION("""COMPUTED_VALUE"""),-0.08155220203264499)</f>
        <v>-0.08155220203</v>
      </c>
      <c r="H22" s="4" t="str">
        <f>IFERROR(__xludf.DUMMYFUNCTION("""COMPUTED_VALUE"""),"Form G4 Instagram G4")</f>
        <v>Form G4 Instagram G4</v>
      </c>
      <c r="I22" s="5">
        <f>IFERROR(__xludf.DUMMYFUNCTION("""COMPUTED_VALUE"""),-0.11265756302520967)</f>
        <v>-0.112657563</v>
      </c>
      <c r="J22" s="4"/>
      <c r="K22" s="4"/>
      <c r="L22" s="9" t="str">
        <f>IFERROR(__xludf.DUMMYFUNCTION("""COMPUTED_VALUE"""),"[ON] Abandono de carrinho")</f>
        <v>[ON] Abandono de carrinho</v>
      </c>
      <c r="M22" s="6">
        <f>IFERROR(__xludf.DUMMYFUNCTION("""COMPUTED_VALUE"""),-5.133333333333335)</f>
        <v>-5.133333333</v>
      </c>
      <c r="O22" s="4"/>
      <c r="P22" s="4"/>
      <c r="AA22" s="4"/>
      <c r="AB22" s="4"/>
    </row>
    <row r="23">
      <c r="F23" s="4" t="str">
        <f>IFERROR(__xludf.DUMMYFUNCTION("""COMPUTED_VALUE"""),"Form G4 Instagram G4")</f>
        <v>Form G4 Instagram G4</v>
      </c>
      <c r="G23" s="5">
        <f>IFERROR(__xludf.DUMMYFUNCTION("""COMPUTED_VALUE"""),-0.0765126050420164)</f>
        <v>-0.07651260504</v>
      </c>
      <c r="H23" s="4" t="str">
        <f>IFERROR(__xludf.DUMMYFUNCTION("""COMPUTED_VALUE"""),"Form G4 Outros - Orgânico")</f>
        <v>Form G4 Outros - Orgânico</v>
      </c>
      <c r="I23" s="5">
        <f>IFERROR(__xludf.DUMMYFUNCTION("""COMPUTED_VALUE"""),-0.11191749427043485)</f>
        <v>-0.1119174943</v>
      </c>
      <c r="J23" s="4"/>
      <c r="K23" s="4"/>
      <c r="L23" s="9" t="str">
        <f>IFERROR(__xludf.DUMMYFUNCTION("""COMPUTED_VALUE"""),"Aplicativo G4 - Indicação")</f>
        <v>Aplicativo G4 - Indicação</v>
      </c>
      <c r="M23" s="6">
        <f>IFERROR(__xludf.DUMMYFUNCTION("""COMPUTED_VALUE"""),-4.2735042735042725)</f>
        <v>-4.273504274</v>
      </c>
      <c r="O23" s="4"/>
      <c r="P23" s="4"/>
      <c r="AA23" s="4"/>
      <c r="AB23" s="4"/>
    </row>
    <row r="24">
      <c r="F24" s="4"/>
      <c r="G24" s="4"/>
      <c r="H24" s="4" t="str">
        <f>IFERROR(__xludf.DUMMYFUNCTION("""COMPUTED_VALUE"""),"[IM] Chat")</f>
        <v>[IM] Chat</v>
      </c>
      <c r="I24" s="5">
        <f>IFERROR(__xludf.DUMMYFUNCTION("""COMPUTED_VALUE"""),-0.07261375519644718)</f>
        <v>-0.0726137552</v>
      </c>
      <c r="J24" s="4"/>
      <c r="K24" s="4"/>
      <c r="L24" s="9" t="str">
        <f>IFERROR(__xludf.DUMMYFUNCTION("""COMPUTED_VALUE"""),"[SKL] Outros")</f>
        <v>[SKL] Outros</v>
      </c>
      <c r="M24" s="6">
        <f>IFERROR(__xludf.DUMMYFUNCTION("""COMPUTED_VALUE"""),-3.995978889168134)</f>
        <v>-3.995978889</v>
      </c>
      <c r="O24" s="4"/>
      <c r="P24" s="4"/>
      <c r="AA24" s="4"/>
      <c r="AB24" s="4"/>
    </row>
    <row r="25">
      <c r="F25" s="4"/>
      <c r="G25" s="4"/>
      <c r="H25" s="4"/>
      <c r="I25" s="4"/>
      <c r="J25" s="4"/>
      <c r="K25" s="4"/>
      <c r="L25" s="9" t="str">
        <f>IFERROR(__xludf.DUMMYFUNCTION("""COMPUTED_VALUE"""),"[IM] Chat")</f>
        <v>[IM] Chat</v>
      </c>
      <c r="M25" s="6">
        <f>IFERROR(__xludf.DUMMYFUNCTION("""COMPUTED_VALUE"""),-3.5913806863527546)</f>
        <v>-3.591380686</v>
      </c>
      <c r="O25" s="4"/>
      <c r="P25" s="4"/>
      <c r="AA25" s="4"/>
      <c r="AB25" s="4"/>
    </row>
    <row r="26">
      <c r="F26" s="4"/>
      <c r="G26" s="4"/>
      <c r="H26" s="4"/>
      <c r="I26" s="4"/>
      <c r="J26" s="4"/>
      <c r="K26" s="4"/>
      <c r="L26" s="9" t="str">
        <f>IFERROR(__xludf.DUMMYFUNCTION("""COMPUTED_VALUE"""),"Form G4 - K Outros")</f>
        <v>Form G4 - K Outros</v>
      </c>
      <c r="M26" s="6">
        <f>IFERROR(__xludf.DUMMYFUNCTION("""COMPUTED_VALUE"""),-3.371428571428571)</f>
        <v>-3.371428571</v>
      </c>
      <c r="O26" s="4"/>
      <c r="P26" s="4"/>
      <c r="AA26" s="4"/>
      <c r="AB26" s="4"/>
    </row>
    <row r="27">
      <c r="F27" s="4"/>
      <c r="G27" s="4"/>
      <c r="H27" s="4"/>
      <c r="I27" s="4"/>
      <c r="J27" s="4"/>
      <c r="K27" s="4"/>
      <c r="L27" s="9" t="str">
        <f>IFERROR(__xludf.DUMMYFUNCTION("""COMPUTED_VALUE"""),"Form G4 Incompleto Instagram")</f>
        <v>Form G4 Incompleto Instagram</v>
      </c>
      <c r="M27" s="6">
        <f>IFERROR(__xludf.DUMMYFUNCTION("""COMPUTED_VALUE"""),-3.176470588235293)</f>
        <v>-3.176470588</v>
      </c>
      <c r="AA27" s="4"/>
      <c r="AB27" s="4"/>
    </row>
    <row r="28">
      <c r="F28" s="4"/>
      <c r="G28" s="4"/>
      <c r="H28" s="4"/>
      <c r="I28" s="4"/>
      <c r="J28" s="4"/>
      <c r="K28" s="4"/>
      <c r="M28" s="4"/>
      <c r="AA28" s="4"/>
      <c r="AB28" s="4"/>
    </row>
    <row r="29">
      <c r="F29" s="4"/>
      <c r="G29" s="4"/>
      <c r="H29" s="4"/>
      <c r="I29" s="4"/>
      <c r="J29" s="4"/>
      <c r="K29" s="4"/>
      <c r="M29" s="4"/>
      <c r="AA29" s="4"/>
      <c r="AB29" s="4"/>
    </row>
    <row r="30">
      <c r="F30" s="4"/>
      <c r="G30" s="4"/>
      <c r="H30" s="4"/>
      <c r="I30" s="4"/>
      <c r="J30" s="4"/>
      <c r="K30" s="4"/>
      <c r="M30" s="4"/>
      <c r="AA30" s="4"/>
      <c r="AB30" s="4"/>
    </row>
    <row r="31">
      <c r="F31" s="4"/>
      <c r="G31" s="4"/>
      <c r="H31" s="4"/>
      <c r="I31" s="4"/>
      <c r="J31" s="4"/>
      <c r="K31" s="4"/>
      <c r="M31" s="4"/>
      <c r="AA31" s="4"/>
      <c r="AB31" s="4"/>
    </row>
    <row r="32">
      <c r="F32" s="4"/>
      <c r="G32" s="4"/>
      <c r="H32" s="4"/>
      <c r="I32" s="4"/>
      <c r="J32" s="4"/>
      <c r="K32" s="4"/>
      <c r="M32" s="4"/>
      <c r="AA32" s="4"/>
      <c r="AB32" s="4"/>
    </row>
    <row r="33">
      <c r="F33" s="4"/>
      <c r="G33" s="4"/>
      <c r="H33" s="4"/>
      <c r="I33" s="4"/>
      <c r="J33" s="4"/>
      <c r="K33" s="4"/>
      <c r="M33" s="4"/>
      <c r="AA33" s="4"/>
      <c r="AB33" s="4"/>
    </row>
    <row r="34">
      <c r="F34" s="4"/>
      <c r="G34" s="4"/>
      <c r="H34" s="4"/>
      <c r="I34" s="4"/>
      <c r="J34" s="4"/>
      <c r="K34" s="4"/>
      <c r="M34" s="4"/>
      <c r="AA34" s="4"/>
      <c r="AB34" s="4"/>
    </row>
    <row r="35">
      <c r="F35" s="4"/>
      <c r="G35" s="4"/>
      <c r="H35" s="4"/>
      <c r="I35" s="4"/>
      <c r="J35" s="4"/>
      <c r="K35" s="4"/>
      <c r="M35" s="4"/>
      <c r="AA35" s="4"/>
      <c r="AB35" s="4"/>
    </row>
    <row r="36">
      <c r="F36" s="4"/>
      <c r="G36" s="4"/>
      <c r="H36" s="4"/>
      <c r="I36" s="4"/>
      <c r="J36" s="4"/>
      <c r="K36" s="4"/>
      <c r="M36" s="4"/>
      <c r="AA36" s="4"/>
      <c r="AB36" s="4"/>
    </row>
    <row r="37">
      <c r="F37" s="4"/>
      <c r="G37" s="4"/>
      <c r="H37" s="4"/>
      <c r="I37" s="4"/>
      <c r="J37" s="4"/>
      <c r="K37" s="4"/>
      <c r="M37" s="4"/>
      <c r="AA37" s="4"/>
      <c r="AB37" s="4"/>
    </row>
    <row r="38">
      <c r="F38" s="4"/>
      <c r="G38" s="4"/>
      <c r="H38" s="4"/>
      <c r="I38" s="4"/>
      <c r="J38" s="4"/>
      <c r="K38" s="4"/>
      <c r="M38" s="4"/>
      <c r="AA38" s="4"/>
      <c r="AB38" s="4"/>
    </row>
    <row r="39">
      <c r="F39" s="4"/>
      <c r="G39" s="4"/>
      <c r="H39" s="4"/>
      <c r="I39" s="4"/>
      <c r="J39" s="4"/>
      <c r="K39" s="4"/>
      <c r="M39" s="4"/>
      <c r="AA39" s="4"/>
      <c r="AB39" s="4"/>
    </row>
    <row r="40">
      <c r="F40" s="4"/>
      <c r="G40" s="4"/>
      <c r="H40" s="4"/>
      <c r="I40" s="4"/>
      <c r="J40" s="4"/>
      <c r="K40" s="4"/>
      <c r="M40" s="4"/>
      <c r="AA40" s="4"/>
      <c r="AB40" s="4"/>
    </row>
    <row r="41">
      <c r="F41" s="4"/>
      <c r="G41" s="4"/>
      <c r="H41" s="4"/>
      <c r="I41" s="4"/>
      <c r="J41" s="4"/>
      <c r="K41" s="4"/>
      <c r="M41" s="4"/>
      <c r="AA41" s="4"/>
      <c r="AB41" s="4"/>
    </row>
    <row r="42">
      <c r="F42" s="4"/>
      <c r="G42" s="4"/>
      <c r="H42" s="4"/>
      <c r="I42" s="4"/>
      <c r="J42" s="4"/>
      <c r="K42" s="4"/>
      <c r="M42" s="4"/>
      <c r="AA42" s="4"/>
      <c r="AB42" s="4"/>
    </row>
    <row r="43">
      <c r="F43" s="4"/>
      <c r="G43" s="4"/>
      <c r="H43" s="4"/>
      <c r="I43" s="4"/>
      <c r="J43" s="4"/>
      <c r="K43" s="4"/>
      <c r="M43" s="4"/>
      <c r="AA43" s="4"/>
      <c r="AB43" s="4"/>
    </row>
    <row r="44">
      <c r="F44" s="4"/>
      <c r="G44" s="4"/>
      <c r="H44" s="4"/>
      <c r="I44" s="4"/>
      <c r="J44" s="4"/>
      <c r="K44" s="4"/>
      <c r="M44" s="4"/>
      <c r="AA44" s="4"/>
      <c r="AB44" s="4"/>
    </row>
    <row r="45">
      <c r="F45" s="4"/>
      <c r="G45" s="4"/>
      <c r="H45" s="4"/>
      <c r="I45" s="4"/>
      <c r="J45" s="4"/>
      <c r="K45" s="4"/>
      <c r="M45" s="4"/>
      <c r="AA45" s="4"/>
      <c r="AB45" s="4"/>
    </row>
    <row r="46">
      <c r="F46" s="4"/>
      <c r="G46" s="4"/>
      <c r="H46" s="4"/>
      <c r="I46" s="4"/>
      <c r="J46" s="4"/>
      <c r="K46" s="4"/>
      <c r="M46" s="4"/>
      <c r="AA46" s="4"/>
      <c r="AB46" s="4"/>
    </row>
    <row r="47">
      <c r="J47" s="4"/>
      <c r="K47" s="4"/>
      <c r="M47" s="4"/>
      <c r="AA47" s="4"/>
      <c r="AB47" s="4"/>
    </row>
    <row r="48">
      <c r="J48" s="4"/>
      <c r="K48" s="4"/>
      <c r="M48" s="4"/>
      <c r="AA48" s="4"/>
      <c r="AB48" s="4"/>
    </row>
    <row r="49">
      <c r="J49" s="4"/>
      <c r="K49" s="4"/>
      <c r="M49" s="4"/>
      <c r="AA49" s="4"/>
      <c r="AB49" s="4"/>
    </row>
    <row r="50">
      <c r="J50" s="4"/>
      <c r="K50" s="4"/>
      <c r="M50" s="4"/>
      <c r="AA50" s="4"/>
      <c r="AB50" s="4"/>
    </row>
    <row r="51">
      <c r="J51" s="4"/>
      <c r="K51" s="4"/>
      <c r="M51" s="4"/>
      <c r="AA51" s="4"/>
      <c r="AB51" s="4"/>
    </row>
    <row r="52">
      <c r="J52" s="4"/>
      <c r="K52" s="4"/>
      <c r="M52" s="4"/>
      <c r="AA52" s="4"/>
      <c r="AB52" s="4"/>
    </row>
    <row r="53">
      <c r="J53" s="4"/>
      <c r="K53" s="4"/>
      <c r="M53" s="4"/>
      <c r="AA53" s="4"/>
      <c r="AB53" s="4"/>
    </row>
    <row r="54">
      <c r="J54" s="4"/>
      <c r="K54" s="4"/>
      <c r="M54" s="4"/>
      <c r="AA54" s="4"/>
      <c r="AB54" s="4"/>
    </row>
    <row r="55">
      <c r="J55" s="4"/>
      <c r="K55" s="4"/>
      <c r="M55" s="4"/>
      <c r="AA55" s="4"/>
      <c r="AB55" s="4"/>
    </row>
    <row r="56">
      <c r="J56" s="4"/>
      <c r="K56" s="4"/>
      <c r="M56" s="4"/>
      <c r="AA56" s="4"/>
      <c r="AB56" s="4"/>
    </row>
    <row r="57">
      <c r="J57" s="4"/>
      <c r="K57" s="4"/>
      <c r="M57" s="4"/>
      <c r="AA57" s="4"/>
      <c r="AB57" s="4"/>
    </row>
    <row r="58">
      <c r="J58" s="4"/>
      <c r="K58" s="4"/>
      <c r="M58" s="4"/>
      <c r="AA58" s="4"/>
      <c r="AB58" s="4"/>
    </row>
    <row r="59">
      <c r="J59" s="4"/>
      <c r="K59" s="4"/>
      <c r="M59" s="4"/>
      <c r="AA59" s="4"/>
      <c r="AB59" s="4"/>
    </row>
    <row r="60">
      <c r="J60" s="4"/>
      <c r="K60" s="4"/>
      <c r="M60" s="4"/>
      <c r="AA60" s="4"/>
      <c r="AB60" s="4"/>
    </row>
    <row r="61">
      <c r="J61" s="4"/>
      <c r="K61" s="4"/>
      <c r="M61" s="4"/>
      <c r="AA61" s="4"/>
      <c r="AB61" s="4"/>
    </row>
    <row r="62">
      <c r="J62" s="4"/>
      <c r="K62" s="4"/>
      <c r="M62" s="4"/>
      <c r="AA62" s="4"/>
      <c r="AB62" s="4"/>
    </row>
    <row r="63">
      <c r="J63" s="4"/>
      <c r="K63" s="4"/>
      <c r="M63" s="4"/>
      <c r="AA63" s="4"/>
      <c r="AB63" s="4"/>
    </row>
    <row r="64">
      <c r="J64" s="4"/>
      <c r="K64" s="4"/>
      <c r="M64" s="4"/>
      <c r="AA64" s="4"/>
      <c r="AB64" s="4"/>
    </row>
    <row r="65">
      <c r="J65" s="4"/>
      <c r="K65" s="4"/>
      <c r="M65" s="4"/>
      <c r="AA65" s="4"/>
      <c r="AB65" s="4"/>
    </row>
    <row r="66">
      <c r="J66" s="4"/>
      <c r="K66" s="4"/>
      <c r="M66" s="4"/>
      <c r="AA66" s="4"/>
      <c r="AB66" s="4"/>
    </row>
    <row r="67">
      <c r="J67" s="4"/>
      <c r="K67" s="4"/>
      <c r="M67" s="4"/>
      <c r="AA67" s="4"/>
      <c r="AB67" s="4"/>
    </row>
    <row r="68">
      <c r="J68" s="4"/>
      <c r="K68" s="4"/>
      <c r="M68" s="4"/>
      <c r="AA68" s="4"/>
      <c r="AB68" s="4"/>
    </row>
    <row r="69">
      <c r="J69" s="4"/>
      <c r="K69" s="4"/>
      <c r="M69" s="4"/>
      <c r="AA69" s="4"/>
      <c r="AB69" s="4"/>
    </row>
    <row r="70">
      <c r="J70" s="4"/>
      <c r="K70" s="4"/>
      <c r="M70" s="4"/>
      <c r="AA70" s="4"/>
      <c r="AB70" s="4"/>
    </row>
    <row r="71">
      <c r="J71" s="4"/>
      <c r="K71" s="4"/>
      <c r="M71" s="4"/>
      <c r="AA71" s="4"/>
      <c r="AB71" s="4"/>
    </row>
    <row r="72">
      <c r="J72" s="4"/>
      <c r="K72" s="4"/>
      <c r="M72" s="4"/>
      <c r="AA72" s="4"/>
      <c r="AB72" s="4"/>
    </row>
    <row r="73">
      <c r="J73" s="4"/>
      <c r="K73" s="4"/>
      <c r="M73" s="4"/>
      <c r="AA73" s="4"/>
      <c r="AB73" s="4"/>
    </row>
    <row r="74">
      <c r="J74" s="4"/>
      <c r="K74" s="4"/>
      <c r="M74" s="4"/>
      <c r="AA74" s="4"/>
      <c r="AB74" s="4"/>
    </row>
    <row r="75">
      <c r="J75" s="4"/>
      <c r="K75" s="4"/>
      <c r="M75" s="4"/>
      <c r="AA75" s="4"/>
      <c r="AB75" s="4"/>
    </row>
    <row r="76">
      <c r="J76" s="4"/>
      <c r="K76" s="4"/>
      <c r="M76" s="4"/>
      <c r="AA76" s="4"/>
      <c r="AB76" s="4"/>
    </row>
    <row r="77">
      <c r="J77" s="4"/>
      <c r="K77" s="4"/>
      <c r="M77" s="4"/>
      <c r="AA77" s="4"/>
      <c r="AB77" s="4"/>
    </row>
    <row r="78">
      <c r="J78" s="4"/>
      <c r="K78" s="4"/>
      <c r="M78" s="4"/>
      <c r="AA78" s="4"/>
      <c r="AB78" s="4"/>
    </row>
    <row r="79">
      <c r="J79" s="4"/>
      <c r="K79" s="4"/>
      <c r="M79" s="4"/>
      <c r="AA79" s="4"/>
      <c r="AB79" s="4"/>
    </row>
    <row r="80">
      <c r="J80" s="4"/>
      <c r="K80" s="4"/>
      <c r="M80" s="4"/>
      <c r="AA80" s="4"/>
      <c r="AB80" s="4"/>
    </row>
    <row r="81">
      <c r="J81" s="4"/>
      <c r="K81" s="4"/>
      <c r="M81" s="4"/>
      <c r="AA81" s="4"/>
      <c r="AB81" s="4"/>
    </row>
    <row r="82">
      <c r="J82" s="4"/>
      <c r="K82" s="4"/>
      <c r="M82" s="4"/>
      <c r="AA82" s="4"/>
      <c r="AB82" s="4"/>
    </row>
    <row r="83">
      <c r="J83" s="4"/>
      <c r="K83" s="4"/>
      <c r="M83" s="4"/>
      <c r="AA83" s="4"/>
      <c r="AB83" s="4"/>
    </row>
    <row r="84">
      <c r="J84" s="4"/>
      <c r="K84" s="4"/>
      <c r="M84" s="4"/>
      <c r="AA84" s="4"/>
      <c r="AB84" s="4"/>
    </row>
    <row r="85">
      <c r="J85" s="4"/>
      <c r="K85" s="4"/>
      <c r="M85" s="4"/>
      <c r="AA85" s="4"/>
      <c r="AB85" s="4"/>
    </row>
    <row r="86">
      <c r="J86" s="4"/>
      <c r="K86" s="4"/>
      <c r="M86" s="4"/>
      <c r="AA86" s="4"/>
      <c r="AB86" s="4"/>
    </row>
    <row r="87">
      <c r="J87" s="4"/>
      <c r="K87" s="4"/>
      <c r="M87" s="4"/>
      <c r="AA87" s="4"/>
      <c r="AB87" s="4"/>
    </row>
    <row r="88">
      <c r="J88" s="4"/>
      <c r="K88" s="4"/>
      <c r="M88" s="4"/>
      <c r="AA88" s="4"/>
      <c r="AB88" s="4"/>
    </row>
    <row r="89">
      <c r="J89" s="4"/>
      <c r="K89" s="4"/>
      <c r="M89" s="4"/>
      <c r="AA89" s="4"/>
      <c r="AB89" s="4"/>
    </row>
    <row r="90">
      <c r="J90" s="4"/>
      <c r="K90" s="4"/>
      <c r="M90" s="4"/>
      <c r="AA90" s="4"/>
      <c r="AB90" s="4"/>
    </row>
    <row r="91">
      <c r="J91" s="4"/>
      <c r="K91" s="4"/>
      <c r="M91" s="4"/>
      <c r="AA91" s="4"/>
      <c r="AB91" s="4"/>
    </row>
    <row r="92">
      <c r="J92" s="4"/>
      <c r="K92" s="4"/>
      <c r="M92" s="4"/>
      <c r="AA92" s="4"/>
      <c r="AB92" s="4"/>
    </row>
    <row r="93">
      <c r="J93" s="4"/>
      <c r="K93" s="4"/>
      <c r="M93" s="4"/>
      <c r="AA93" s="4"/>
      <c r="AB93" s="4"/>
    </row>
    <row r="94">
      <c r="J94" s="4"/>
      <c r="K94" s="4"/>
      <c r="M94" s="4"/>
      <c r="AA94" s="4"/>
      <c r="AB94" s="4"/>
    </row>
    <row r="95">
      <c r="J95" s="4"/>
      <c r="K95" s="4"/>
      <c r="M95" s="4"/>
      <c r="AA95" s="4"/>
      <c r="AB95" s="4"/>
    </row>
    <row r="96">
      <c r="J96" s="4"/>
      <c r="K96" s="4"/>
      <c r="M96" s="4"/>
      <c r="AA96" s="4"/>
      <c r="AB96" s="4"/>
    </row>
    <row r="97">
      <c r="J97" s="4"/>
      <c r="K97" s="4"/>
      <c r="M97" s="4"/>
      <c r="AA97" s="4"/>
      <c r="AB97" s="4"/>
    </row>
    <row r="98">
      <c r="J98" s="4"/>
      <c r="K98" s="4"/>
      <c r="M98" s="4"/>
      <c r="AA98" s="4"/>
      <c r="AB98" s="4"/>
    </row>
    <row r="99">
      <c r="J99" s="4"/>
      <c r="K99" s="4"/>
      <c r="M99" s="4"/>
      <c r="AA99" s="4"/>
      <c r="AB99" s="4"/>
    </row>
    <row r="100">
      <c r="J100" s="4"/>
      <c r="K100" s="4"/>
      <c r="M100" s="4"/>
      <c r="AA100" s="4"/>
      <c r="AB100" s="4"/>
    </row>
    <row r="101">
      <c r="J101" s="4"/>
      <c r="K101" s="4"/>
      <c r="M101" s="4"/>
      <c r="AA101" s="4"/>
      <c r="AB101" s="4"/>
    </row>
    <row r="102">
      <c r="J102" s="4"/>
      <c r="K102" s="4"/>
      <c r="M102" s="4"/>
      <c r="AA102" s="4"/>
      <c r="AB102" s="4"/>
    </row>
    <row r="103">
      <c r="J103" s="4"/>
      <c r="K103" s="4"/>
      <c r="M103" s="4"/>
      <c r="AA103" s="4"/>
      <c r="AB103" s="4"/>
    </row>
    <row r="104">
      <c r="J104" s="4"/>
      <c r="K104" s="4"/>
      <c r="M104" s="4"/>
      <c r="AA104" s="4"/>
      <c r="AB104" s="4"/>
    </row>
    <row r="105">
      <c r="J105" s="4"/>
      <c r="K105" s="4"/>
      <c r="M105" s="4"/>
      <c r="AA105" s="4"/>
      <c r="AB105" s="4"/>
    </row>
    <row r="106">
      <c r="J106" s="4"/>
      <c r="K106" s="4"/>
      <c r="M106" s="4"/>
      <c r="AA106" s="4"/>
      <c r="AB106" s="4"/>
    </row>
    <row r="107">
      <c r="J107" s="4"/>
      <c r="K107" s="4"/>
      <c r="M107" s="4"/>
      <c r="AA107" s="4"/>
      <c r="AB107" s="4"/>
    </row>
    <row r="108">
      <c r="J108" s="4"/>
      <c r="K108" s="4"/>
      <c r="M108" s="4"/>
      <c r="AA108" s="4"/>
      <c r="AB108" s="4"/>
    </row>
    <row r="109">
      <c r="J109" s="4"/>
      <c r="K109" s="4"/>
      <c r="M109" s="4"/>
      <c r="AA109" s="4"/>
      <c r="AB109" s="4"/>
    </row>
    <row r="110">
      <c r="J110" s="4"/>
      <c r="K110" s="4"/>
      <c r="M110" s="4"/>
      <c r="AA110" s="4"/>
      <c r="AB110" s="4"/>
    </row>
    <row r="111">
      <c r="J111" s="4"/>
      <c r="K111" s="4"/>
      <c r="M111" s="4"/>
      <c r="AA111" s="4"/>
      <c r="AB111" s="4"/>
    </row>
    <row r="112">
      <c r="J112" s="4"/>
      <c r="K112" s="4"/>
      <c r="M112" s="4"/>
      <c r="AA112" s="4"/>
      <c r="AB112" s="4"/>
    </row>
    <row r="113">
      <c r="J113" s="4"/>
      <c r="K113" s="4"/>
      <c r="M113" s="4"/>
      <c r="AA113" s="4"/>
      <c r="AB113" s="4"/>
    </row>
    <row r="114">
      <c r="J114" s="4"/>
      <c r="K114" s="4"/>
      <c r="M114" s="4"/>
      <c r="AA114" s="4"/>
      <c r="AB114" s="4"/>
    </row>
    <row r="115">
      <c r="J115" s="4"/>
      <c r="K115" s="4"/>
      <c r="M115" s="4"/>
      <c r="AA115" s="4"/>
      <c r="AB115" s="4"/>
    </row>
    <row r="116">
      <c r="J116" s="4"/>
      <c r="K116" s="4"/>
      <c r="M116" s="4"/>
      <c r="AA116" s="4"/>
      <c r="AB116" s="4"/>
    </row>
    <row r="117">
      <c r="J117" s="4"/>
      <c r="K117" s="4"/>
      <c r="M117" s="4"/>
      <c r="AA117" s="4"/>
      <c r="AB117" s="4"/>
    </row>
    <row r="118">
      <c r="J118" s="4"/>
      <c r="K118" s="4"/>
      <c r="M118" s="4"/>
      <c r="AA118" s="4"/>
      <c r="AB118" s="4"/>
    </row>
    <row r="119">
      <c r="J119" s="4"/>
      <c r="K119" s="4"/>
      <c r="M119" s="4"/>
      <c r="AA119" s="4"/>
      <c r="AB119" s="4"/>
    </row>
    <row r="120">
      <c r="J120" s="4"/>
      <c r="K120" s="4"/>
      <c r="M120" s="4"/>
      <c r="AA120" s="4"/>
      <c r="AB120" s="4"/>
    </row>
    <row r="121">
      <c r="J121" s="4"/>
      <c r="K121" s="4"/>
      <c r="M121" s="4"/>
      <c r="AA121" s="4"/>
      <c r="AB121" s="4"/>
    </row>
    <row r="122">
      <c r="J122" s="4"/>
      <c r="K122" s="4"/>
      <c r="M122" s="4"/>
      <c r="AA122" s="4"/>
      <c r="AB122" s="4"/>
    </row>
    <row r="123">
      <c r="J123" s="4"/>
      <c r="K123" s="4"/>
      <c r="M123" s="4"/>
      <c r="AA123" s="4"/>
      <c r="AB123" s="4"/>
    </row>
    <row r="124">
      <c r="J124" s="4"/>
      <c r="K124" s="4"/>
      <c r="M124" s="4"/>
      <c r="AA124" s="4"/>
      <c r="AB124" s="4"/>
    </row>
    <row r="125">
      <c r="J125" s="4"/>
      <c r="K125" s="4"/>
      <c r="M125" s="4"/>
      <c r="AA125" s="4"/>
      <c r="AB125" s="4"/>
    </row>
    <row r="126">
      <c r="J126" s="4"/>
      <c r="K126" s="4"/>
      <c r="M126" s="4"/>
      <c r="AA126" s="4"/>
      <c r="AB126" s="4"/>
    </row>
    <row r="127">
      <c r="J127" s="4"/>
      <c r="K127" s="4"/>
      <c r="M127" s="4"/>
      <c r="AA127" s="4"/>
      <c r="AB127" s="4"/>
    </row>
    <row r="128">
      <c r="J128" s="4"/>
      <c r="K128" s="4"/>
      <c r="M128" s="4"/>
      <c r="AA128" s="4"/>
      <c r="AB128" s="4"/>
    </row>
    <row r="129">
      <c r="J129" s="4"/>
      <c r="K129" s="4"/>
      <c r="M129" s="4"/>
      <c r="AA129" s="4"/>
      <c r="AB129" s="4"/>
    </row>
    <row r="130">
      <c r="J130" s="4"/>
      <c r="K130" s="4"/>
      <c r="M130" s="4"/>
      <c r="AA130" s="4"/>
      <c r="AB130" s="4"/>
    </row>
    <row r="131">
      <c r="J131" s="4"/>
      <c r="K131" s="4"/>
      <c r="M131" s="4"/>
      <c r="AA131" s="4"/>
      <c r="AB131" s="4"/>
    </row>
    <row r="132">
      <c r="J132" s="4"/>
      <c r="K132" s="4"/>
      <c r="M132" s="4"/>
      <c r="AA132" s="4"/>
      <c r="AB132" s="4"/>
    </row>
    <row r="133">
      <c r="J133" s="4"/>
      <c r="K133" s="4"/>
      <c r="M133" s="4"/>
      <c r="AA133" s="4"/>
      <c r="AB133" s="4"/>
    </row>
    <row r="134">
      <c r="J134" s="4"/>
      <c r="K134" s="4"/>
      <c r="M134" s="4"/>
      <c r="AA134" s="4"/>
      <c r="AB134" s="4"/>
    </row>
    <row r="135">
      <c r="J135" s="4"/>
      <c r="K135" s="4"/>
      <c r="M135" s="4"/>
      <c r="AA135" s="4"/>
      <c r="AB135" s="4"/>
    </row>
    <row r="136">
      <c r="J136" s="4"/>
      <c r="K136" s="4"/>
      <c r="M136" s="4"/>
      <c r="AA136" s="4"/>
      <c r="AB136" s="4"/>
    </row>
    <row r="137">
      <c r="J137" s="4"/>
      <c r="K137" s="4"/>
      <c r="M137" s="4"/>
      <c r="AA137" s="4"/>
      <c r="AB137" s="4"/>
    </row>
    <row r="138">
      <c r="J138" s="4"/>
      <c r="K138" s="4"/>
      <c r="M138" s="4"/>
      <c r="AA138" s="4"/>
      <c r="AB138" s="4"/>
    </row>
    <row r="139">
      <c r="J139" s="4"/>
      <c r="K139" s="4"/>
      <c r="M139" s="4"/>
      <c r="AA139" s="4"/>
      <c r="AB139" s="4"/>
    </row>
    <row r="140">
      <c r="J140" s="4"/>
      <c r="K140" s="4"/>
      <c r="M140" s="4"/>
      <c r="AA140" s="4"/>
      <c r="AB140" s="4"/>
    </row>
    <row r="141">
      <c r="J141" s="4"/>
      <c r="K141" s="4"/>
      <c r="M141" s="4"/>
      <c r="AA141" s="4"/>
      <c r="AB141" s="4"/>
    </row>
    <row r="142">
      <c r="J142" s="4"/>
      <c r="K142" s="4"/>
      <c r="M142" s="4"/>
      <c r="AA142" s="4"/>
      <c r="AB142" s="4"/>
    </row>
    <row r="143">
      <c r="J143" s="4"/>
      <c r="K143" s="4"/>
      <c r="M143" s="4"/>
      <c r="AA143" s="4"/>
      <c r="AB143" s="4"/>
    </row>
    <row r="144">
      <c r="J144" s="4"/>
      <c r="K144" s="4"/>
      <c r="M144" s="4"/>
      <c r="AA144" s="4"/>
      <c r="AB144" s="4"/>
    </row>
    <row r="145">
      <c r="J145" s="4"/>
      <c r="K145" s="4"/>
      <c r="M145" s="4"/>
      <c r="AA145" s="4"/>
      <c r="AB145" s="4"/>
    </row>
    <row r="146">
      <c r="J146" s="4"/>
      <c r="K146" s="4"/>
      <c r="M146" s="4"/>
      <c r="AA146" s="4"/>
      <c r="AB146" s="4"/>
    </row>
    <row r="147">
      <c r="J147" s="4"/>
      <c r="K147" s="4"/>
      <c r="M147" s="4"/>
      <c r="AA147" s="4"/>
      <c r="AB147" s="4"/>
    </row>
    <row r="148">
      <c r="J148" s="4"/>
      <c r="K148" s="4"/>
      <c r="M148" s="4"/>
      <c r="AA148" s="4"/>
      <c r="AB148" s="4"/>
    </row>
    <row r="149">
      <c r="J149" s="4"/>
      <c r="K149" s="4"/>
      <c r="M149" s="4"/>
      <c r="AA149" s="4"/>
      <c r="AB149" s="4"/>
    </row>
    <row r="150">
      <c r="J150" s="4"/>
      <c r="K150" s="4"/>
      <c r="M150" s="4"/>
      <c r="AA150" s="4"/>
      <c r="AB150" s="4"/>
    </row>
    <row r="151">
      <c r="J151" s="4"/>
      <c r="K151" s="4"/>
      <c r="M151" s="4"/>
      <c r="AA151" s="4"/>
      <c r="AB151" s="4"/>
    </row>
    <row r="152">
      <c r="J152" s="4"/>
      <c r="K152" s="4"/>
      <c r="M152" s="4"/>
      <c r="AA152" s="4"/>
      <c r="AB152" s="4"/>
    </row>
    <row r="153">
      <c r="J153" s="4"/>
      <c r="K153" s="4"/>
      <c r="M153" s="4"/>
      <c r="AA153" s="4"/>
      <c r="AB153" s="4"/>
    </row>
    <row r="154">
      <c r="J154" s="4"/>
      <c r="K154" s="4"/>
      <c r="M154" s="4"/>
      <c r="AA154" s="4"/>
      <c r="AB154" s="4"/>
    </row>
    <row r="155">
      <c r="J155" s="4"/>
      <c r="K155" s="4"/>
      <c r="M155" s="4"/>
      <c r="AA155" s="4"/>
      <c r="AB155" s="4"/>
    </row>
    <row r="156">
      <c r="J156" s="4"/>
      <c r="K156" s="4"/>
      <c r="M156" s="4"/>
      <c r="AA156" s="4"/>
      <c r="AB156" s="4"/>
    </row>
    <row r="157">
      <c r="J157" s="4"/>
      <c r="K157" s="4"/>
      <c r="M157" s="4"/>
      <c r="AA157" s="4"/>
      <c r="AB157" s="4"/>
    </row>
    <row r="158">
      <c r="J158" s="4"/>
      <c r="K158" s="4"/>
      <c r="M158" s="4"/>
      <c r="AA158" s="4"/>
      <c r="AB158" s="4"/>
    </row>
    <row r="159">
      <c r="J159" s="4"/>
      <c r="K159" s="4"/>
      <c r="M159" s="4"/>
      <c r="AA159" s="4"/>
      <c r="AB159" s="4"/>
    </row>
    <row r="160">
      <c r="J160" s="4"/>
      <c r="K160" s="4"/>
      <c r="M160" s="4"/>
      <c r="AA160" s="4"/>
      <c r="AB160" s="4"/>
    </row>
    <row r="161">
      <c r="J161" s="4"/>
      <c r="K161" s="4"/>
      <c r="M161" s="4"/>
      <c r="AA161" s="4"/>
      <c r="AB161" s="4"/>
    </row>
    <row r="162">
      <c r="J162" s="4"/>
      <c r="K162" s="4"/>
      <c r="M162" s="4"/>
      <c r="AA162" s="4"/>
      <c r="AB162" s="4"/>
    </row>
    <row r="163">
      <c r="J163" s="4"/>
      <c r="K163" s="4"/>
      <c r="M163" s="4"/>
      <c r="AA163" s="4"/>
      <c r="AB163" s="4"/>
    </row>
    <row r="164">
      <c r="J164" s="4"/>
      <c r="K164" s="4"/>
      <c r="M164" s="4"/>
      <c r="AA164" s="4"/>
      <c r="AB164" s="4"/>
    </row>
    <row r="165">
      <c r="J165" s="4"/>
      <c r="K165" s="4"/>
      <c r="M165" s="4"/>
      <c r="AA165" s="4"/>
      <c r="AB165" s="4"/>
    </row>
    <row r="166">
      <c r="J166" s="4"/>
      <c r="K166" s="4"/>
      <c r="M166" s="4"/>
      <c r="AA166" s="4"/>
      <c r="AB166" s="4"/>
    </row>
    <row r="167">
      <c r="J167" s="4"/>
      <c r="K167" s="4"/>
      <c r="M167" s="4"/>
      <c r="AA167" s="4"/>
      <c r="AB167" s="4"/>
    </row>
    <row r="168">
      <c r="J168" s="4"/>
      <c r="K168" s="4"/>
      <c r="M168" s="4"/>
      <c r="AA168" s="4"/>
      <c r="AB168" s="4"/>
    </row>
    <row r="169">
      <c r="J169" s="4"/>
      <c r="K169" s="4"/>
      <c r="M169" s="4"/>
      <c r="AA169" s="4"/>
      <c r="AB169" s="4"/>
    </row>
    <row r="170">
      <c r="J170" s="4"/>
      <c r="K170" s="4"/>
      <c r="M170" s="4"/>
      <c r="AA170" s="4"/>
      <c r="AB170" s="4"/>
    </row>
    <row r="171">
      <c r="J171" s="4"/>
      <c r="K171" s="4"/>
      <c r="M171" s="4"/>
      <c r="AA171" s="4"/>
      <c r="AB171" s="4"/>
    </row>
    <row r="172">
      <c r="J172" s="4"/>
      <c r="K172" s="4"/>
      <c r="M172" s="4"/>
      <c r="AA172" s="4"/>
      <c r="AB172" s="4"/>
    </row>
    <row r="173">
      <c r="J173" s="4"/>
      <c r="K173" s="4"/>
      <c r="M173" s="4"/>
      <c r="AA173" s="4"/>
      <c r="AB173" s="4"/>
    </row>
    <row r="174">
      <c r="J174" s="4"/>
      <c r="K174" s="4"/>
      <c r="M174" s="4"/>
      <c r="AA174" s="4"/>
      <c r="AB174" s="4"/>
    </row>
    <row r="175">
      <c r="J175" s="4"/>
      <c r="K175" s="4"/>
      <c r="M175" s="4"/>
      <c r="AA175" s="4"/>
      <c r="AB175" s="4"/>
    </row>
    <row r="176">
      <c r="J176" s="4"/>
      <c r="K176" s="4"/>
      <c r="M176" s="4"/>
      <c r="AA176" s="4"/>
      <c r="AB176" s="4"/>
    </row>
    <row r="177">
      <c r="J177" s="4"/>
      <c r="K177" s="4"/>
      <c r="M177" s="4"/>
      <c r="AA177" s="4"/>
      <c r="AB177" s="4"/>
    </row>
    <row r="178">
      <c r="J178" s="4"/>
      <c r="K178" s="4"/>
      <c r="M178" s="4"/>
      <c r="AA178" s="4"/>
      <c r="AB178" s="4"/>
    </row>
    <row r="179">
      <c r="J179" s="4"/>
      <c r="K179" s="4"/>
      <c r="M179" s="4"/>
      <c r="AA179" s="4"/>
      <c r="AB179" s="4"/>
    </row>
    <row r="180">
      <c r="J180" s="4"/>
      <c r="K180" s="4"/>
      <c r="M180" s="4"/>
      <c r="AA180" s="4"/>
      <c r="AB180" s="4"/>
    </row>
    <row r="181">
      <c r="J181" s="4"/>
      <c r="K181" s="4"/>
      <c r="M181" s="4"/>
      <c r="AA181" s="4"/>
      <c r="AB181" s="4"/>
    </row>
    <row r="182">
      <c r="J182" s="4"/>
      <c r="K182" s="4"/>
      <c r="M182" s="4"/>
      <c r="AA182" s="4"/>
      <c r="AB182" s="4"/>
    </row>
    <row r="183">
      <c r="J183" s="4"/>
      <c r="K183" s="4"/>
      <c r="M183" s="4"/>
      <c r="AA183" s="4"/>
      <c r="AB183" s="4"/>
    </row>
    <row r="184">
      <c r="J184" s="4"/>
      <c r="K184" s="4"/>
      <c r="M184" s="4"/>
      <c r="AA184" s="4"/>
      <c r="AB184" s="4"/>
    </row>
    <row r="185">
      <c r="J185" s="4"/>
      <c r="K185" s="4"/>
      <c r="M185" s="4"/>
      <c r="AA185" s="4"/>
      <c r="AB185" s="4"/>
    </row>
    <row r="186">
      <c r="J186" s="4"/>
      <c r="K186" s="4"/>
      <c r="M186" s="4"/>
      <c r="AA186" s="4"/>
      <c r="AB186" s="4"/>
    </row>
    <row r="187">
      <c r="J187" s="4"/>
      <c r="K187" s="4"/>
      <c r="M187" s="4"/>
      <c r="AA187" s="4"/>
      <c r="AB187" s="4"/>
    </row>
    <row r="188">
      <c r="J188" s="4"/>
      <c r="K188" s="4"/>
      <c r="M188" s="4"/>
      <c r="AA188" s="4"/>
      <c r="AB188" s="4"/>
    </row>
    <row r="189">
      <c r="J189" s="4"/>
      <c r="K189" s="4"/>
      <c r="M189" s="4"/>
      <c r="AA189" s="4"/>
      <c r="AB189" s="4"/>
    </row>
    <row r="190">
      <c r="J190" s="4"/>
      <c r="K190" s="4"/>
      <c r="M190" s="4"/>
      <c r="AA190" s="4"/>
      <c r="AB190" s="4"/>
    </row>
    <row r="191">
      <c r="J191" s="4"/>
      <c r="K191" s="4"/>
      <c r="M191" s="4"/>
      <c r="AA191" s="4"/>
      <c r="AB191" s="4"/>
    </row>
    <row r="192">
      <c r="J192" s="4"/>
      <c r="K192" s="4"/>
      <c r="M192" s="4"/>
      <c r="AA192" s="4"/>
      <c r="AB192" s="4"/>
    </row>
    <row r="193">
      <c r="J193" s="4"/>
      <c r="K193" s="4"/>
      <c r="M193" s="4"/>
      <c r="AA193" s="4"/>
      <c r="AB193" s="4"/>
    </row>
    <row r="194">
      <c r="J194" s="4"/>
      <c r="K194" s="4"/>
      <c r="M194" s="4"/>
      <c r="AA194" s="4"/>
      <c r="AB194" s="4"/>
    </row>
    <row r="195">
      <c r="J195" s="4"/>
      <c r="K195" s="4"/>
      <c r="M195" s="4"/>
      <c r="AA195" s="4"/>
      <c r="AB195" s="4"/>
    </row>
    <row r="196">
      <c r="J196" s="4"/>
      <c r="K196" s="4"/>
      <c r="M196" s="4"/>
      <c r="AA196" s="4"/>
      <c r="AB196" s="4"/>
    </row>
    <row r="197">
      <c r="J197" s="4"/>
      <c r="K197" s="4"/>
      <c r="M197" s="4"/>
      <c r="AA197" s="4"/>
      <c r="AB197" s="4"/>
    </row>
    <row r="198">
      <c r="J198" s="4"/>
      <c r="K198" s="4"/>
      <c r="M198" s="4"/>
      <c r="AA198" s="4"/>
      <c r="AB198" s="4"/>
    </row>
    <row r="199">
      <c r="J199" s="4"/>
      <c r="K199" s="4"/>
      <c r="M199" s="4"/>
      <c r="AA199" s="4"/>
      <c r="AB199" s="4"/>
    </row>
    <row r="200">
      <c r="J200" s="4"/>
      <c r="K200" s="4"/>
      <c r="M200" s="4"/>
      <c r="AA200" s="4"/>
      <c r="AB200" s="4"/>
    </row>
    <row r="201">
      <c r="J201" s="4"/>
      <c r="K201" s="4"/>
      <c r="M201" s="4"/>
      <c r="AA201" s="4"/>
      <c r="AB201" s="4"/>
    </row>
    <row r="202">
      <c r="J202" s="4"/>
      <c r="K202" s="4"/>
      <c r="M202" s="4"/>
      <c r="AA202" s="4"/>
      <c r="AB202" s="4"/>
    </row>
    <row r="203">
      <c r="J203" s="4"/>
      <c r="K203" s="4"/>
      <c r="M203" s="4"/>
      <c r="AA203" s="4"/>
      <c r="AB203" s="4"/>
    </row>
    <row r="204">
      <c r="J204" s="4"/>
      <c r="K204" s="4"/>
      <c r="M204" s="4"/>
      <c r="AA204" s="4"/>
      <c r="AB204" s="4"/>
    </row>
    <row r="205">
      <c r="J205" s="4"/>
      <c r="K205" s="4"/>
      <c r="M205" s="4"/>
      <c r="AA205" s="4"/>
      <c r="AB205" s="4"/>
    </row>
    <row r="206">
      <c r="J206" s="4"/>
      <c r="K206" s="4"/>
      <c r="M206" s="4"/>
      <c r="AA206" s="4"/>
      <c r="AB206" s="4"/>
    </row>
    <row r="207">
      <c r="J207" s="4"/>
      <c r="K207" s="4"/>
      <c r="M207" s="4"/>
      <c r="AA207" s="4"/>
      <c r="AB207" s="4"/>
    </row>
    <row r="208">
      <c r="J208" s="4"/>
      <c r="K208" s="4"/>
      <c r="M208" s="4"/>
      <c r="AA208" s="4"/>
      <c r="AB208" s="4"/>
    </row>
    <row r="209">
      <c r="J209" s="4"/>
      <c r="K209" s="4"/>
      <c r="M209" s="4"/>
      <c r="AA209" s="4"/>
      <c r="AB209" s="4"/>
    </row>
    <row r="210">
      <c r="J210" s="4"/>
      <c r="K210" s="4"/>
      <c r="M210" s="4"/>
      <c r="AA210" s="4"/>
      <c r="AB210" s="4"/>
    </row>
    <row r="211">
      <c r="J211" s="4"/>
      <c r="K211" s="4"/>
      <c r="M211" s="4"/>
      <c r="AA211" s="4"/>
      <c r="AB211" s="4"/>
    </row>
    <row r="212">
      <c r="J212" s="4"/>
      <c r="K212" s="4"/>
      <c r="M212" s="4"/>
      <c r="AA212" s="4"/>
      <c r="AB212" s="4"/>
    </row>
    <row r="213">
      <c r="J213" s="4"/>
      <c r="K213" s="4"/>
      <c r="M213" s="4"/>
      <c r="AA213" s="4"/>
      <c r="AB213" s="4"/>
    </row>
    <row r="214">
      <c r="J214" s="4"/>
      <c r="K214" s="4"/>
      <c r="M214" s="4"/>
      <c r="AA214" s="4"/>
      <c r="AB214" s="4"/>
    </row>
    <row r="215">
      <c r="J215" s="4"/>
      <c r="K215" s="4"/>
      <c r="M215" s="4"/>
      <c r="AA215" s="4"/>
      <c r="AB215" s="4"/>
    </row>
    <row r="216">
      <c r="J216" s="4"/>
      <c r="K216" s="4"/>
      <c r="M216" s="4"/>
      <c r="AA216" s="4"/>
      <c r="AB216" s="4"/>
    </row>
    <row r="217">
      <c r="J217" s="4"/>
      <c r="K217" s="4"/>
      <c r="M217" s="4"/>
      <c r="AA217" s="4"/>
      <c r="AB217" s="4"/>
    </row>
    <row r="218">
      <c r="J218" s="4"/>
      <c r="K218" s="4"/>
      <c r="M218" s="4"/>
      <c r="AA218" s="4"/>
      <c r="AB218" s="4"/>
    </row>
    <row r="219">
      <c r="J219" s="4"/>
      <c r="K219" s="4"/>
      <c r="M219" s="4"/>
      <c r="AA219" s="4"/>
      <c r="AB219" s="4"/>
    </row>
    <row r="220">
      <c r="J220" s="4"/>
      <c r="K220" s="4"/>
      <c r="M220" s="4"/>
      <c r="AA220" s="4"/>
      <c r="AB220" s="4"/>
    </row>
    <row r="221">
      <c r="J221" s="4"/>
      <c r="K221" s="4"/>
      <c r="M221" s="4"/>
      <c r="AA221" s="4"/>
      <c r="AB221" s="4"/>
    </row>
    <row r="222">
      <c r="J222" s="4"/>
      <c r="K222" s="4"/>
      <c r="M222" s="4"/>
      <c r="AA222" s="4"/>
      <c r="AB222" s="4"/>
    </row>
    <row r="223">
      <c r="J223" s="4"/>
      <c r="K223" s="4"/>
      <c r="M223" s="4"/>
      <c r="AA223" s="4"/>
      <c r="AB223" s="4"/>
    </row>
    <row r="224">
      <c r="J224" s="4"/>
      <c r="K224" s="4"/>
      <c r="M224" s="4"/>
      <c r="AA224" s="4"/>
      <c r="AB224" s="4"/>
    </row>
    <row r="225">
      <c r="J225" s="4"/>
      <c r="K225" s="4"/>
      <c r="M225" s="4"/>
      <c r="AA225" s="4"/>
      <c r="AB225" s="4"/>
    </row>
    <row r="226">
      <c r="J226" s="4"/>
      <c r="K226" s="4"/>
      <c r="M226" s="4"/>
      <c r="AA226" s="4"/>
      <c r="AB226" s="4"/>
    </row>
    <row r="227">
      <c r="J227" s="4"/>
      <c r="K227" s="4"/>
      <c r="M227" s="4"/>
      <c r="AA227" s="4"/>
      <c r="AB227" s="4"/>
    </row>
    <row r="228">
      <c r="J228" s="4"/>
      <c r="K228" s="4"/>
      <c r="M228" s="4"/>
      <c r="AA228" s="4"/>
      <c r="AB228" s="4"/>
    </row>
    <row r="229">
      <c r="J229" s="4"/>
      <c r="K229" s="4"/>
      <c r="M229" s="4"/>
      <c r="AA229" s="4"/>
      <c r="AB229" s="4"/>
    </row>
    <row r="230">
      <c r="J230" s="4"/>
      <c r="K230" s="4"/>
      <c r="M230" s="4"/>
      <c r="AA230" s="4"/>
      <c r="AB230" s="4"/>
    </row>
    <row r="231">
      <c r="J231" s="4"/>
      <c r="K231" s="4"/>
      <c r="M231" s="4"/>
      <c r="AA231" s="4"/>
      <c r="AB231" s="4"/>
    </row>
    <row r="232">
      <c r="J232" s="4"/>
      <c r="K232" s="4"/>
      <c r="M232" s="4"/>
      <c r="AA232" s="4"/>
      <c r="AB232" s="4"/>
    </row>
    <row r="233">
      <c r="J233" s="4"/>
      <c r="K233" s="4"/>
      <c r="M233" s="4"/>
      <c r="AA233" s="4"/>
      <c r="AB233" s="4"/>
    </row>
    <row r="234">
      <c r="J234" s="4"/>
      <c r="K234" s="4"/>
      <c r="M234" s="4"/>
      <c r="AA234" s="4"/>
      <c r="AB234" s="4"/>
    </row>
    <row r="235">
      <c r="J235" s="4"/>
      <c r="K235" s="4"/>
      <c r="M235" s="4"/>
      <c r="AA235" s="4"/>
      <c r="AB235" s="4"/>
    </row>
    <row r="236">
      <c r="J236" s="4"/>
      <c r="K236" s="4"/>
      <c r="M236" s="4"/>
      <c r="AA236" s="4"/>
      <c r="AB236" s="4"/>
    </row>
    <row r="237">
      <c r="J237" s="4"/>
      <c r="K237" s="4"/>
      <c r="M237" s="4"/>
      <c r="AA237" s="4"/>
      <c r="AB237" s="4"/>
    </row>
    <row r="238">
      <c r="J238" s="4"/>
      <c r="K238" s="4"/>
      <c r="M238" s="4"/>
      <c r="AA238" s="4"/>
      <c r="AB238" s="4"/>
    </row>
    <row r="239">
      <c r="J239" s="4"/>
      <c r="K239" s="4"/>
      <c r="M239" s="4"/>
      <c r="AA239" s="4"/>
      <c r="AB239" s="4"/>
    </row>
    <row r="240">
      <c r="J240" s="4"/>
      <c r="K240" s="4"/>
      <c r="M240" s="4"/>
      <c r="AA240" s="4"/>
      <c r="AB240" s="4"/>
    </row>
    <row r="241">
      <c r="J241" s="4"/>
      <c r="K241" s="4"/>
      <c r="M241" s="4"/>
      <c r="AA241" s="4"/>
      <c r="AB241" s="4"/>
    </row>
    <row r="242">
      <c r="J242" s="4"/>
      <c r="K242" s="4"/>
      <c r="M242" s="4"/>
      <c r="AA242" s="4"/>
      <c r="AB242" s="4"/>
    </row>
    <row r="243">
      <c r="J243" s="4"/>
      <c r="K243" s="4"/>
      <c r="M243" s="4"/>
      <c r="AA243" s="4"/>
      <c r="AB243" s="4"/>
    </row>
    <row r="244">
      <c r="J244" s="4"/>
      <c r="K244" s="4"/>
      <c r="M244" s="4"/>
      <c r="AA244" s="4"/>
      <c r="AB244" s="4"/>
    </row>
    <row r="245">
      <c r="J245" s="4"/>
      <c r="K245" s="4"/>
      <c r="M245" s="4"/>
      <c r="AA245" s="4"/>
      <c r="AB245" s="4"/>
    </row>
    <row r="246">
      <c r="J246" s="4"/>
      <c r="K246" s="4"/>
      <c r="M246" s="4"/>
      <c r="AA246" s="4"/>
      <c r="AB246" s="4"/>
    </row>
    <row r="247">
      <c r="J247" s="4"/>
      <c r="K247" s="4"/>
      <c r="M247" s="4"/>
      <c r="AA247" s="4"/>
      <c r="AB247" s="4"/>
    </row>
    <row r="248">
      <c r="J248" s="4"/>
      <c r="K248" s="4"/>
      <c r="M248" s="4"/>
      <c r="AA248" s="4"/>
      <c r="AB248" s="4"/>
    </row>
    <row r="249">
      <c r="J249" s="4"/>
      <c r="K249" s="4"/>
      <c r="M249" s="4"/>
      <c r="AA249" s="4"/>
      <c r="AB249" s="4"/>
    </row>
    <row r="250">
      <c r="J250" s="4"/>
      <c r="K250" s="4"/>
      <c r="M250" s="4"/>
      <c r="AA250" s="4"/>
      <c r="AB250" s="4"/>
    </row>
    <row r="251">
      <c r="J251" s="4"/>
      <c r="K251" s="4"/>
      <c r="M251" s="4"/>
      <c r="AA251" s="4"/>
      <c r="AB251" s="4"/>
    </row>
    <row r="252">
      <c r="J252" s="4"/>
      <c r="K252" s="4"/>
      <c r="M252" s="4"/>
      <c r="AA252" s="4"/>
      <c r="AB252" s="4"/>
    </row>
    <row r="253">
      <c r="J253" s="4"/>
      <c r="K253" s="4"/>
      <c r="M253" s="4"/>
      <c r="AA253" s="4"/>
      <c r="AB253" s="4"/>
    </row>
    <row r="254">
      <c r="J254" s="4"/>
      <c r="K254" s="4"/>
      <c r="M254" s="4"/>
      <c r="AA254" s="4"/>
      <c r="AB254" s="4"/>
    </row>
    <row r="255">
      <c r="J255" s="4"/>
      <c r="K255" s="4"/>
      <c r="M255" s="4"/>
      <c r="AA255" s="4"/>
      <c r="AB255" s="4"/>
    </row>
    <row r="256">
      <c r="J256" s="4"/>
      <c r="K256" s="4"/>
      <c r="M256" s="4"/>
      <c r="AA256" s="4"/>
      <c r="AB256" s="4"/>
    </row>
    <row r="257">
      <c r="J257" s="4"/>
      <c r="K257" s="4"/>
      <c r="M257" s="4"/>
      <c r="AA257" s="4"/>
      <c r="AB257" s="4"/>
    </row>
    <row r="258">
      <c r="J258" s="4"/>
      <c r="K258" s="4"/>
      <c r="M258" s="4"/>
      <c r="AA258" s="4"/>
      <c r="AB258" s="4"/>
    </row>
    <row r="259">
      <c r="J259" s="4"/>
      <c r="K259" s="4"/>
      <c r="M259" s="4"/>
      <c r="AA259" s="4"/>
      <c r="AB259" s="4"/>
    </row>
    <row r="260">
      <c r="J260" s="4"/>
      <c r="K260" s="4"/>
      <c r="M260" s="4"/>
      <c r="AA260" s="4"/>
      <c r="AB260" s="4"/>
    </row>
    <row r="261">
      <c r="J261" s="4"/>
      <c r="K261" s="4"/>
      <c r="M261" s="4"/>
      <c r="AA261" s="4"/>
      <c r="AB261" s="4"/>
    </row>
    <row r="262">
      <c r="J262" s="4"/>
      <c r="K262" s="4"/>
      <c r="M262" s="4"/>
      <c r="AA262" s="4"/>
      <c r="AB262" s="4"/>
    </row>
    <row r="263">
      <c r="J263" s="4"/>
      <c r="K263" s="4"/>
      <c r="M263" s="4"/>
      <c r="AA263" s="4"/>
      <c r="AB263" s="4"/>
    </row>
    <row r="264">
      <c r="J264" s="4"/>
      <c r="K264" s="4"/>
      <c r="M264" s="4"/>
      <c r="AA264" s="4"/>
      <c r="AB264" s="4"/>
    </row>
    <row r="265">
      <c r="J265" s="4"/>
      <c r="K265" s="4"/>
      <c r="M265" s="4"/>
      <c r="AA265" s="4"/>
      <c r="AB265" s="4"/>
    </row>
    <row r="266">
      <c r="J266" s="4"/>
      <c r="K266" s="4"/>
      <c r="M266" s="4"/>
      <c r="AA266" s="4"/>
      <c r="AB266" s="4"/>
    </row>
    <row r="267">
      <c r="J267" s="4"/>
      <c r="K267" s="4"/>
      <c r="M267" s="4"/>
      <c r="AA267" s="4"/>
      <c r="AB267" s="4"/>
    </row>
    <row r="268">
      <c r="J268" s="4"/>
      <c r="K268" s="4"/>
      <c r="M268" s="4"/>
      <c r="AA268" s="4"/>
      <c r="AB268" s="4"/>
    </row>
    <row r="269">
      <c r="J269" s="4"/>
      <c r="K269" s="4"/>
      <c r="M269" s="4"/>
      <c r="AA269" s="4"/>
      <c r="AB269" s="4"/>
    </row>
    <row r="270">
      <c r="J270" s="4"/>
      <c r="K270" s="4"/>
      <c r="M270" s="4"/>
      <c r="AA270" s="4"/>
      <c r="AB270" s="4"/>
    </row>
    <row r="271">
      <c r="J271" s="4"/>
      <c r="K271" s="4"/>
      <c r="M271" s="4"/>
      <c r="AA271" s="4"/>
      <c r="AB271" s="4"/>
    </row>
    <row r="272">
      <c r="J272" s="4"/>
      <c r="K272" s="4"/>
      <c r="M272" s="4"/>
      <c r="AA272" s="4"/>
      <c r="AB272" s="4"/>
    </row>
    <row r="273">
      <c r="J273" s="4"/>
      <c r="K273" s="4"/>
      <c r="M273" s="4"/>
      <c r="AA273" s="4"/>
      <c r="AB273" s="4"/>
    </row>
    <row r="274">
      <c r="J274" s="4"/>
      <c r="K274" s="4"/>
      <c r="M274" s="4"/>
      <c r="AA274" s="4"/>
      <c r="AB274" s="4"/>
    </row>
    <row r="275">
      <c r="J275" s="4"/>
      <c r="K275" s="4"/>
      <c r="M275" s="4"/>
      <c r="AA275" s="4"/>
      <c r="AB275" s="4"/>
    </row>
    <row r="276">
      <c r="J276" s="4"/>
      <c r="K276" s="4"/>
      <c r="M276" s="4"/>
      <c r="AA276" s="4"/>
      <c r="AB276" s="4"/>
    </row>
    <row r="277">
      <c r="J277" s="4"/>
      <c r="K277" s="4"/>
      <c r="M277" s="4"/>
      <c r="AA277" s="4"/>
      <c r="AB277" s="4"/>
    </row>
    <row r="278">
      <c r="J278" s="4"/>
      <c r="K278" s="4"/>
      <c r="M278" s="4"/>
      <c r="AA278" s="4"/>
      <c r="AB278" s="4"/>
    </row>
    <row r="279">
      <c r="J279" s="4"/>
      <c r="K279" s="4"/>
      <c r="M279" s="4"/>
      <c r="AA279" s="4"/>
      <c r="AB279" s="4"/>
    </row>
    <row r="280">
      <c r="J280" s="4"/>
      <c r="K280" s="4"/>
      <c r="M280" s="4"/>
      <c r="AA280" s="4"/>
      <c r="AB280" s="4"/>
    </row>
    <row r="281">
      <c r="J281" s="4"/>
      <c r="K281" s="4"/>
      <c r="M281" s="4"/>
      <c r="AA281" s="4"/>
      <c r="AB281" s="4"/>
    </row>
    <row r="282">
      <c r="J282" s="4"/>
      <c r="K282" s="4"/>
      <c r="M282" s="4"/>
      <c r="AA282" s="4"/>
      <c r="AB282" s="4"/>
    </row>
    <row r="283">
      <c r="J283" s="4"/>
      <c r="K283" s="4"/>
      <c r="M283" s="4"/>
      <c r="AA283" s="4"/>
      <c r="AB283" s="4"/>
    </row>
    <row r="284">
      <c r="J284" s="4"/>
      <c r="K284" s="4"/>
      <c r="M284" s="4"/>
      <c r="AA284" s="4"/>
      <c r="AB284" s="4"/>
    </row>
    <row r="285">
      <c r="J285" s="4"/>
      <c r="K285" s="4"/>
      <c r="M285" s="4"/>
      <c r="AA285" s="4"/>
      <c r="AB285" s="4"/>
    </row>
    <row r="286">
      <c r="J286" s="4"/>
      <c r="K286" s="4"/>
      <c r="M286" s="4"/>
      <c r="AA286" s="4"/>
      <c r="AB286" s="4"/>
    </row>
    <row r="287">
      <c r="J287" s="4"/>
      <c r="K287" s="4"/>
      <c r="M287" s="4"/>
      <c r="AA287" s="4"/>
      <c r="AB287" s="4"/>
    </row>
    <row r="288">
      <c r="J288" s="4"/>
      <c r="K288" s="4"/>
      <c r="M288" s="4"/>
      <c r="AA288" s="4"/>
      <c r="AB288" s="4"/>
    </row>
    <row r="289">
      <c r="J289" s="4"/>
      <c r="K289" s="4"/>
      <c r="M289" s="4"/>
      <c r="AA289" s="4"/>
      <c r="AB289" s="4"/>
    </row>
    <row r="290">
      <c r="J290" s="4"/>
      <c r="K290" s="4"/>
      <c r="M290" s="4"/>
      <c r="AA290" s="4"/>
      <c r="AB290" s="4"/>
    </row>
    <row r="291">
      <c r="J291" s="4"/>
      <c r="K291" s="4"/>
      <c r="M291" s="4"/>
      <c r="AA291" s="4"/>
      <c r="AB291" s="4"/>
    </row>
    <row r="292">
      <c r="J292" s="4"/>
      <c r="K292" s="4"/>
      <c r="M292" s="4"/>
      <c r="AA292" s="4"/>
      <c r="AB292" s="4"/>
    </row>
    <row r="293">
      <c r="J293" s="4"/>
      <c r="K293" s="4"/>
      <c r="M293" s="4"/>
      <c r="AA293" s="4"/>
      <c r="AB293" s="4"/>
    </row>
    <row r="294">
      <c r="J294" s="4"/>
      <c r="K294" s="4"/>
      <c r="M294" s="4"/>
      <c r="AA294" s="4"/>
      <c r="AB294" s="4"/>
    </row>
    <row r="295">
      <c r="J295" s="4"/>
      <c r="K295" s="4"/>
      <c r="M295" s="4"/>
      <c r="AA295" s="4"/>
      <c r="AB295" s="4"/>
    </row>
    <row r="296">
      <c r="J296" s="4"/>
      <c r="K296" s="4"/>
      <c r="M296" s="4"/>
      <c r="AA296" s="4"/>
      <c r="AB296" s="4"/>
    </row>
    <row r="297">
      <c r="J297" s="4"/>
      <c r="K297" s="4"/>
      <c r="M297" s="4"/>
      <c r="AA297" s="4"/>
      <c r="AB297" s="4"/>
    </row>
    <row r="298">
      <c r="J298" s="4"/>
      <c r="K298" s="4"/>
      <c r="M298" s="4"/>
      <c r="AA298" s="4"/>
      <c r="AB298" s="4"/>
    </row>
    <row r="299">
      <c r="J299" s="4"/>
      <c r="K299" s="4"/>
      <c r="M299" s="4"/>
      <c r="AA299" s="4"/>
      <c r="AB299" s="4"/>
    </row>
    <row r="300">
      <c r="J300" s="4"/>
      <c r="K300" s="4"/>
      <c r="M300" s="4"/>
      <c r="AA300" s="4"/>
      <c r="AB300" s="4"/>
    </row>
    <row r="301">
      <c r="J301" s="4"/>
      <c r="K301" s="4"/>
      <c r="M301" s="4"/>
      <c r="AA301" s="4"/>
      <c r="AB301" s="4"/>
    </row>
    <row r="302">
      <c r="J302" s="4"/>
      <c r="K302" s="4"/>
      <c r="M302" s="4"/>
      <c r="AA302" s="4"/>
      <c r="AB302" s="4"/>
    </row>
    <row r="303">
      <c r="J303" s="4"/>
      <c r="K303" s="4"/>
      <c r="M303" s="4"/>
      <c r="AA303" s="4"/>
      <c r="AB303" s="4"/>
    </row>
    <row r="304">
      <c r="J304" s="4"/>
      <c r="K304" s="4"/>
      <c r="M304" s="4"/>
      <c r="AA304" s="4"/>
      <c r="AB304" s="4"/>
    </row>
    <row r="305">
      <c r="J305" s="4"/>
      <c r="K305" s="4"/>
      <c r="M305" s="4"/>
      <c r="AA305" s="4"/>
      <c r="AB305" s="4"/>
    </row>
    <row r="306">
      <c r="J306" s="4"/>
      <c r="K306" s="4"/>
      <c r="M306" s="4"/>
      <c r="AA306" s="4"/>
      <c r="AB306" s="4"/>
    </row>
    <row r="307">
      <c r="J307" s="4"/>
      <c r="K307" s="4"/>
      <c r="M307" s="4"/>
      <c r="AA307" s="4"/>
      <c r="AB307" s="4"/>
    </row>
    <row r="308">
      <c r="J308" s="4"/>
      <c r="K308" s="4"/>
      <c r="M308" s="4"/>
      <c r="AA308" s="4"/>
      <c r="AB308" s="4"/>
    </row>
    <row r="309">
      <c r="J309" s="4"/>
      <c r="K309" s="4"/>
      <c r="M309" s="4"/>
      <c r="AA309" s="4"/>
      <c r="AB309" s="4"/>
    </row>
    <row r="310">
      <c r="J310" s="4"/>
      <c r="K310" s="4"/>
      <c r="M310" s="4"/>
      <c r="AA310" s="4"/>
      <c r="AB310" s="4"/>
    </row>
    <row r="311">
      <c r="J311" s="4"/>
      <c r="K311" s="4"/>
      <c r="M311" s="4"/>
      <c r="AA311" s="4"/>
      <c r="AB311" s="4"/>
    </row>
    <row r="312">
      <c r="J312" s="4"/>
      <c r="K312" s="4"/>
      <c r="M312" s="4"/>
      <c r="AA312" s="4"/>
      <c r="AB312" s="4"/>
    </row>
    <row r="313">
      <c r="J313" s="4"/>
      <c r="K313" s="4"/>
      <c r="M313" s="4"/>
      <c r="AA313" s="4"/>
      <c r="AB313" s="4"/>
    </row>
    <row r="314">
      <c r="J314" s="4"/>
      <c r="K314" s="4"/>
      <c r="M314" s="4"/>
      <c r="AA314" s="4"/>
      <c r="AB314" s="4"/>
    </row>
    <row r="315">
      <c r="J315" s="4"/>
      <c r="K315" s="4"/>
      <c r="M315" s="4"/>
      <c r="AA315" s="4"/>
      <c r="AB315" s="4"/>
    </row>
    <row r="316">
      <c r="J316" s="4"/>
      <c r="K316" s="4"/>
      <c r="M316" s="4"/>
      <c r="AA316" s="4"/>
      <c r="AB316" s="4"/>
    </row>
    <row r="317">
      <c r="J317" s="4"/>
      <c r="K317" s="4"/>
      <c r="M317" s="4"/>
      <c r="AA317" s="4"/>
      <c r="AB317" s="4"/>
    </row>
    <row r="318">
      <c r="J318" s="4"/>
      <c r="K318" s="4"/>
      <c r="M318" s="4"/>
      <c r="AA318" s="4"/>
      <c r="AB318" s="4"/>
    </row>
    <row r="319">
      <c r="J319" s="4"/>
      <c r="K319" s="4"/>
      <c r="M319" s="4"/>
      <c r="AA319" s="4"/>
      <c r="AB319" s="4"/>
    </row>
    <row r="320">
      <c r="J320" s="4"/>
      <c r="K320" s="4"/>
      <c r="M320" s="4"/>
      <c r="AA320" s="4"/>
      <c r="AB320" s="4"/>
    </row>
    <row r="321">
      <c r="J321" s="4"/>
      <c r="K321" s="4"/>
      <c r="M321" s="4"/>
      <c r="AA321" s="4"/>
      <c r="AB321" s="4"/>
    </row>
    <row r="322">
      <c r="J322" s="4"/>
      <c r="K322" s="4"/>
      <c r="M322" s="4"/>
      <c r="AA322" s="4"/>
      <c r="AB322" s="4"/>
    </row>
    <row r="323">
      <c r="J323" s="4"/>
      <c r="K323" s="4"/>
      <c r="M323" s="4"/>
      <c r="AA323" s="4"/>
      <c r="AB323" s="4"/>
    </row>
    <row r="324">
      <c r="J324" s="4"/>
      <c r="K324" s="4"/>
      <c r="M324" s="4"/>
      <c r="AA324" s="4"/>
      <c r="AB324" s="4"/>
    </row>
    <row r="325">
      <c r="J325" s="4"/>
      <c r="K325" s="4"/>
      <c r="M325" s="4"/>
      <c r="AA325" s="4"/>
      <c r="AB325" s="4"/>
    </row>
    <row r="326">
      <c r="J326" s="4"/>
      <c r="K326" s="4"/>
      <c r="M326" s="4"/>
      <c r="AA326" s="4"/>
      <c r="AB326" s="4"/>
    </row>
    <row r="327">
      <c r="J327" s="4"/>
      <c r="K327" s="4"/>
      <c r="M327" s="4"/>
      <c r="AA327" s="4"/>
      <c r="AB327" s="4"/>
    </row>
    <row r="328">
      <c r="J328" s="4"/>
      <c r="K328" s="4"/>
      <c r="M328" s="4"/>
      <c r="AA328" s="4"/>
      <c r="AB328" s="4"/>
    </row>
    <row r="329">
      <c r="J329" s="4"/>
      <c r="K329" s="4"/>
      <c r="M329" s="4"/>
      <c r="AA329" s="4"/>
      <c r="AB329" s="4"/>
    </row>
    <row r="330">
      <c r="J330" s="4"/>
      <c r="K330" s="4"/>
      <c r="M330" s="4"/>
      <c r="AA330" s="4"/>
      <c r="AB330" s="4"/>
    </row>
    <row r="331">
      <c r="J331" s="4"/>
      <c r="K331" s="4"/>
      <c r="M331" s="4"/>
      <c r="AA331" s="4"/>
      <c r="AB331" s="4"/>
    </row>
    <row r="332">
      <c r="J332" s="4"/>
      <c r="K332" s="4"/>
      <c r="M332" s="4"/>
      <c r="AA332" s="4"/>
      <c r="AB332" s="4"/>
    </row>
    <row r="333">
      <c r="J333" s="4"/>
      <c r="K333" s="4"/>
      <c r="M333" s="4"/>
      <c r="AA333" s="4"/>
      <c r="AB333" s="4"/>
    </row>
    <row r="334">
      <c r="J334" s="4"/>
      <c r="K334" s="4"/>
      <c r="M334" s="4"/>
      <c r="AA334" s="4"/>
      <c r="AB334" s="4"/>
    </row>
    <row r="335">
      <c r="J335" s="4"/>
      <c r="K335" s="4"/>
      <c r="M335" s="4"/>
      <c r="AA335" s="4"/>
      <c r="AB335" s="4"/>
    </row>
    <row r="336">
      <c r="J336" s="4"/>
      <c r="K336" s="4"/>
      <c r="M336" s="4"/>
      <c r="AA336" s="4"/>
      <c r="AB336" s="4"/>
    </row>
    <row r="337">
      <c r="J337" s="4"/>
      <c r="K337" s="4"/>
      <c r="M337" s="4"/>
      <c r="AA337" s="4"/>
      <c r="AB337" s="4"/>
    </row>
    <row r="338">
      <c r="J338" s="4"/>
      <c r="K338" s="4"/>
      <c r="M338" s="4"/>
      <c r="AA338" s="4"/>
      <c r="AB338" s="4"/>
    </row>
    <row r="339">
      <c r="J339" s="4"/>
      <c r="K339" s="4"/>
      <c r="M339" s="4"/>
      <c r="AA339" s="4"/>
      <c r="AB339" s="4"/>
    </row>
    <row r="340">
      <c r="J340" s="4"/>
      <c r="K340" s="4"/>
      <c r="M340" s="4"/>
      <c r="AA340" s="4"/>
      <c r="AB340" s="4"/>
    </row>
    <row r="341">
      <c r="J341" s="4"/>
      <c r="K341" s="4"/>
      <c r="M341" s="4"/>
      <c r="AA341" s="4"/>
      <c r="AB341" s="4"/>
    </row>
    <row r="342">
      <c r="J342" s="4"/>
      <c r="K342" s="4"/>
      <c r="M342" s="4"/>
      <c r="AA342" s="4"/>
      <c r="AB342" s="4"/>
    </row>
    <row r="343">
      <c r="J343" s="4"/>
      <c r="K343" s="4"/>
      <c r="M343" s="4"/>
      <c r="AA343" s="4"/>
      <c r="AB343" s="4"/>
    </row>
    <row r="344">
      <c r="J344" s="4"/>
      <c r="K344" s="4"/>
      <c r="M344" s="4"/>
      <c r="AA344" s="4"/>
      <c r="AB344" s="4"/>
    </row>
    <row r="345">
      <c r="J345" s="4"/>
      <c r="K345" s="4"/>
      <c r="M345" s="4"/>
      <c r="AA345" s="4"/>
      <c r="AB345" s="4"/>
    </row>
    <row r="346">
      <c r="J346" s="4"/>
      <c r="K346" s="4"/>
      <c r="M346" s="4"/>
      <c r="AA346" s="4"/>
      <c r="AB346" s="4"/>
    </row>
    <row r="347">
      <c r="J347" s="4"/>
      <c r="K347" s="4"/>
      <c r="M347" s="4"/>
      <c r="AA347" s="4"/>
      <c r="AB347" s="4"/>
    </row>
    <row r="348">
      <c r="J348" s="4"/>
      <c r="K348" s="4"/>
      <c r="M348" s="4"/>
      <c r="AA348" s="4"/>
      <c r="AB348" s="4"/>
    </row>
    <row r="349">
      <c r="J349" s="4"/>
      <c r="K349" s="4"/>
      <c r="M349" s="4"/>
      <c r="AA349" s="4"/>
      <c r="AB349" s="4"/>
    </row>
    <row r="350">
      <c r="J350" s="4"/>
      <c r="K350" s="4"/>
      <c r="M350" s="4"/>
      <c r="AA350" s="4"/>
      <c r="AB350" s="4"/>
    </row>
    <row r="351">
      <c r="J351" s="4"/>
      <c r="K351" s="4"/>
      <c r="M351" s="4"/>
      <c r="AA351" s="4"/>
      <c r="AB351" s="4"/>
    </row>
    <row r="352">
      <c r="J352" s="4"/>
      <c r="K352" s="4"/>
      <c r="M352" s="4"/>
      <c r="AA352" s="4"/>
      <c r="AB352" s="4"/>
    </row>
    <row r="353">
      <c r="J353" s="4"/>
      <c r="K353" s="4"/>
      <c r="M353" s="4"/>
      <c r="AA353" s="4"/>
      <c r="AB353" s="4"/>
    </row>
    <row r="354">
      <c r="J354" s="4"/>
      <c r="K354" s="4"/>
      <c r="M354" s="4"/>
      <c r="AA354" s="4"/>
      <c r="AB354" s="4"/>
    </row>
    <row r="355">
      <c r="J355" s="4"/>
      <c r="K355" s="4"/>
      <c r="M355" s="4"/>
      <c r="AA355" s="4"/>
      <c r="AB355" s="4"/>
    </row>
    <row r="356">
      <c r="J356" s="4"/>
      <c r="K356" s="4"/>
      <c r="M356" s="4"/>
      <c r="AA356" s="4"/>
      <c r="AB356" s="4"/>
    </row>
    <row r="357">
      <c r="J357" s="4"/>
      <c r="K357" s="4"/>
      <c r="M357" s="4"/>
      <c r="AA357" s="4"/>
      <c r="AB357" s="4"/>
    </row>
    <row r="358">
      <c r="J358" s="4"/>
      <c r="K358" s="4"/>
      <c r="M358" s="4"/>
      <c r="AA358" s="4"/>
      <c r="AB358" s="4"/>
    </row>
    <row r="359">
      <c r="J359" s="4"/>
      <c r="K359" s="4"/>
      <c r="M359" s="4"/>
      <c r="AA359" s="4"/>
      <c r="AB359" s="4"/>
    </row>
    <row r="360">
      <c r="J360" s="4"/>
      <c r="K360" s="4"/>
      <c r="M360" s="4"/>
      <c r="AA360" s="4"/>
      <c r="AB360" s="4"/>
    </row>
    <row r="361">
      <c r="J361" s="4"/>
      <c r="K361" s="4"/>
      <c r="M361" s="4"/>
      <c r="AA361" s="4"/>
      <c r="AB361" s="4"/>
    </row>
    <row r="362">
      <c r="J362" s="4"/>
      <c r="K362" s="4"/>
      <c r="M362" s="4"/>
      <c r="AA362" s="4"/>
      <c r="AB362" s="4"/>
    </row>
    <row r="363">
      <c r="J363" s="4"/>
      <c r="K363" s="4"/>
      <c r="M363" s="4"/>
      <c r="AA363" s="4"/>
      <c r="AB363" s="4"/>
    </row>
    <row r="364">
      <c r="J364" s="4"/>
      <c r="K364" s="4"/>
      <c r="M364" s="4"/>
      <c r="AA364" s="4"/>
      <c r="AB364" s="4"/>
    </row>
    <row r="365">
      <c r="J365" s="4"/>
      <c r="K365" s="4"/>
      <c r="M365" s="4"/>
      <c r="AA365" s="4"/>
      <c r="AB365" s="4"/>
    </row>
    <row r="366">
      <c r="J366" s="4"/>
      <c r="K366" s="4"/>
      <c r="M366" s="4"/>
      <c r="AA366" s="4"/>
      <c r="AB366" s="4"/>
    </row>
    <row r="367">
      <c r="J367" s="4"/>
      <c r="K367" s="4"/>
      <c r="M367" s="4"/>
      <c r="AA367" s="4"/>
      <c r="AB367" s="4"/>
    </row>
    <row r="368">
      <c r="J368" s="4"/>
      <c r="K368" s="4"/>
      <c r="M368" s="4"/>
      <c r="AA368" s="4"/>
      <c r="AB368" s="4"/>
    </row>
    <row r="369">
      <c r="J369" s="4"/>
      <c r="K369" s="4"/>
      <c r="M369" s="4"/>
      <c r="AA369" s="4"/>
      <c r="AB369" s="4"/>
    </row>
    <row r="370">
      <c r="J370" s="4"/>
      <c r="K370" s="4"/>
      <c r="M370" s="4"/>
      <c r="AA370" s="4"/>
      <c r="AB370" s="4"/>
    </row>
    <row r="371">
      <c r="J371" s="4"/>
      <c r="K371" s="4"/>
      <c r="M371" s="4"/>
      <c r="AA371" s="4"/>
      <c r="AB371" s="4"/>
    </row>
    <row r="372">
      <c r="J372" s="4"/>
      <c r="K372" s="4"/>
      <c r="M372" s="4"/>
      <c r="AA372" s="4"/>
      <c r="AB372" s="4"/>
    </row>
    <row r="373">
      <c r="J373" s="4"/>
      <c r="K373" s="4"/>
      <c r="M373" s="4"/>
      <c r="AA373" s="4"/>
      <c r="AB373" s="4"/>
    </row>
    <row r="374">
      <c r="J374" s="4"/>
      <c r="K374" s="4"/>
      <c r="M374" s="4"/>
      <c r="AA374" s="4"/>
      <c r="AB374" s="4"/>
    </row>
    <row r="375">
      <c r="J375" s="4"/>
      <c r="K375" s="4"/>
      <c r="M375" s="4"/>
      <c r="AA375" s="4"/>
      <c r="AB375" s="4"/>
    </row>
    <row r="376">
      <c r="J376" s="4"/>
      <c r="K376" s="4"/>
      <c r="M376" s="4"/>
      <c r="AA376" s="4"/>
      <c r="AB376" s="4"/>
    </row>
    <row r="377">
      <c r="J377" s="4"/>
      <c r="K377" s="4"/>
      <c r="M377" s="4"/>
      <c r="AA377" s="4"/>
      <c r="AB377" s="4"/>
    </row>
    <row r="378">
      <c r="J378" s="4"/>
      <c r="K378" s="4"/>
      <c r="M378" s="4"/>
      <c r="AA378" s="4"/>
      <c r="AB378" s="4"/>
    </row>
    <row r="379">
      <c r="J379" s="4"/>
      <c r="K379" s="4"/>
      <c r="M379" s="4"/>
      <c r="AA379" s="4"/>
      <c r="AB379" s="4"/>
    </row>
    <row r="380">
      <c r="J380" s="4"/>
      <c r="K380" s="4"/>
      <c r="M380" s="4"/>
      <c r="AA380" s="4"/>
      <c r="AB380" s="4"/>
    </row>
    <row r="381">
      <c r="J381" s="4"/>
      <c r="K381" s="4"/>
      <c r="M381" s="4"/>
      <c r="AA381" s="4"/>
      <c r="AB381" s="4"/>
    </row>
    <row r="382">
      <c r="J382" s="4"/>
      <c r="K382" s="4"/>
      <c r="M382" s="4"/>
      <c r="AA382" s="4"/>
      <c r="AB382" s="4"/>
    </row>
    <row r="383">
      <c r="J383" s="4"/>
      <c r="K383" s="4"/>
      <c r="M383" s="4"/>
      <c r="AA383" s="4"/>
      <c r="AB383" s="4"/>
    </row>
    <row r="384">
      <c r="J384" s="4"/>
      <c r="K384" s="4"/>
      <c r="M384" s="4"/>
      <c r="AA384" s="4"/>
      <c r="AB384" s="4"/>
    </row>
    <row r="385">
      <c r="J385" s="4"/>
      <c r="K385" s="4"/>
      <c r="M385" s="4"/>
      <c r="AA385" s="4"/>
      <c r="AB385" s="4"/>
    </row>
    <row r="386">
      <c r="J386" s="4"/>
      <c r="K386" s="4"/>
      <c r="M386" s="4"/>
      <c r="AA386" s="4"/>
      <c r="AB386" s="4"/>
    </row>
    <row r="387">
      <c r="J387" s="4"/>
      <c r="K387" s="4"/>
      <c r="M387" s="4"/>
      <c r="AA387" s="4"/>
      <c r="AB387" s="4"/>
    </row>
    <row r="388">
      <c r="J388" s="4"/>
      <c r="K388" s="4"/>
      <c r="M388" s="4"/>
      <c r="AA388" s="4"/>
      <c r="AB388" s="4"/>
    </row>
    <row r="389">
      <c r="J389" s="4"/>
      <c r="K389" s="4"/>
      <c r="M389" s="4"/>
      <c r="AA389" s="4"/>
      <c r="AB389" s="4"/>
    </row>
    <row r="390">
      <c r="J390" s="4"/>
      <c r="K390" s="4"/>
      <c r="M390" s="4"/>
      <c r="AA390" s="4"/>
      <c r="AB390" s="4"/>
    </row>
    <row r="391">
      <c r="J391" s="4"/>
      <c r="K391" s="4"/>
      <c r="M391" s="4"/>
      <c r="AA391" s="4"/>
      <c r="AB391" s="4"/>
    </row>
    <row r="392">
      <c r="J392" s="4"/>
      <c r="K392" s="4"/>
      <c r="M392" s="4"/>
      <c r="AA392" s="4"/>
      <c r="AB392" s="4"/>
    </row>
    <row r="393">
      <c r="J393" s="4"/>
      <c r="K393" s="4"/>
      <c r="M393" s="4"/>
      <c r="AA393" s="4"/>
      <c r="AB393" s="4"/>
    </row>
    <row r="394">
      <c r="J394" s="4"/>
      <c r="K394" s="4"/>
      <c r="M394" s="4"/>
      <c r="AA394" s="4"/>
      <c r="AB394" s="4"/>
    </row>
    <row r="395">
      <c r="J395" s="4"/>
      <c r="K395" s="4"/>
      <c r="M395" s="4"/>
      <c r="AA395" s="4"/>
      <c r="AB395" s="4"/>
    </row>
    <row r="396">
      <c r="J396" s="4"/>
      <c r="K396" s="4"/>
      <c r="M396" s="4"/>
      <c r="AA396" s="4"/>
      <c r="AB396" s="4"/>
    </row>
    <row r="397">
      <c r="J397" s="4"/>
      <c r="K397" s="4"/>
      <c r="M397" s="4"/>
      <c r="AA397" s="4"/>
      <c r="AB397" s="4"/>
    </row>
    <row r="398">
      <c r="J398" s="4"/>
      <c r="K398" s="4"/>
      <c r="M398" s="4"/>
      <c r="AA398" s="4"/>
      <c r="AB398" s="4"/>
    </row>
    <row r="399">
      <c r="J399" s="4"/>
      <c r="K399" s="4"/>
      <c r="M399" s="4"/>
      <c r="AA399" s="4"/>
      <c r="AB399" s="4"/>
    </row>
    <row r="400">
      <c r="J400" s="4"/>
      <c r="K400" s="4"/>
      <c r="M400" s="4"/>
      <c r="AA400" s="4"/>
      <c r="AB400" s="4"/>
    </row>
    <row r="401">
      <c r="J401" s="4"/>
      <c r="K401" s="4"/>
      <c r="M401" s="4"/>
      <c r="AA401" s="4"/>
      <c r="AB401" s="4"/>
    </row>
    <row r="402">
      <c r="J402" s="4"/>
      <c r="K402" s="4"/>
      <c r="M402" s="4"/>
      <c r="AA402" s="4"/>
      <c r="AB402" s="4"/>
    </row>
    <row r="403">
      <c r="J403" s="4"/>
      <c r="K403" s="4"/>
      <c r="M403" s="4"/>
      <c r="AA403" s="4"/>
      <c r="AB403" s="4"/>
    </row>
    <row r="404">
      <c r="J404" s="4"/>
      <c r="K404" s="4"/>
      <c r="M404" s="4"/>
      <c r="AA404" s="4"/>
      <c r="AB404" s="4"/>
    </row>
    <row r="405">
      <c r="J405" s="4"/>
      <c r="K405" s="4"/>
      <c r="M405" s="4"/>
      <c r="AA405" s="4"/>
      <c r="AB405" s="4"/>
    </row>
    <row r="406">
      <c r="J406" s="4"/>
      <c r="K406" s="4"/>
      <c r="M406" s="4"/>
      <c r="AA406" s="4"/>
      <c r="AB406" s="4"/>
    </row>
    <row r="407">
      <c r="J407" s="4"/>
      <c r="K407" s="4"/>
      <c r="M407" s="4"/>
      <c r="AA407" s="4"/>
      <c r="AB407" s="4"/>
    </row>
    <row r="408">
      <c r="J408" s="4"/>
      <c r="K408" s="4"/>
      <c r="M408" s="4"/>
      <c r="AA408" s="4"/>
      <c r="AB408" s="4"/>
    </row>
    <row r="409">
      <c r="J409" s="4"/>
      <c r="K409" s="4"/>
      <c r="M409" s="4"/>
      <c r="AA409" s="4"/>
      <c r="AB409" s="4"/>
    </row>
    <row r="410">
      <c r="J410" s="4"/>
      <c r="K410" s="4"/>
      <c r="M410" s="4"/>
      <c r="AA410" s="4"/>
      <c r="AB410" s="4"/>
    </row>
    <row r="411">
      <c r="J411" s="4"/>
      <c r="K411" s="4"/>
      <c r="M411" s="4"/>
      <c r="AA411" s="4"/>
      <c r="AB411" s="4"/>
    </row>
    <row r="412">
      <c r="J412" s="4"/>
      <c r="K412" s="4"/>
      <c r="M412" s="4"/>
      <c r="AA412" s="4"/>
      <c r="AB412" s="4"/>
    </row>
    <row r="413">
      <c r="J413" s="4"/>
      <c r="K413" s="4"/>
      <c r="M413" s="4"/>
      <c r="AA413" s="4"/>
      <c r="AB413" s="4"/>
    </row>
    <row r="414">
      <c r="J414" s="4"/>
      <c r="K414" s="4"/>
      <c r="M414" s="4"/>
      <c r="AA414" s="4"/>
      <c r="AB414" s="4"/>
    </row>
    <row r="415">
      <c r="J415" s="4"/>
      <c r="K415" s="4"/>
      <c r="M415" s="4"/>
      <c r="AA415" s="4"/>
      <c r="AB415" s="4"/>
    </row>
    <row r="416">
      <c r="J416" s="4"/>
      <c r="K416" s="4"/>
      <c r="M416" s="4"/>
      <c r="AA416" s="4"/>
      <c r="AB416" s="4"/>
    </row>
    <row r="417">
      <c r="J417" s="4"/>
      <c r="K417" s="4"/>
      <c r="M417" s="4"/>
      <c r="AA417" s="4"/>
      <c r="AB417" s="4"/>
    </row>
    <row r="418">
      <c r="J418" s="4"/>
      <c r="K418" s="4"/>
      <c r="M418" s="4"/>
      <c r="AA418" s="4"/>
      <c r="AB418" s="4"/>
    </row>
    <row r="419">
      <c r="J419" s="4"/>
      <c r="K419" s="4"/>
      <c r="M419" s="4"/>
      <c r="AA419" s="4"/>
      <c r="AB419" s="4"/>
    </row>
    <row r="420">
      <c r="J420" s="4"/>
      <c r="K420" s="4"/>
      <c r="M420" s="4"/>
      <c r="AA420" s="4"/>
      <c r="AB420" s="4"/>
    </row>
    <row r="421">
      <c r="J421" s="4"/>
      <c r="K421" s="4"/>
      <c r="M421" s="4"/>
      <c r="AA421" s="4"/>
      <c r="AB421" s="4"/>
    </row>
    <row r="422">
      <c r="J422" s="4"/>
      <c r="K422" s="4"/>
      <c r="M422" s="4"/>
      <c r="AA422" s="4"/>
      <c r="AB422" s="4"/>
    </row>
    <row r="423">
      <c r="J423" s="4"/>
      <c r="K423" s="4"/>
      <c r="M423" s="4"/>
      <c r="AA423" s="4"/>
      <c r="AB423" s="4"/>
    </row>
    <row r="424">
      <c r="J424" s="4"/>
      <c r="K424" s="4"/>
      <c r="M424" s="4"/>
      <c r="AA424" s="4"/>
      <c r="AB424" s="4"/>
    </row>
    <row r="425">
      <c r="J425" s="4"/>
      <c r="K425" s="4"/>
      <c r="M425" s="4"/>
      <c r="AA425" s="4"/>
      <c r="AB425" s="4"/>
    </row>
    <row r="426">
      <c r="J426" s="4"/>
      <c r="K426" s="4"/>
      <c r="M426" s="4"/>
      <c r="AA426" s="4"/>
      <c r="AB426" s="4"/>
    </row>
    <row r="427">
      <c r="J427" s="4"/>
      <c r="K427" s="4"/>
      <c r="M427" s="4"/>
      <c r="AA427" s="4"/>
      <c r="AB427" s="4"/>
    </row>
    <row r="428">
      <c r="J428" s="4"/>
      <c r="K428" s="4"/>
      <c r="M428" s="4"/>
      <c r="AA428" s="4"/>
      <c r="AB428" s="4"/>
    </row>
    <row r="429">
      <c r="J429" s="4"/>
      <c r="K429" s="4"/>
      <c r="M429" s="4"/>
      <c r="AA429" s="4"/>
      <c r="AB429" s="4"/>
    </row>
    <row r="430">
      <c r="J430" s="4"/>
      <c r="K430" s="4"/>
      <c r="M430" s="4"/>
      <c r="AA430" s="4"/>
      <c r="AB430" s="4"/>
    </row>
    <row r="431">
      <c r="J431" s="4"/>
      <c r="K431" s="4"/>
      <c r="M431" s="4"/>
      <c r="AA431" s="4"/>
      <c r="AB431" s="4"/>
    </row>
    <row r="432">
      <c r="J432" s="4"/>
      <c r="K432" s="4"/>
      <c r="M432" s="4"/>
      <c r="AA432" s="4"/>
      <c r="AB432" s="4"/>
    </row>
    <row r="433">
      <c r="J433" s="4"/>
      <c r="K433" s="4"/>
      <c r="M433" s="4"/>
      <c r="AA433" s="4"/>
      <c r="AB433" s="4"/>
    </row>
    <row r="434">
      <c r="J434" s="4"/>
      <c r="K434" s="4"/>
      <c r="M434" s="4"/>
      <c r="AA434" s="4"/>
      <c r="AB434" s="4"/>
    </row>
    <row r="435">
      <c r="J435" s="4"/>
      <c r="K435" s="4"/>
      <c r="M435" s="4"/>
      <c r="AA435" s="4"/>
      <c r="AB435" s="4"/>
    </row>
    <row r="436">
      <c r="J436" s="4"/>
      <c r="K436" s="4"/>
      <c r="M436" s="4"/>
      <c r="AA436" s="4"/>
      <c r="AB436" s="4"/>
    </row>
    <row r="437">
      <c r="J437" s="4"/>
      <c r="K437" s="4"/>
      <c r="M437" s="4"/>
      <c r="AA437" s="4"/>
      <c r="AB437" s="4"/>
    </row>
    <row r="438">
      <c r="J438" s="4"/>
      <c r="K438" s="4"/>
      <c r="M438" s="4"/>
      <c r="AA438" s="4"/>
      <c r="AB438" s="4"/>
    </row>
    <row r="439">
      <c r="J439" s="4"/>
      <c r="K439" s="4"/>
      <c r="M439" s="4"/>
      <c r="AA439" s="4"/>
      <c r="AB439" s="4"/>
    </row>
    <row r="440">
      <c r="J440" s="4"/>
      <c r="K440" s="4"/>
      <c r="M440" s="4"/>
      <c r="AA440" s="4"/>
      <c r="AB440" s="4"/>
    </row>
    <row r="441">
      <c r="J441" s="4"/>
      <c r="K441" s="4"/>
      <c r="M441" s="4"/>
      <c r="AA441" s="4"/>
      <c r="AB441" s="4"/>
    </row>
    <row r="442">
      <c r="J442" s="4"/>
      <c r="K442" s="4"/>
      <c r="M442" s="4"/>
      <c r="AA442" s="4"/>
      <c r="AB442" s="4"/>
    </row>
    <row r="443">
      <c r="J443" s="4"/>
      <c r="K443" s="4"/>
      <c r="M443" s="4"/>
      <c r="AA443" s="4"/>
      <c r="AB443" s="4"/>
    </row>
    <row r="444">
      <c r="J444" s="4"/>
      <c r="K444" s="4"/>
      <c r="M444" s="4"/>
      <c r="AA444" s="4"/>
      <c r="AB444" s="4"/>
    </row>
    <row r="445">
      <c r="J445" s="4"/>
      <c r="K445" s="4"/>
      <c r="M445" s="4"/>
      <c r="AA445" s="4"/>
      <c r="AB445" s="4"/>
    </row>
    <row r="446">
      <c r="J446" s="4"/>
      <c r="K446" s="4"/>
      <c r="M446" s="4"/>
      <c r="AA446" s="4"/>
      <c r="AB446" s="4"/>
    </row>
    <row r="447">
      <c r="J447" s="4"/>
      <c r="K447" s="4"/>
      <c r="M447" s="4"/>
      <c r="AA447" s="4"/>
      <c r="AB447" s="4"/>
    </row>
    <row r="448">
      <c r="J448" s="4"/>
      <c r="K448" s="4"/>
      <c r="M448" s="4"/>
      <c r="AA448" s="4"/>
      <c r="AB448" s="4"/>
    </row>
    <row r="449">
      <c r="J449" s="4"/>
      <c r="K449" s="4"/>
      <c r="M449" s="4"/>
      <c r="AA449" s="4"/>
      <c r="AB449" s="4"/>
    </row>
    <row r="450">
      <c r="J450" s="4"/>
      <c r="K450" s="4"/>
      <c r="M450" s="4"/>
      <c r="AA450" s="4"/>
      <c r="AB450" s="4"/>
    </row>
    <row r="451">
      <c r="J451" s="4"/>
      <c r="K451" s="4"/>
      <c r="M451" s="4"/>
      <c r="AA451" s="4"/>
      <c r="AB451" s="4"/>
    </row>
    <row r="452">
      <c r="J452" s="4"/>
      <c r="K452" s="4"/>
      <c r="M452" s="4"/>
      <c r="AA452" s="4"/>
      <c r="AB452" s="4"/>
    </row>
    <row r="453">
      <c r="J453" s="4"/>
      <c r="K453" s="4"/>
      <c r="M453" s="4"/>
      <c r="AA453" s="4"/>
      <c r="AB453" s="4"/>
    </row>
    <row r="454">
      <c r="J454" s="4"/>
      <c r="K454" s="4"/>
      <c r="M454" s="4"/>
      <c r="AA454" s="4"/>
      <c r="AB454" s="4"/>
    </row>
    <row r="455">
      <c r="J455" s="4"/>
      <c r="K455" s="4"/>
      <c r="M455" s="4"/>
      <c r="AA455" s="4"/>
      <c r="AB455" s="4"/>
    </row>
    <row r="456">
      <c r="J456" s="4"/>
      <c r="K456" s="4"/>
      <c r="M456" s="4"/>
      <c r="AA456" s="4"/>
      <c r="AB456" s="4"/>
    </row>
    <row r="457">
      <c r="J457" s="4"/>
      <c r="K457" s="4"/>
      <c r="M457" s="4"/>
      <c r="AA457" s="4"/>
      <c r="AB457" s="4"/>
    </row>
    <row r="458">
      <c r="J458" s="4"/>
      <c r="K458" s="4"/>
      <c r="M458" s="4"/>
      <c r="AA458" s="4"/>
      <c r="AB458" s="4"/>
    </row>
    <row r="459">
      <c r="J459" s="4"/>
      <c r="K459" s="4"/>
      <c r="M459" s="4"/>
      <c r="AA459" s="4"/>
      <c r="AB459" s="4"/>
    </row>
    <row r="460">
      <c r="J460" s="4"/>
      <c r="K460" s="4"/>
      <c r="M460" s="4"/>
      <c r="AA460" s="4"/>
      <c r="AB460" s="4"/>
    </row>
    <row r="461">
      <c r="J461" s="4"/>
      <c r="K461" s="4"/>
      <c r="M461" s="4"/>
      <c r="AA461" s="4"/>
      <c r="AB461" s="4"/>
    </row>
    <row r="462">
      <c r="J462" s="4"/>
      <c r="K462" s="4"/>
      <c r="M462" s="4"/>
      <c r="AA462" s="4"/>
      <c r="AB462" s="4"/>
    </row>
    <row r="463">
      <c r="J463" s="4"/>
      <c r="K463" s="4"/>
      <c r="M463" s="4"/>
      <c r="AA463" s="4"/>
      <c r="AB463" s="4"/>
    </row>
    <row r="464">
      <c r="J464" s="4"/>
      <c r="K464" s="4"/>
      <c r="M464" s="4"/>
      <c r="AA464" s="4"/>
      <c r="AB464" s="4"/>
    </row>
    <row r="465">
      <c r="J465" s="4"/>
      <c r="K465" s="4"/>
      <c r="M465" s="4"/>
      <c r="AA465" s="4"/>
      <c r="AB465" s="4"/>
    </row>
    <row r="466">
      <c r="J466" s="4"/>
      <c r="K466" s="4"/>
      <c r="M466" s="4"/>
      <c r="AA466" s="4"/>
      <c r="AB466" s="4"/>
    </row>
    <row r="467">
      <c r="J467" s="4"/>
      <c r="K467" s="4"/>
      <c r="M467" s="4"/>
      <c r="AA467" s="4"/>
      <c r="AB467" s="4"/>
    </row>
    <row r="468">
      <c r="J468" s="4"/>
      <c r="K468" s="4"/>
      <c r="M468" s="4"/>
      <c r="AA468" s="4"/>
      <c r="AB468" s="4"/>
    </row>
    <row r="469">
      <c r="J469" s="4"/>
      <c r="K469" s="4"/>
      <c r="M469" s="4"/>
      <c r="AA469" s="4"/>
      <c r="AB469" s="4"/>
    </row>
    <row r="470">
      <c r="J470" s="4"/>
      <c r="K470" s="4"/>
      <c r="M470" s="4"/>
      <c r="AA470" s="4"/>
      <c r="AB470" s="4"/>
    </row>
    <row r="471">
      <c r="J471" s="4"/>
      <c r="K471" s="4"/>
      <c r="M471" s="4"/>
      <c r="AA471" s="4"/>
      <c r="AB471" s="4"/>
    </row>
    <row r="472">
      <c r="J472" s="4"/>
      <c r="K472" s="4"/>
      <c r="M472" s="4"/>
      <c r="AA472" s="4"/>
      <c r="AB472" s="4"/>
    </row>
    <row r="473">
      <c r="J473" s="4"/>
      <c r="K473" s="4"/>
      <c r="M473" s="4"/>
      <c r="AA473" s="4"/>
      <c r="AB473" s="4"/>
    </row>
    <row r="474">
      <c r="J474" s="4"/>
      <c r="K474" s="4"/>
      <c r="M474" s="4"/>
      <c r="AA474" s="4"/>
      <c r="AB474" s="4"/>
    </row>
    <row r="475">
      <c r="J475" s="4"/>
      <c r="K475" s="4"/>
      <c r="M475" s="4"/>
      <c r="AA475" s="4"/>
      <c r="AB475" s="4"/>
    </row>
    <row r="476">
      <c r="J476" s="4"/>
      <c r="K476" s="4"/>
      <c r="M476" s="4"/>
      <c r="AA476" s="4"/>
      <c r="AB476" s="4"/>
    </row>
    <row r="477">
      <c r="J477" s="4"/>
      <c r="K477" s="4"/>
      <c r="M477" s="4"/>
      <c r="AA477" s="4"/>
      <c r="AB477" s="4"/>
    </row>
    <row r="478">
      <c r="J478" s="4"/>
      <c r="K478" s="4"/>
      <c r="M478" s="4"/>
      <c r="AA478" s="4"/>
      <c r="AB478" s="4"/>
    </row>
    <row r="479">
      <c r="J479" s="4"/>
      <c r="K479" s="4"/>
      <c r="M479" s="4"/>
      <c r="AA479" s="4"/>
      <c r="AB479" s="4"/>
    </row>
    <row r="480">
      <c r="J480" s="4"/>
      <c r="K480" s="4"/>
      <c r="M480" s="4"/>
      <c r="AA480" s="4"/>
      <c r="AB480" s="4"/>
    </row>
    <row r="481">
      <c r="J481" s="4"/>
      <c r="K481" s="4"/>
      <c r="M481" s="4"/>
      <c r="AA481" s="4"/>
      <c r="AB481" s="4"/>
    </row>
    <row r="482">
      <c r="J482" s="4"/>
      <c r="K482" s="4"/>
      <c r="M482" s="4"/>
      <c r="AA482" s="4"/>
      <c r="AB482" s="4"/>
    </row>
    <row r="483">
      <c r="J483" s="4"/>
      <c r="K483" s="4"/>
      <c r="M483" s="4"/>
      <c r="AA483" s="4"/>
      <c r="AB483" s="4"/>
    </row>
    <row r="484">
      <c r="J484" s="4"/>
      <c r="K484" s="4"/>
      <c r="M484" s="4"/>
      <c r="AA484" s="4"/>
      <c r="AB484" s="4"/>
    </row>
    <row r="485">
      <c r="J485" s="4"/>
      <c r="K485" s="4"/>
      <c r="M485" s="4"/>
      <c r="AA485" s="4"/>
      <c r="AB485" s="4"/>
    </row>
    <row r="486">
      <c r="J486" s="4"/>
      <c r="K486" s="4"/>
      <c r="M486" s="4"/>
      <c r="AA486" s="4"/>
      <c r="AB486" s="4"/>
    </row>
    <row r="487">
      <c r="J487" s="4"/>
      <c r="K487" s="4"/>
      <c r="M487" s="4"/>
      <c r="AA487" s="4"/>
      <c r="AB487" s="4"/>
    </row>
    <row r="488">
      <c r="J488" s="4"/>
      <c r="K488" s="4"/>
      <c r="M488" s="4"/>
      <c r="AA488" s="4"/>
      <c r="AB488" s="4"/>
    </row>
    <row r="489">
      <c r="J489" s="4"/>
      <c r="K489" s="4"/>
      <c r="M489" s="4"/>
      <c r="AA489" s="4"/>
      <c r="AB489" s="4"/>
    </row>
    <row r="490">
      <c r="J490" s="4"/>
      <c r="K490" s="4"/>
      <c r="M490" s="4"/>
      <c r="AA490" s="4"/>
      <c r="AB490" s="4"/>
    </row>
    <row r="491">
      <c r="J491" s="4"/>
      <c r="K491" s="4"/>
      <c r="M491" s="4"/>
      <c r="AA491" s="4"/>
      <c r="AB491" s="4"/>
    </row>
    <row r="492">
      <c r="J492" s="4"/>
      <c r="K492" s="4"/>
      <c r="M492" s="4"/>
      <c r="AA492" s="4"/>
      <c r="AB492" s="4"/>
    </row>
    <row r="493">
      <c r="J493" s="4"/>
      <c r="K493" s="4"/>
      <c r="M493" s="4"/>
      <c r="AA493" s="4"/>
      <c r="AB493" s="4"/>
    </row>
    <row r="494">
      <c r="J494" s="4"/>
      <c r="K494" s="4"/>
      <c r="M494" s="4"/>
      <c r="AA494" s="4"/>
      <c r="AB494" s="4"/>
    </row>
    <row r="495">
      <c r="J495" s="4"/>
      <c r="K495" s="4"/>
      <c r="M495" s="4"/>
      <c r="AA495" s="4"/>
      <c r="AB495" s="4"/>
    </row>
    <row r="496">
      <c r="J496" s="4"/>
      <c r="K496" s="4"/>
      <c r="M496" s="4"/>
      <c r="AA496" s="4"/>
      <c r="AB496" s="4"/>
    </row>
    <row r="497">
      <c r="J497" s="4"/>
      <c r="K497" s="4"/>
      <c r="M497" s="4"/>
      <c r="AA497" s="4"/>
      <c r="AB497" s="4"/>
    </row>
    <row r="498">
      <c r="J498" s="4"/>
      <c r="K498" s="4"/>
      <c r="M498" s="4"/>
      <c r="AA498" s="4"/>
      <c r="AB498" s="4"/>
    </row>
    <row r="499">
      <c r="J499" s="4"/>
      <c r="K499" s="4"/>
      <c r="M499" s="4"/>
      <c r="AA499" s="4"/>
      <c r="AB499" s="4"/>
    </row>
    <row r="500">
      <c r="J500" s="4"/>
      <c r="K500" s="4"/>
      <c r="M500" s="4"/>
      <c r="AA500" s="4"/>
      <c r="AB500" s="4"/>
    </row>
    <row r="501">
      <c r="J501" s="4"/>
      <c r="K501" s="4"/>
      <c r="M501" s="4"/>
      <c r="AA501" s="4"/>
      <c r="AB501" s="4"/>
    </row>
    <row r="502">
      <c r="J502" s="4"/>
      <c r="K502" s="4"/>
      <c r="M502" s="4"/>
      <c r="AA502" s="4"/>
      <c r="AB502" s="4"/>
    </row>
    <row r="503">
      <c r="J503" s="4"/>
      <c r="K503" s="4"/>
      <c r="M503" s="4"/>
      <c r="AA503" s="4"/>
      <c r="AB503" s="4"/>
    </row>
    <row r="504">
      <c r="J504" s="4"/>
      <c r="K504" s="4"/>
      <c r="M504" s="4"/>
      <c r="AA504" s="4"/>
      <c r="AB504" s="4"/>
    </row>
    <row r="505">
      <c r="J505" s="4"/>
      <c r="K505" s="4"/>
      <c r="M505" s="4"/>
      <c r="AA505" s="4"/>
      <c r="AB505" s="4"/>
    </row>
    <row r="506">
      <c r="J506" s="4"/>
      <c r="K506" s="4"/>
      <c r="M506" s="4"/>
      <c r="AA506" s="4"/>
      <c r="AB506" s="4"/>
    </row>
    <row r="507">
      <c r="J507" s="4"/>
      <c r="K507" s="4"/>
      <c r="M507" s="4"/>
      <c r="AA507" s="4"/>
      <c r="AB507" s="4"/>
    </row>
    <row r="508">
      <c r="J508" s="4"/>
      <c r="K508" s="4"/>
      <c r="M508" s="4"/>
      <c r="AA508" s="4"/>
      <c r="AB508" s="4"/>
    </row>
    <row r="509">
      <c r="J509" s="4"/>
      <c r="K509" s="4"/>
      <c r="M509" s="4"/>
      <c r="AA509" s="4"/>
      <c r="AB509" s="4"/>
    </row>
    <row r="510">
      <c r="J510" s="4"/>
      <c r="K510" s="4"/>
      <c r="M510" s="4"/>
      <c r="AA510" s="4"/>
      <c r="AB510" s="4"/>
    </row>
    <row r="511">
      <c r="J511" s="4"/>
      <c r="K511" s="4"/>
      <c r="M511" s="4"/>
      <c r="AA511" s="4"/>
      <c r="AB511" s="4"/>
    </row>
    <row r="512">
      <c r="J512" s="4"/>
      <c r="K512" s="4"/>
      <c r="M512" s="4"/>
      <c r="AA512" s="4"/>
      <c r="AB512" s="4"/>
    </row>
    <row r="513">
      <c r="J513" s="4"/>
      <c r="K513" s="4"/>
      <c r="M513" s="4"/>
      <c r="AA513" s="4"/>
      <c r="AB513" s="4"/>
    </row>
    <row r="514">
      <c r="J514" s="4"/>
      <c r="K514" s="4"/>
      <c r="M514" s="4"/>
      <c r="AA514" s="4"/>
      <c r="AB514" s="4"/>
    </row>
    <row r="515">
      <c r="J515" s="4"/>
      <c r="K515" s="4"/>
      <c r="M515" s="4"/>
      <c r="AA515" s="4"/>
      <c r="AB515" s="4"/>
    </row>
    <row r="516">
      <c r="J516" s="4"/>
      <c r="K516" s="4"/>
      <c r="M516" s="4"/>
      <c r="AA516" s="4"/>
      <c r="AB516" s="4"/>
    </row>
    <row r="517">
      <c r="J517" s="4"/>
      <c r="K517" s="4"/>
      <c r="M517" s="4"/>
      <c r="AA517" s="4"/>
      <c r="AB517" s="4"/>
    </row>
    <row r="518">
      <c r="J518" s="4"/>
      <c r="K518" s="4"/>
      <c r="M518" s="4"/>
      <c r="AA518" s="4"/>
      <c r="AB518" s="4"/>
    </row>
    <row r="519">
      <c r="J519" s="4"/>
      <c r="K519" s="4"/>
      <c r="M519" s="4"/>
      <c r="AA519" s="4"/>
      <c r="AB519" s="4"/>
    </row>
    <row r="520">
      <c r="J520" s="4"/>
      <c r="K520" s="4"/>
      <c r="M520" s="4"/>
      <c r="AA520" s="4"/>
      <c r="AB520" s="4"/>
    </row>
    <row r="521">
      <c r="J521" s="4"/>
      <c r="K521" s="4"/>
      <c r="M521" s="4"/>
      <c r="AA521" s="4"/>
      <c r="AB521" s="4"/>
    </row>
    <row r="522">
      <c r="J522" s="4"/>
      <c r="K522" s="4"/>
      <c r="M522" s="4"/>
      <c r="AA522" s="4"/>
      <c r="AB522" s="4"/>
    </row>
    <row r="523">
      <c r="J523" s="4"/>
      <c r="K523" s="4"/>
      <c r="M523" s="4"/>
      <c r="AA523" s="4"/>
      <c r="AB523" s="4"/>
    </row>
    <row r="524">
      <c r="J524" s="4"/>
      <c r="K524" s="4"/>
      <c r="M524" s="4"/>
      <c r="AA524" s="4"/>
      <c r="AB524" s="4"/>
    </row>
    <row r="525">
      <c r="J525" s="4"/>
      <c r="K525" s="4"/>
      <c r="M525" s="4"/>
      <c r="AA525" s="4"/>
      <c r="AB525" s="4"/>
    </row>
    <row r="526">
      <c r="J526" s="4"/>
      <c r="K526" s="4"/>
      <c r="M526" s="4"/>
      <c r="AA526" s="4"/>
      <c r="AB526" s="4"/>
    </row>
    <row r="527">
      <c r="J527" s="4"/>
      <c r="K527" s="4"/>
      <c r="M527" s="4"/>
      <c r="AA527" s="4"/>
      <c r="AB527" s="4"/>
    </row>
    <row r="528">
      <c r="J528" s="4"/>
      <c r="K528" s="4"/>
      <c r="M528" s="4"/>
      <c r="AA528" s="4"/>
      <c r="AB528" s="4"/>
    </row>
    <row r="529">
      <c r="J529" s="4"/>
      <c r="K529" s="4"/>
      <c r="M529" s="4"/>
      <c r="AA529" s="4"/>
      <c r="AB529" s="4"/>
    </row>
    <row r="530">
      <c r="J530" s="4"/>
      <c r="K530" s="4"/>
      <c r="M530" s="4"/>
      <c r="AA530" s="4"/>
      <c r="AB530" s="4"/>
    </row>
    <row r="531">
      <c r="J531" s="4"/>
      <c r="K531" s="4"/>
      <c r="M531" s="4"/>
      <c r="AA531" s="4"/>
      <c r="AB531" s="4"/>
    </row>
    <row r="532">
      <c r="J532" s="4"/>
      <c r="K532" s="4"/>
      <c r="M532" s="4"/>
      <c r="AA532" s="4"/>
      <c r="AB532" s="4"/>
    </row>
    <row r="533">
      <c r="J533" s="4"/>
      <c r="K533" s="4"/>
      <c r="M533" s="4"/>
      <c r="AA533" s="4"/>
      <c r="AB533" s="4"/>
    </row>
    <row r="534">
      <c r="J534" s="4"/>
      <c r="K534" s="4"/>
      <c r="M534" s="4"/>
      <c r="AA534" s="4"/>
      <c r="AB534" s="4"/>
    </row>
    <row r="535">
      <c r="J535" s="4"/>
      <c r="K535" s="4"/>
      <c r="M535" s="4"/>
      <c r="AA535" s="4"/>
      <c r="AB535" s="4"/>
    </row>
    <row r="536">
      <c r="J536" s="4"/>
      <c r="K536" s="4"/>
      <c r="M536" s="4"/>
      <c r="AA536" s="4"/>
      <c r="AB536" s="4"/>
    </row>
    <row r="537">
      <c r="J537" s="4"/>
      <c r="K537" s="4"/>
      <c r="M537" s="4"/>
      <c r="AA537" s="4"/>
      <c r="AB537" s="4"/>
    </row>
    <row r="538">
      <c r="J538" s="4"/>
      <c r="K538" s="4"/>
      <c r="M538" s="4"/>
      <c r="AA538" s="4"/>
      <c r="AB538" s="4"/>
    </row>
    <row r="539">
      <c r="J539" s="4"/>
      <c r="K539" s="4"/>
      <c r="M539" s="4"/>
      <c r="AA539" s="4"/>
      <c r="AB539" s="4"/>
    </row>
    <row r="540">
      <c r="J540" s="4"/>
      <c r="K540" s="4"/>
      <c r="M540" s="4"/>
      <c r="AA540" s="4"/>
      <c r="AB540" s="4"/>
    </row>
    <row r="541">
      <c r="J541" s="4"/>
      <c r="K541" s="4"/>
      <c r="M541" s="4"/>
      <c r="AA541" s="4"/>
      <c r="AB541" s="4"/>
    </row>
    <row r="542">
      <c r="J542" s="4"/>
      <c r="K542" s="4"/>
      <c r="M542" s="4"/>
      <c r="AA542" s="4"/>
      <c r="AB542" s="4"/>
    </row>
    <row r="543">
      <c r="J543" s="4"/>
      <c r="K543" s="4"/>
      <c r="M543" s="4"/>
      <c r="AA543" s="4"/>
      <c r="AB543" s="4"/>
    </row>
    <row r="544">
      <c r="J544" s="4"/>
      <c r="K544" s="4"/>
      <c r="M544" s="4"/>
      <c r="AA544" s="4"/>
      <c r="AB544" s="4"/>
    </row>
    <row r="545">
      <c r="J545" s="4"/>
      <c r="K545" s="4"/>
      <c r="M545" s="4"/>
      <c r="AA545" s="4"/>
      <c r="AB545" s="4"/>
    </row>
    <row r="546">
      <c r="J546" s="4"/>
      <c r="K546" s="4"/>
      <c r="M546" s="4"/>
      <c r="AA546" s="4"/>
      <c r="AB546" s="4"/>
    </row>
    <row r="547">
      <c r="J547" s="4"/>
      <c r="K547" s="4"/>
      <c r="M547" s="4"/>
      <c r="AA547" s="4"/>
      <c r="AB547" s="4"/>
    </row>
    <row r="548">
      <c r="J548" s="4"/>
      <c r="K548" s="4"/>
      <c r="M548" s="4"/>
      <c r="AA548" s="4"/>
      <c r="AB548" s="4"/>
    </row>
    <row r="549">
      <c r="J549" s="4"/>
      <c r="K549" s="4"/>
      <c r="M549" s="4"/>
      <c r="AA549" s="4"/>
      <c r="AB549" s="4"/>
    </row>
    <row r="550">
      <c r="J550" s="4"/>
      <c r="K550" s="4"/>
      <c r="M550" s="4"/>
      <c r="AA550" s="4"/>
      <c r="AB550" s="4"/>
    </row>
    <row r="551">
      <c r="J551" s="4"/>
      <c r="K551" s="4"/>
      <c r="M551" s="4"/>
      <c r="AA551" s="4"/>
      <c r="AB551" s="4"/>
    </row>
    <row r="552">
      <c r="J552" s="4"/>
      <c r="K552" s="4"/>
      <c r="M552" s="4"/>
      <c r="AA552" s="4"/>
      <c r="AB552" s="4"/>
    </row>
    <row r="553">
      <c r="J553" s="4"/>
      <c r="K553" s="4"/>
      <c r="M553" s="4"/>
      <c r="AA553" s="4"/>
      <c r="AB553" s="4"/>
    </row>
    <row r="554">
      <c r="J554" s="4"/>
      <c r="K554" s="4"/>
      <c r="M554" s="4"/>
      <c r="AA554" s="4"/>
      <c r="AB554" s="4"/>
    </row>
    <row r="555">
      <c r="J555" s="4"/>
      <c r="K555" s="4"/>
      <c r="M555" s="4"/>
      <c r="AA555" s="4"/>
      <c r="AB555" s="4"/>
    </row>
    <row r="556">
      <c r="J556" s="4"/>
      <c r="K556" s="4"/>
      <c r="M556" s="4"/>
      <c r="AA556" s="4"/>
      <c r="AB556" s="4"/>
    </row>
    <row r="557">
      <c r="J557" s="4"/>
      <c r="K557" s="4"/>
      <c r="M557" s="4"/>
      <c r="AA557" s="4"/>
      <c r="AB557" s="4"/>
    </row>
    <row r="558">
      <c r="J558" s="4"/>
      <c r="K558" s="4"/>
      <c r="M558" s="4"/>
      <c r="AA558" s="4"/>
      <c r="AB558" s="4"/>
    </row>
    <row r="559">
      <c r="J559" s="4"/>
      <c r="K559" s="4"/>
      <c r="M559" s="4"/>
      <c r="AA559" s="4"/>
      <c r="AB559" s="4"/>
    </row>
    <row r="560">
      <c r="J560" s="4"/>
      <c r="K560" s="4"/>
      <c r="M560" s="4"/>
      <c r="AA560" s="4"/>
      <c r="AB560" s="4"/>
    </row>
    <row r="561">
      <c r="J561" s="4"/>
      <c r="K561" s="4"/>
      <c r="M561" s="4"/>
      <c r="AA561" s="4"/>
      <c r="AB561" s="4"/>
    </row>
    <row r="562">
      <c r="J562" s="4"/>
      <c r="K562" s="4"/>
      <c r="M562" s="4"/>
      <c r="AA562" s="4"/>
      <c r="AB562" s="4"/>
    </row>
    <row r="563">
      <c r="J563" s="4"/>
      <c r="K563" s="4"/>
      <c r="M563" s="4"/>
      <c r="AA563" s="4"/>
      <c r="AB563" s="4"/>
    </row>
    <row r="564">
      <c r="J564" s="4"/>
      <c r="K564" s="4"/>
      <c r="M564" s="4"/>
      <c r="AA564" s="4"/>
      <c r="AB564" s="4"/>
    </row>
    <row r="565">
      <c r="J565" s="4"/>
      <c r="K565" s="4"/>
      <c r="M565" s="4"/>
      <c r="AA565" s="4"/>
      <c r="AB565" s="4"/>
    </row>
    <row r="566">
      <c r="J566" s="4"/>
      <c r="K566" s="4"/>
      <c r="M566" s="4"/>
      <c r="AA566" s="4"/>
      <c r="AB566" s="4"/>
    </row>
    <row r="567">
      <c r="J567" s="4"/>
      <c r="K567" s="4"/>
      <c r="M567" s="4"/>
      <c r="AA567" s="4"/>
      <c r="AB567" s="4"/>
    </row>
    <row r="568">
      <c r="J568" s="4"/>
      <c r="K568" s="4"/>
      <c r="M568" s="4"/>
      <c r="AA568" s="4"/>
      <c r="AB568" s="4"/>
    </row>
    <row r="569">
      <c r="J569" s="4"/>
      <c r="K569" s="4"/>
      <c r="M569" s="4"/>
      <c r="AA569" s="4"/>
      <c r="AB569" s="4"/>
    </row>
    <row r="570">
      <c r="J570" s="4"/>
      <c r="K570" s="4"/>
      <c r="M570" s="4"/>
      <c r="AA570" s="4"/>
      <c r="AB570" s="4"/>
    </row>
    <row r="571">
      <c r="J571" s="4"/>
      <c r="K571" s="4"/>
      <c r="M571" s="4"/>
      <c r="AA571" s="4"/>
      <c r="AB571" s="4"/>
    </row>
    <row r="572">
      <c r="J572" s="4"/>
      <c r="K572" s="4"/>
      <c r="M572" s="4"/>
      <c r="AA572" s="4"/>
      <c r="AB572" s="4"/>
    </row>
    <row r="573">
      <c r="J573" s="4"/>
      <c r="K573" s="4"/>
      <c r="M573" s="4"/>
      <c r="AA573" s="4"/>
      <c r="AB573" s="4"/>
    </row>
    <row r="574">
      <c r="J574" s="4"/>
      <c r="K574" s="4"/>
      <c r="M574" s="4"/>
      <c r="AA574" s="4"/>
      <c r="AB574" s="4"/>
    </row>
    <row r="575">
      <c r="J575" s="4"/>
      <c r="K575" s="4"/>
      <c r="M575" s="4"/>
      <c r="AA575" s="4"/>
      <c r="AB575" s="4"/>
    </row>
    <row r="576">
      <c r="J576" s="4"/>
      <c r="K576" s="4"/>
      <c r="M576" s="4"/>
      <c r="AA576" s="4"/>
      <c r="AB576" s="4"/>
    </row>
    <row r="577">
      <c r="J577" s="4"/>
      <c r="K577" s="4"/>
      <c r="M577" s="4"/>
      <c r="AA577" s="4"/>
      <c r="AB577" s="4"/>
    </row>
    <row r="578">
      <c r="J578" s="4"/>
      <c r="K578" s="4"/>
      <c r="M578" s="4"/>
      <c r="AA578" s="4"/>
      <c r="AB578" s="4"/>
    </row>
    <row r="579">
      <c r="J579" s="4"/>
      <c r="K579" s="4"/>
      <c r="M579" s="4"/>
      <c r="AA579" s="4"/>
      <c r="AB579" s="4"/>
    </row>
    <row r="580">
      <c r="J580" s="4"/>
      <c r="K580" s="4"/>
      <c r="M580" s="4"/>
      <c r="AA580" s="4"/>
      <c r="AB580" s="4"/>
    </row>
    <row r="581">
      <c r="J581" s="4"/>
      <c r="K581" s="4"/>
      <c r="M581" s="4"/>
      <c r="AA581" s="4"/>
      <c r="AB581" s="4"/>
    </row>
    <row r="582">
      <c r="J582" s="4"/>
      <c r="K582" s="4"/>
      <c r="M582" s="4"/>
      <c r="AA582" s="4"/>
      <c r="AB582" s="4"/>
    </row>
    <row r="583">
      <c r="J583" s="4"/>
      <c r="K583" s="4"/>
      <c r="M583" s="4"/>
      <c r="AA583" s="4"/>
      <c r="AB583" s="4"/>
    </row>
    <row r="584">
      <c r="J584" s="4"/>
      <c r="K584" s="4"/>
      <c r="M584" s="4"/>
      <c r="AA584" s="4"/>
      <c r="AB584" s="4"/>
    </row>
    <row r="585">
      <c r="J585" s="4"/>
      <c r="K585" s="4"/>
      <c r="M585" s="4"/>
      <c r="AA585" s="4"/>
      <c r="AB585" s="4"/>
    </row>
    <row r="586">
      <c r="J586" s="4"/>
      <c r="K586" s="4"/>
      <c r="M586" s="4"/>
      <c r="AA586" s="4"/>
      <c r="AB586" s="4"/>
    </row>
    <row r="587">
      <c r="J587" s="4"/>
      <c r="K587" s="4"/>
      <c r="M587" s="4"/>
      <c r="AA587" s="4"/>
      <c r="AB587" s="4"/>
    </row>
    <row r="588">
      <c r="J588" s="4"/>
      <c r="K588" s="4"/>
      <c r="M588" s="4"/>
      <c r="AA588" s="4"/>
      <c r="AB588" s="4"/>
    </row>
    <row r="589">
      <c r="J589" s="4"/>
      <c r="K589" s="4"/>
      <c r="M589" s="4"/>
      <c r="AA589" s="4"/>
      <c r="AB589" s="4"/>
    </row>
    <row r="590">
      <c r="J590" s="4"/>
      <c r="K590" s="4"/>
      <c r="M590" s="4"/>
      <c r="AA590" s="4"/>
      <c r="AB590" s="4"/>
    </row>
    <row r="591">
      <c r="J591" s="4"/>
      <c r="K591" s="4"/>
      <c r="M591" s="4"/>
      <c r="AA591" s="4"/>
      <c r="AB591" s="4"/>
    </row>
    <row r="592">
      <c r="J592" s="4"/>
      <c r="K592" s="4"/>
      <c r="M592" s="4"/>
      <c r="AA592" s="4"/>
      <c r="AB592" s="4"/>
    </row>
    <row r="593">
      <c r="J593" s="4"/>
      <c r="K593" s="4"/>
      <c r="M593" s="4"/>
      <c r="AA593" s="4"/>
      <c r="AB593" s="4"/>
    </row>
    <row r="594">
      <c r="J594" s="4"/>
      <c r="K594" s="4"/>
      <c r="M594" s="4"/>
      <c r="AA594" s="4"/>
      <c r="AB594" s="4"/>
    </row>
    <row r="595">
      <c r="J595" s="4"/>
      <c r="K595" s="4"/>
      <c r="M595" s="4"/>
      <c r="AA595" s="4"/>
      <c r="AB595" s="4"/>
    </row>
    <row r="596">
      <c r="J596" s="4"/>
      <c r="K596" s="4"/>
      <c r="M596" s="4"/>
      <c r="AA596" s="4"/>
      <c r="AB596" s="4"/>
    </row>
    <row r="597">
      <c r="J597" s="4"/>
      <c r="K597" s="4"/>
      <c r="M597" s="4"/>
      <c r="AA597" s="4"/>
      <c r="AB597" s="4"/>
    </row>
    <row r="598">
      <c r="J598" s="4"/>
      <c r="K598" s="4"/>
      <c r="M598" s="4"/>
      <c r="AA598" s="4"/>
      <c r="AB598" s="4"/>
    </row>
    <row r="599">
      <c r="J599" s="4"/>
      <c r="K599" s="4"/>
      <c r="M599" s="4"/>
      <c r="AA599" s="4"/>
      <c r="AB599" s="4"/>
    </row>
    <row r="600">
      <c r="J600" s="4"/>
      <c r="K600" s="4"/>
      <c r="M600" s="4"/>
      <c r="AA600" s="4"/>
      <c r="AB600" s="4"/>
    </row>
    <row r="601">
      <c r="J601" s="4"/>
      <c r="K601" s="4"/>
      <c r="M601" s="4"/>
      <c r="AA601" s="4"/>
      <c r="AB601" s="4"/>
    </row>
    <row r="602">
      <c r="J602" s="4"/>
      <c r="K602" s="4"/>
      <c r="M602" s="4"/>
      <c r="AA602" s="4"/>
      <c r="AB602" s="4"/>
    </row>
    <row r="603">
      <c r="J603" s="4"/>
      <c r="K603" s="4"/>
      <c r="M603" s="4"/>
      <c r="AA603" s="4"/>
      <c r="AB603" s="4"/>
    </row>
    <row r="604">
      <c r="J604" s="4"/>
      <c r="K604" s="4"/>
      <c r="M604" s="4"/>
      <c r="AA604" s="4"/>
      <c r="AB604" s="4"/>
    </row>
    <row r="605">
      <c r="J605" s="4"/>
      <c r="K605" s="4"/>
      <c r="M605" s="4"/>
      <c r="AA605" s="4"/>
      <c r="AB605" s="4"/>
    </row>
    <row r="606">
      <c r="J606" s="4"/>
      <c r="K606" s="4"/>
      <c r="M606" s="4"/>
      <c r="AA606" s="4"/>
      <c r="AB606" s="4"/>
    </row>
    <row r="607">
      <c r="J607" s="4"/>
      <c r="K607" s="4"/>
      <c r="M607" s="4"/>
      <c r="AA607" s="4"/>
      <c r="AB607" s="4"/>
    </row>
    <row r="608">
      <c r="J608" s="4"/>
      <c r="K608" s="4"/>
      <c r="M608" s="4"/>
      <c r="AA608" s="4"/>
      <c r="AB608" s="4"/>
    </row>
    <row r="609">
      <c r="J609" s="4"/>
      <c r="K609" s="4"/>
      <c r="M609" s="4"/>
      <c r="AA609" s="4"/>
      <c r="AB609" s="4"/>
    </row>
    <row r="610">
      <c r="J610" s="4"/>
      <c r="K610" s="4"/>
      <c r="M610" s="4"/>
      <c r="AA610" s="4"/>
      <c r="AB610" s="4"/>
    </row>
    <row r="611">
      <c r="J611" s="4"/>
      <c r="K611" s="4"/>
      <c r="M611" s="4"/>
      <c r="AA611" s="4"/>
      <c r="AB611" s="4"/>
    </row>
    <row r="612">
      <c r="J612" s="4"/>
      <c r="K612" s="4"/>
      <c r="M612" s="4"/>
      <c r="AA612" s="4"/>
      <c r="AB612" s="4"/>
    </row>
    <row r="613">
      <c r="J613" s="4"/>
      <c r="K613" s="4"/>
      <c r="M613" s="4"/>
      <c r="AA613" s="4"/>
      <c r="AB613" s="4"/>
    </row>
    <row r="614">
      <c r="J614" s="4"/>
      <c r="K614" s="4"/>
      <c r="M614" s="4"/>
      <c r="AA614" s="4"/>
      <c r="AB614" s="4"/>
    </row>
    <row r="615">
      <c r="J615" s="4"/>
      <c r="K615" s="4"/>
      <c r="M615" s="4"/>
      <c r="AA615" s="4"/>
      <c r="AB615" s="4"/>
    </row>
    <row r="616">
      <c r="J616" s="4"/>
      <c r="K616" s="4"/>
      <c r="M616" s="4"/>
      <c r="AA616" s="4"/>
      <c r="AB616" s="4"/>
    </row>
    <row r="617">
      <c r="J617" s="4"/>
      <c r="K617" s="4"/>
      <c r="M617" s="4"/>
      <c r="AA617" s="4"/>
      <c r="AB617" s="4"/>
    </row>
    <row r="618">
      <c r="J618" s="4"/>
      <c r="K618" s="4"/>
      <c r="M618" s="4"/>
      <c r="AA618" s="4"/>
      <c r="AB618" s="4"/>
    </row>
    <row r="619">
      <c r="J619" s="4"/>
      <c r="K619" s="4"/>
      <c r="M619" s="4"/>
      <c r="AA619" s="4"/>
      <c r="AB619" s="4"/>
    </row>
    <row r="620">
      <c r="J620" s="4"/>
      <c r="K620" s="4"/>
      <c r="M620" s="4"/>
      <c r="AA620" s="4"/>
      <c r="AB620" s="4"/>
    </row>
    <row r="621">
      <c r="J621" s="4"/>
      <c r="K621" s="4"/>
      <c r="M621" s="4"/>
      <c r="AA621" s="4"/>
      <c r="AB621" s="4"/>
    </row>
    <row r="622">
      <c r="J622" s="4"/>
      <c r="K622" s="4"/>
      <c r="M622" s="4"/>
      <c r="AA622" s="4"/>
      <c r="AB622" s="4"/>
    </row>
    <row r="623">
      <c r="J623" s="4"/>
      <c r="K623" s="4"/>
      <c r="M623" s="4"/>
      <c r="AA623" s="4"/>
      <c r="AB623" s="4"/>
    </row>
    <row r="624">
      <c r="J624" s="4"/>
      <c r="K624" s="4"/>
      <c r="M624" s="4"/>
      <c r="AA624" s="4"/>
      <c r="AB624" s="4"/>
    </row>
    <row r="625">
      <c r="J625" s="4"/>
      <c r="K625" s="4"/>
      <c r="M625" s="4"/>
      <c r="AA625" s="4"/>
      <c r="AB625" s="4"/>
    </row>
    <row r="626">
      <c r="J626" s="4"/>
      <c r="K626" s="4"/>
      <c r="M626" s="4"/>
      <c r="AA626" s="4"/>
      <c r="AB626" s="4"/>
    </row>
    <row r="627">
      <c r="J627" s="4"/>
      <c r="K627" s="4"/>
      <c r="M627" s="4"/>
      <c r="AA627" s="4"/>
      <c r="AB627" s="4"/>
    </row>
    <row r="628">
      <c r="J628" s="4"/>
      <c r="K628" s="4"/>
      <c r="M628" s="4"/>
      <c r="AA628" s="4"/>
      <c r="AB628" s="4"/>
    </row>
    <row r="629">
      <c r="J629" s="4"/>
      <c r="K629" s="4"/>
      <c r="M629" s="4"/>
      <c r="AA629" s="4"/>
      <c r="AB629" s="4"/>
    </row>
    <row r="630">
      <c r="J630" s="4"/>
      <c r="K630" s="4"/>
      <c r="M630" s="4"/>
      <c r="AA630" s="4"/>
      <c r="AB630" s="4"/>
    </row>
    <row r="631">
      <c r="J631" s="4"/>
      <c r="K631" s="4"/>
      <c r="M631" s="4"/>
      <c r="AA631" s="4"/>
      <c r="AB631" s="4"/>
    </row>
    <row r="632">
      <c r="J632" s="4"/>
      <c r="K632" s="4"/>
      <c r="M632" s="4"/>
      <c r="AA632" s="4"/>
      <c r="AB632" s="4"/>
    </row>
    <row r="633">
      <c r="J633" s="4"/>
      <c r="K633" s="4"/>
      <c r="M633" s="4"/>
      <c r="AA633" s="4"/>
      <c r="AB633" s="4"/>
    </row>
    <row r="634">
      <c r="J634" s="4"/>
      <c r="K634" s="4"/>
      <c r="M634" s="4"/>
      <c r="AA634" s="4"/>
      <c r="AB634" s="4"/>
    </row>
    <row r="635">
      <c r="J635" s="4"/>
      <c r="K635" s="4"/>
      <c r="M635" s="4"/>
      <c r="AA635" s="4"/>
      <c r="AB635" s="4"/>
    </row>
    <row r="636">
      <c r="J636" s="4"/>
      <c r="K636" s="4"/>
      <c r="M636" s="4"/>
      <c r="AA636" s="4"/>
      <c r="AB636" s="4"/>
    </row>
    <row r="637">
      <c r="J637" s="4"/>
      <c r="K637" s="4"/>
      <c r="M637" s="4"/>
      <c r="AA637" s="4"/>
      <c r="AB637" s="4"/>
    </row>
    <row r="638">
      <c r="J638" s="4"/>
      <c r="K638" s="4"/>
      <c r="M638" s="4"/>
      <c r="AA638" s="4"/>
      <c r="AB638" s="4"/>
    </row>
    <row r="639">
      <c r="J639" s="4"/>
      <c r="K639" s="4"/>
      <c r="M639" s="4"/>
      <c r="AA639" s="4"/>
      <c r="AB639" s="4"/>
    </row>
    <row r="640">
      <c r="J640" s="4"/>
      <c r="K640" s="4"/>
      <c r="M640" s="4"/>
      <c r="AA640" s="4"/>
      <c r="AB640" s="4"/>
    </row>
    <row r="641">
      <c r="J641" s="4"/>
      <c r="K641" s="4"/>
      <c r="M641" s="4"/>
      <c r="AA641" s="4"/>
      <c r="AB641" s="4"/>
    </row>
    <row r="642">
      <c r="J642" s="4"/>
      <c r="K642" s="4"/>
      <c r="M642" s="4"/>
      <c r="AA642" s="4"/>
      <c r="AB642" s="4"/>
    </row>
    <row r="643">
      <c r="J643" s="4"/>
      <c r="K643" s="4"/>
      <c r="M643" s="4"/>
      <c r="AA643" s="4"/>
      <c r="AB643" s="4"/>
    </row>
    <row r="644">
      <c r="J644" s="4"/>
      <c r="K644" s="4"/>
      <c r="M644" s="4"/>
      <c r="AA644" s="4"/>
      <c r="AB644" s="4"/>
    </row>
    <row r="645">
      <c r="J645" s="4"/>
      <c r="K645" s="4"/>
      <c r="M645" s="4"/>
      <c r="AA645" s="4"/>
      <c r="AB645" s="4"/>
    </row>
    <row r="646">
      <c r="J646" s="4"/>
      <c r="K646" s="4"/>
      <c r="M646" s="4"/>
      <c r="AA646" s="4"/>
      <c r="AB646" s="4"/>
    </row>
    <row r="647">
      <c r="J647" s="4"/>
      <c r="K647" s="4"/>
      <c r="M647" s="4"/>
      <c r="AA647" s="4"/>
      <c r="AB647" s="4"/>
    </row>
    <row r="648">
      <c r="J648" s="4"/>
      <c r="K648" s="4"/>
      <c r="M648" s="4"/>
      <c r="AA648" s="4"/>
      <c r="AB648" s="4"/>
    </row>
    <row r="649">
      <c r="J649" s="4"/>
      <c r="K649" s="4"/>
      <c r="M649" s="4"/>
      <c r="AA649" s="4"/>
      <c r="AB649" s="4"/>
    </row>
    <row r="650">
      <c r="J650" s="4"/>
      <c r="K650" s="4"/>
      <c r="M650" s="4"/>
      <c r="AA650" s="4"/>
      <c r="AB650" s="4"/>
    </row>
    <row r="651">
      <c r="J651" s="4"/>
      <c r="K651" s="4"/>
      <c r="M651" s="4"/>
      <c r="AA651" s="4"/>
      <c r="AB651" s="4"/>
    </row>
    <row r="652">
      <c r="J652" s="4"/>
      <c r="K652" s="4"/>
      <c r="M652" s="4"/>
      <c r="AA652" s="4"/>
      <c r="AB652" s="4"/>
    </row>
    <row r="653">
      <c r="J653" s="4"/>
      <c r="K653" s="4"/>
      <c r="M653" s="4"/>
      <c r="AA653" s="4"/>
      <c r="AB653" s="4"/>
    </row>
    <row r="654">
      <c r="J654" s="4"/>
      <c r="K654" s="4"/>
      <c r="M654" s="4"/>
      <c r="AA654" s="4"/>
      <c r="AB654" s="4"/>
    </row>
    <row r="655">
      <c r="J655" s="4"/>
      <c r="K655" s="4"/>
      <c r="M655" s="4"/>
      <c r="AA655" s="4"/>
      <c r="AB655" s="4"/>
    </row>
    <row r="656">
      <c r="J656" s="4"/>
      <c r="K656" s="4"/>
      <c r="M656" s="4"/>
      <c r="AA656" s="4"/>
      <c r="AB656" s="4"/>
    </row>
    <row r="657">
      <c r="J657" s="4"/>
      <c r="K657" s="4"/>
      <c r="M657" s="4"/>
      <c r="AA657" s="4"/>
      <c r="AB657" s="4"/>
    </row>
    <row r="658">
      <c r="J658" s="4"/>
      <c r="K658" s="4"/>
      <c r="M658" s="4"/>
      <c r="AA658" s="4"/>
      <c r="AB658" s="4"/>
    </row>
    <row r="659">
      <c r="J659" s="4"/>
      <c r="K659" s="4"/>
      <c r="M659" s="4"/>
      <c r="AA659" s="4"/>
      <c r="AB659" s="4"/>
    </row>
    <row r="660">
      <c r="J660" s="4"/>
      <c r="K660" s="4"/>
      <c r="M660" s="4"/>
      <c r="AA660" s="4"/>
      <c r="AB660" s="4"/>
    </row>
    <row r="661">
      <c r="J661" s="4"/>
      <c r="K661" s="4"/>
      <c r="M661" s="4"/>
      <c r="AA661" s="4"/>
      <c r="AB661" s="4"/>
    </row>
    <row r="662">
      <c r="J662" s="4"/>
      <c r="K662" s="4"/>
      <c r="M662" s="4"/>
      <c r="AA662" s="4"/>
      <c r="AB662" s="4"/>
    </row>
    <row r="663">
      <c r="J663" s="4"/>
      <c r="K663" s="4"/>
      <c r="M663" s="4"/>
      <c r="AA663" s="4"/>
      <c r="AB663" s="4"/>
    </row>
    <row r="664">
      <c r="J664" s="4"/>
      <c r="K664" s="4"/>
      <c r="M664" s="4"/>
      <c r="AA664" s="4"/>
      <c r="AB664" s="4"/>
    </row>
    <row r="665">
      <c r="J665" s="4"/>
      <c r="K665" s="4"/>
      <c r="M665" s="4"/>
      <c r="AA665" s="4"/>
      <c r="AB665" s="4"/>
    </row>
    <row r="666">
      <c r="J666" s="4"/>
      <c r="K666" s="4"/>
      <c r="M666" s="4"/>
      <c r="AA666" s="4"/>
      <c r="AB666" s="4"/>
    </row>
    <row r="667">
      <c r="J667" s="4"/>
      <c r="K667" s="4"/>
      <c r="M667" s="4"/>
      <c r="AA667" s="4"/>
      <c r="AB667" s="4"/>
    </row>
    <row r="668">
      <c r="J668" s="4"/>
      <c r="K668" s="4"/>
      <c r="M668" s="4"/>
      <c r="AA668" s="4"/>
      <c r="AB668" s="4"/>
    </row>
    <row r="669">
      <c r="J669" s="4"/>
      <c r="K669" s="4"/>
      <c r="M669" s="4"/>
      <c r="AA669" s="4"/>
      <c r="AB669" s="4"/>
    </row>
    <row r="670">
      <c r="J670" s="4"/>
      <c r="K670" s="4"/>
      <c r="M670" s="4"/>
      <c r="AA670" s="4"/>
      <c r="AB670" s="4"/>
    </row>
    <row r="671">
      <c r="J671" s="4"/>
      <c r="K671" s="4"/>
      <c r="M671" s="4"/>
      <c r="AA671" s="4"/>
      <c r="AB671" s="4"/>
    </row>
    <row r="672">
      <c r="J672" s="4"/>
      <c r="K672" s="4"/>
      <c r="M672" s="4"/>
      <c r="AA672" s="4"/>
      <c r="AB672" s="4"/>
    </row>
    <row r="673">
      <c r="J673" s="4"/>
      <c r="K673" s="4"/>
      <c r="M673" s="4"/>
      <c r="AA673" s="4"/>
      <c r="AB673" s="4"/>
    </row>
    <row r="674">
      <c r="J674" s="4"/>
      <c r="K674" s="4"/>
      <c r="M674" s="4"/>
      <c r="AA674" s="4"/>
      <c r="AB674" s="4"/>
    </row>
    <row r="675">
      <c r="J675" s="4"/>
      <c r="K675" s="4"/>
      <c r="M675" s="4"/>
      <c r="AA675" s="4"/>
      <c r="AB675" s="4"/>
    </row>
    <row r="676">
      <c r="J676" s="4"/>
      <c r="K676" s="4"/>
      <c r="M676" s="4"/>
      <c r="AA676" s="4"/>
      <c r="AB676" s="4"/>
    </row>
    <row r="677">
      <c r="J677" s="4"/>
      <c r="K677" s="4"/>
      <c r="M677" s="4"/>
      <c r="AA677" s="4"/>
      <c r="AB677" s="4"/>
    </row>
    <row r="678">
      <c r="J678" s="4"/>
      <c r="K678" s="4"/>
      <c r="M678" s="4"/>
      <c r="AA678" s="4"/>
      <c r="AB678" s="4"/>
    </row>
    <row r="679">
      <c r="J679" s="4"/>
      <c r="K679" s="4"/>
      <c r="M679" s="4"/>
      <c r="AA679" s="4"/>
      <c r="AB679" s="4"/>
    </row>
    <row r="680">
      <c r="J680" s="4"/>
      <c r="K680" s="4"/>
      <c r="M680" s="4"/>
      <c r="AA680" s="4"/>
      <c r="AB680" s="4"/>
    </row>
    <row r="681">
      <c r="J681" s="4"/>
      <c r="K681" s="4"/>
      <c r="M681" s="4"/>
      <c r="AA681" s="4"/>
      <c r="AB681" s="4"/>
    </row>
    <row r="682">
      <c r="J682" s="4"/>
      <c r="K682" s="4"/>
      <c r="M682" s="4"/>
      <c r="AA682" s="4"/>
      <c r="AB682" s="4"/>
    </row>
    <row r="683">
      <c r="J683" s="4"/>
      <c r="K683" s="4"/>
      <c r="M683" s="4"/>
      <c r="AA683" s="4"/>
      <c r="AB683" s="4"/>
    </row>
    <row r="684">
      <c r="J684" s="4"/>
      <c r="K684" s="4"/>
      <c r="M684" s="4"/>
      <c r="AA684" s="4"/>
      <c r="AB684" s="4"/>
    </row>
    <row r="685">
      <c r="J685" s="4"/>
      <c r="K685" s="4"/>
      <c r="M685" s="4"/>
      <c r="AA685" s="4"/>
      <c r="AB685" s="4"/>
    </row>
    <row r="686">
      <c r="J686" s="4"/>
      <c r="K686" s="4"/>
      <c r="M686" s="4"/>
      <c r="AA686" s="4"/>
      <c r="AB686" s="4"/>
    </row>
    <row r="687">
      <c r="J687" s="4"/>
      <c r="K687" s="4"/>
      <c r="M687" s="4"/>
      <c r="AA687" s="4"/>
      <c r="AB687" s="4"/>
    </row>
    <row r="688">
      <c r="J688" s="4"/>
      <c r="K688" s="4"/>
      <c r="M688" s="4"/>
      <c r="AA688" s="4"/>
      <c r="AB688" s="4"/>
    </row>
    <row r="689">
      <c r="J689" s="4"/>
      <c r="K689" s="4"/>
      <c r="M689" s="4"/>
      <c r="AA689" s="4"/>
      <c r="AB689" s="4"/>
    </row>
    <row r="690">
      <c r="J690" s="4"/>
      <c r="K690" s="4"/>
      <c r="M690" s="4"/>
      <c r="AA690" s="4"/>
      <c r="AB690" s="4"/>
    </row>
    <row r="691">
      <c r="J691" s="4"/>
      <c r="K691" s="4"/>
      <c r="M691" s="4"/>
      <c r="AA691" s="4"/>
      <c r="AB691" s="4"/>
    </row>
    <row r="692">
      <c r="J692" s="4"/>
      <c r="K692" s="4"/>
      <c r="M692" s="4"/>
      <c r="AA692" s="4"/>
      <c r="AB692" s="4"/>
    </row>
    <row r="693">
      <c r="J693" s="4"/>
      <c r="K693" s="4"/>
      <c r="M693" s="4"/>
      <c r="AA693" s="4"/>
      <c r="AB693" s="4"/>
    </row>
    <row r="694">
      <c r="J694" s="4"/>
      <c r="K694" s="4"/>
      <c r="M694" s="4"/>
      <c r="AA694" s="4"/>
      <c r="AB694" s="4"/>
    </row>
    <row r="695">
      <c r="J695" s="4"/>
      <c r="K695" s="4"/>
      <c r="M695" s="4"/>
      <c r="AA695" s="4"/>
      <c r="AB695" s="4"/>
    </row>
    <row r="696">
      <c r="J696" s="4"/>
      <c r="K696" s="4"/>
      <c r="M696" s="4"/>
      <c r="AA696" s="4"/>
      <c r="AB696" s="4"/>
    </row>
    <row r="697">
      <c r="J697" s="4"/>
      <c r="K697" s="4"/>
      <c r="M697" s="4"/>
      <c r="AA697" s="4"/>
      <c r="AB697" s="4"/>
    </row>
    <row r="698">
      <c r="J698" s="4"/>
      <c r="K698" s="4"/>
      <c r="M698" s="4"/>
      <c r="AA698" s="4"/>
      <c r="AB698" s="4"/>
    </row>
    <row r="699">
      <c r="J699" s="4"/>
      <c r="K699" s="4"/>
      <c r="M699" s="4"/>
      <c r="AA699" s="4"/>
      <c r="AB699" s="4"/>
    </row>
    <row r="700">
      <c r="J700" s="4"/>
      <c r="K700" s="4"/>
      <c r="M700" s="4"/>
      <c r="AA700" s="4"/>
      <c r="AB700" s="4"/>
    </row>
    <row r="701">
      <c r="J701" s="4"/>
      <c r="K701" s="4"/>
      <c r="M701" s="4"/>
      <c r="AA701" s="4"/>
      <c r="AB701" s="4"/>
    </row>
    <row r="702">
      <c r="J702" s="4"/>
      <c r="K702" s="4"/>
      <c r="M702" s="4"/>
      <c r="AA702" s="4"/>
      <c r="AB702" s="4"/>
    </row>
    <row r="703">
      <c r="J703" s="4"/>
      <c r="K703" s="4"/>
      <c r="M703" s="4"/>
      <c r="AA703" s="4"/>
      <c r="AB703" s="4"/>
    </row>
    <row r="704">
      <c r="J704" s="4"/>
      <c r="K704" s="4"/>
      <c r="M704" s="4"/>
      <c r="AA704" s="4"/>
      <c r="AB704" s="4"/>
    </row>
    <row r="705">
      <c r="J705" s="4"/>
      <c r="K705" s="4"/>
      <c r="M705" s="4"/>
      <c r="AA705" s="4"/>
      <c r="AB705" s="4"/>
    </row>
    <row r="706">
      <c r="J706" s="4"/>
      <c r="K706" s="4"/>
      <c r="M706" s="4"/>
      <c r="AA706" s="4"/>
      <c r="AB706" s="4"/>
    </row>
    <row r="707">
      <c r="J707" s="4"/>
      <c r="K707" s="4"/>
      <c r="M707" s="4"/>
      <c r="AA707" s="4"/>
      <c r="AB707" s="4"/>
    </row>
    <row r="708">
      <c r="J708" s="4"/>
      <c r="K708" s="4"/>
      <c r="M708" s="4"/>
      <c r="AA708" s="4"/>
      <c r="AB708" s="4"/>
    </row>
    <row r="709">
      <c r="J709" s="4"/>
      <c r="K709" s="4"/>
      <c r="M709" s="4"/>
      <c r="AA709" s="4"/>
      <c r="AB709" s="4"/>
    </row>
    <row r="710">
      <c r="J710" s="4"/>
      <c r="K710" s="4"/>
      <c r="M710" s="4"/>
      <c r="AA710" s="4"/>
      <c r="AB710" s="4"/>
    </row>
    <row r="711">
      <c r="J711" s="4"/>
      <c r="K711" s="4"/>
      <c r="M711" s="4"/>
      <c r="AA711" s="4"/>
      <c r="AB711" s="4"/>
    </row>
    <row r="712">
      <c r="J712" s="4"/>
      <c r="K712" s="4"/>
      <c r="M712" s="4"/>
      <c r="AA712" s="4"/>
      <c r="AB712" s="4"/>
    </row>
    <row r="713">
      <c r="J713" s="4"/>
      <c r="K713" s="4"/>
      <c r="M713" s="4"/>
      <c r="AA713" s="4"/>
      <c r="AB713" s="4"/>
    </row>
    <row r="714">
      <c r="J714" s="4"/>
      <c r="K714" s="4"/>
      <c r="M714" s="4"/>
      <c r="AA714" s="4"/>
      <c r="AB714" s="4"/>
    </row>
    <row r="715">
      <c r="J715" s="4"/>
      <c r="K715" s="4"/>
      <c r="M715" s="4"/>
      <c r="AA715" s="4"/>
      <c r="AB715" s="4"/>
    </row>
    <row r="716">
      <c r="J716" s="4"/>
      <c r="K716" s="4"/>
      <c r="M716" s="4"/>
      <c r="AA716" s="4"/>
      <c r="AB716" s="4"/>
    </row>
    <row r="717">
      <c r="J717" s="4"/>
      <c r="K717" s="4"/>
      <c r="M717" s="4"/>
      <c r="AA717" s="4"/>
      <c r="AB717" s="4"/>
    </row>
    <row r="718">
      <c r="J718" s="4"/>
      <c r="K718" s="4"/>
      <c r="M718" s="4"/>
      <c r="AA718" s="4"/>
      <c r="AB718" s="4"/>
    </row>
    <row r="719">
      <c r="J719" s="4"/>
      <c r="K719" s="4"/>
      <c r="M719" s="4"/>
      <c r="AA719" s="4"/>
      <c r="AB719" s="4"/>
    </row>
    <row r="720">
      <c r="J720" s="4"/>
      <c r="K720" s="4"/>
      <c r="M720" s="4"/>
      <c r="AA720" s="4"/>
      <c r="AB720" s="4"/>
    </row>
    <row r="721">
      <c r="J721" s="4"/>
      <c r="K721" s="4"/>
      <c r="M721" s="4"/>
      <c r="AA721" s="4"/>
      <c r="AB721" s="4"/>
    </row>
    <row r="722">
      <c r="J722" s="4"/>
      <c r="K722" s="4"/>
      <c r="M722" s="4"/>
      <c r="AA722" s="4"/>
      <c r="AB722" s="4"/>
    </row>
    <row r="723">
      <c r="J723" s="4"/>
      <c r="K723" s="4"/>
      <c r="M723" s="4"/>
      <c r="AA723" s="4"/>
      <c r="AB723" s="4"/>
    </row>
    <row r="724">
      <c r="J724" s="4"/>
      <c r="K724" s="4"/>
      <c r="M724" s="4"/>
      <c r="AA724" s="4"/>
      <c r="AB724" s="4"/>
    </row>
    <row r="725">
      <c r="J725" s="4"/>
      <c r="K725" s="4"/>
      <c r="M725" s="4"/>
      <c r="AA725" s="4"/>
      <c r="AB725" s="4"/>
    </row>
    <row r="726">
      <c r="J726" s="4"/>
      <c r="K726" s="4"/>
      <c r="M726" s="4"/>
      <c r="AA726" s="4"/>
      <c r="AB726" s="4"/>
    </row>
    <row r="727">
      <c r="J727" s="4"/>
      <c r="K727" s="4"/>
      <c r="M727" s="4"/>
      <c r="AA727" s="4"/>
      <c r="AB727" s="4"/>
    </row>
    <row r="728">
      <c r="J728" s="4"/>
      <c r="K728" s="4"/>
      <c r="M728" s="4"/>
      <c r="AA728" s="4"/>
      <c r="AB728" s="4"/>
    </row>
    <row r="729">
      <c r="J729" s="4"/>
      <c r="K729" s="4"/>
      <c r="M729" s="4"/>
      <c r="AA729" s="4"/>
      <c r="AB729" s="4"/>
    </row>
    <row r="730">
      <c r="J730" s="4"/>
      <c r="K730" s="4"/>
      <c r="M730" s="4"/>
      <c r="AA730" s="4"/>
      <c r="AB730" s="4"/>
    </row>
    <row r="731">
      <c r="J731" s="4"/>
      <c r="K731" s="4"/>
      <c r="M731" s="4"/>
      <c r="AA731" s="4"/>
      <c r="AB731" s="4"/>
    </row>
    <row r="732">
      <c r="J732" s="4"/>
      <c r="K732" s="4"/>
      <c r="M732" s="4"/>
      <c r="AA732" s="4"/>
      <c r="AB732" s="4"/>
    </row>
    <row r="733">
      <c r="J733" s="4"/>
      <c r="K733" s="4"/>
      <c r="M733" s="4"/>
      <c r="AA733" s="4"/>
      <c r="AB733" s="4"/>
    </row>
    <row r="734">
      <c r="J734" s="4"/>
      <c r="K734" s="4"/>
      <c r="M734" s="4"/>
      <c r="AA734" s="4"/>
      <c r="AB734" s="4"/>
    </row>
    <row r="735">
      <c r="J735" s="4"/>
      <c r="K735" s="4"/>
      <c r="M735" s="4"/>
      <c r="AA735" s="4"/>
      <c r="AB735" s="4"/>
    </row>
    <row r="736">
      <c r="J736" s="4"/>
      <c r="K736" s="4"/>
      <c r="M736" s="4"/>
      <c r="AA736" s="4"/>
      <c r="AB736" s="4"/>
    </row>
    <row r="737">
      <c r="J737" s="4"/>
      <c r="K737" s="4"/>
      <c r="M737" s="4"/>
      <c r="AA737" s="4"/>
      <c r="AB737" s="4"/>
    </row>
    <row r="738">
      <c r="J738" s="4"/>
      <c r="K738" s="4"/>
      <c r="M738" s="4"/>
      <c r="AA738" s="4"/>
      <c r="AB738" s="4"/>
    </row>
    <row r="739">
      <c r="J739" s="4"/>
      <c r="K739" s="4"/>
      <c r="M739" s="4"/>
      <c r="AA739" s="4"/>
      <c r="AB739" s="4"/>
    </row>
    <row r="740">
      <c r="J740" s="4"/>
      <c r="K740" s="4"/>
      <c r="M740" s="4"/>
      <c r="AA740" s="4"/>
      <c r="AB740" s="4"/>
    </row>
    <row r="741">
      <c r="J741" s="4"/>
      <c r="K741" s="4"/>
      <c r="M741" s="4"/>
      <c r="AA741" s="4"/>
      <c r="AB741" s="4"/>
    </row>
    <row r="742">
      <c r="J742" s="4"/>
      <c r="K742" s="4"/>
      <c r="M742" s="4"/>
      <c r="AA742" s="4"/>
      <c r="AB742" s="4"/>
    </row>
    <row r="743">
      <c r="J743" s="4"/>
      <c r="K743" s="4"/>
      <c r="M743" s="4"/>
      <c r="AA743" s="4"/>
      <c r="AB743" s="4"/>
    </row>
    <row r="744">
      <c r="J744" s="4"/>
      <c r="K744" s="4"/>
      <c r="M744" s="4"/>
      <c r="AA744" s="4"/>
      <c r="AB744" s="4"/>
    </row>
    <row r="745">
      <c r="J745" s="4"/>
      <c r="K745" s="4"/>
      <c r="M745" s="4"/>
      <c r="AA745" s="4"/>
      <c r="AB745" s="4"/>
    </row>
    <row r="746">
      <c r="J746" s="4"/>
      <c r="K746" s="4"/>
      <c r="M746" s="4"/>
      <c r="AA746" s="4"/>
      <c r="AB746" s="4"/>
    </row>
    <row r="747">
      <c r="J747" s="4"/>
      <c r="K747" s="4"/>
      <c r="M747" s="4"/>
      <c r="AA747" s="4"/>
      <c r="AB747" s="4"/>
    </row>
    <row r="748">
      <c r="J748" s="4"/>
      <c r="K748" s="4"/>
      <c r="M748" s="4"/>
      <c r="AA748" s="4"/>
      <c r="AB748" s="4"/>
    </row>
    <row r="749">
      <c r="J749" s="4"/>
      <c r="K749" s="4"/>
      <c r="M749" s="4"/>
      <c r="AA749" s="4"/>
      <c r="AB749" s="4"/>
    </row>
    <row r="750">
      <c r="J750" s="4"/>
      <c r="K750" s="4"/>
      <c r="M750" s="4"/>
      <c r="AA750" s="4"/>
      <c r="AB750" s="4"/>
    </row>
    <row r="751">
      <c r="J751" s="4"/>
      <c r="K751" s="4"/>
      <c r="M751" s="4"/>
      <c r="AA751" s="4"/>
      <c r="AB751" s="4"/>
    </row>
    <row r="752">
      <c r="J752" s="4"/>
      <c r="K752" s="4"/>
      <c r="M752" s="4"/>
      <c r="AA752" s="4"/>
      <c r="AB752" s="4"/>
    </row>
    <row r="753">
      <c r="J753" s="4"/>
      <c r="K753" s="4"/>
      <c r="M753" s="4"/>
      <c r="AA753" s="4"/>
      <c r="AB753" s="4"/>
    </row>
    <row r="754">
      <c r="J754" s="4"/>
      <c r="K754" s="4"/>
      <c r="M754" s="4"/>
      <c r="AA754" s="4"/>
      <c r="AB754" s="4"/>
    </row>
    <row r="755">
      <c r="J755" s="4"/>
      <c r="K755" s="4"/>
      <c r="M755" s="4"/>
      <c r="AA755" s="4"/>
      <c r="AB755" s="4"/>
    </row>
    <row r="756">
      <c r="J756" s="4"/>
      <c r="K756" s="4"/>
      <c r="M756" s="4"/>
      <c r="AA756" s="4"/>
      <c r="AB756" s="4"/>
    </row>
    <row r="757">
      <c r="J757" s="4"/>
      <c r="K757" s="4"/>
      <c r="M757" s="4"/>
      <c r="AA757" s="4"/>
      <c r="AB757" s="4"/>
    </row>
    <row r="758">
      <c r="J758" s="4"/>
      <c r="K758" s="4"/>
      <c r="M758" s="4"/>
      <c r="AA758" s="4"/>
      <c r="AB758" s="4"/>
    </row>
    <row r="759">
      <c r="J759" s="4"/>
      <c r="K759" s="4"/>
      <c r="M759" s="4"/>
      <c r="AA759" s="4"/>
      <c r="AB759" s="4"/>
    </row>
    <row r="760">
      <c r="J760" s="4"/>
      <c r="K760" s="4"/>
      <c r="M760" s="4"/>
      <c r="AA760" s="4"/>
      <c r="AB760" s="4"/>
    </row>
    <row r="761">
      <c r="J761" s="4"/>
      <c r="K761" s="4"/>
      <c r="M761" s="4"/>
      <c r="AA761" s="4"/>
      <c r="AB761" s="4"/>
    </row>
    <row r="762">
      <c r="J762" s="4"/>
      <c r="K762" s="4"/>
      <c r="M762" s="4"/>
      <c r="AA762" s="4"/>
      <c r="AB762" s="4"/>
    </row>
    <row r="763">
      <c r="J763" s="4"/>
      <c r="K763" s="4"/>
      <c r="M763" s="4"/>
      <c r="AA763" s="4"/>
      <c r="AB763" s="4"/>
    </row>
    <row r="764">
      <c r="J764" s="4"/>
      <c r="K764" s="4"/>
      <c r="M764" s="4"/>
      <c r="AA764" s="4"/>
      <c r="AB764" s="4"/>
    </row>
    <row r="765">
      <c r="J765" s="4"/>
      <c r="K765" s="4"/>
      <c r="M765" s="4"/>
      <c r="AA765" s="4"/>
      <c r="AB765" s="4"/>
    </row>
    <row r="766">
      <c r="J766" s="4"/>
      <c r="K766" s="4"/>
      <c r="M766" s="4"/>
      <c r="AA766" s="4"/>
      <c r="AB766" s="4"/>
    </row>
    <row r="767">
      <c r="J767" s="4"/>
      <c r="K767" s="4"/>
      <c r="M767" s="4"/>
      <c r="AA767" s="4"/>
      <c r="AB767" s="4"/>
    </row>
    <row r="768">
      <c r="J768" s="4"/>
      <c r="K768" s="4"/>
      <c r="M768" s="4"/>
      <c r="AA768" s="4"/>
      <c r="AB768" s="4"/>
    </row>
    <row r="769">
      <c r="J769" s="4"/>
      <c r="K769" s="4"/>
      <c r="M769" s="4"/>
      <c r="AA769" s="4"/>
      <c r="AB769" s="4"/>
    </row>
    <row r="770">
      <c r="J770" s="4"/>
      <c r="K770" s="4"/>
      <c r="M770" s="4"/>
      <c r="AA770" s="4"/>
      <c r="AB770" s="4"/>
    </row>
    <row r="771">
      <c r="J771" s="4"/>
      <c r="K771" s="4"/>
      <c r="M771" s="4"/>
      <c r="AA771" s="4"/>
      <c r="AB771" s="4"/>
    </row>
    <row r="772">
      <c r="J772" s="4"/>
      <c r="K772" s="4"/>
      <c r="M772" s="4"/>
      <c r="AA772" s="4"/>
      <c r="AB772" s="4"/>
    </row>
    <row r="773">
      <c r="J773" s="4"/>
      <c r="K773" s="4"/>
      <c r="M773" s="4"/>
      <c r="AA773" s="4"/>
      <c r="AB773" s="4"/>
    </row>
    <row r="774">
      <c r="J774" s="4"/>
      <c r="K774" s="4"/>
      <c r="M774" s="4"/>
      <c r="AA774" s="4"/>
      <c r="AB774" s="4"/>
    </row>
    <row r="775">
      <c r="J775" s="4"/>
      <c r="K775" s="4"/>
      <c r="M775" s="4"/>
      <c r="AA775" s="4"/>
      <c r="AB775" s="4"/>
    </row>
    <row r="776">
      <c r="J776" s="4"/>
      <c r="K776" s="4"/>
      <c r="M776" s="4"/>
      <c r="AA776" s="4"/>
      <c r="AB776" s="4"/>
    </row>
    <row r="777">
      <c r="J777" s="4"/>
      <c r="K777" s="4"/>
      <c r="M777" s="4"/>
      <c r="AA777" s="4"/>
      <c r="AB777" s="4"/>
    </row>
    <row r="778">
      <c r="J778" s="4"/>
      <c r="K778" s="4"/>
      <c r="M778" s="4"/>
      <c r="AA778" s="4"/>
      <c r="AB778" s="4"/>
    </row>
    <row r="779">
      <c r="J779" s="4"/>
      <c r="K779" s="4"/>
      <c r="M779" s="4"/>
      <c r="AA779" s="4"/>
      <c r="AB779" s="4"/>
    </row>
    <row r="780">
      <c r="J780" s="4"/>
      <c r="K780" s="4"/>
      <c r="M780" s="4"/>
      <c r="AA780" s="4"/>
      <c r="AB780" s="4"/>
    </row>
    <row r="781">
      <c r="J781" s="4"/>
      <c r="K781" s="4"/>
      <c r="M781" s="4"/>
      <c r="AA781" s="4"/>
      <c r="AB781" s="4"/>
    </row>
    <row r="782">
      <c r="J782" s="4"/>
      <c r="K782" s="4"/>
      <c r="M782" s="4"/>
      <c r="AA782" s="4"/>
      <c r="AB782" s="4"/>
    </row>
    <row r="783">
      <c r="J783" s="4"/>
      <c r="K783" s="4"/>
      <c r="M783" s="4"/>
      <c r="AA783" s="4"/>
      <c r="AB783" s="4"/>
    </row>
    <row r="784">
      <c r="J784" s="4"/>
      <c r="K784" s="4"/>
      <c r="M784" s="4"/>
      <c r="AA784" s="4"/>
      <c r="AB784" s="4"/>
    </row>
    <row r="785">
      <c r="J785" s="4"/>
      <c r="K785" s="4"/>
      <c r="M785" s="4"/>
      <c r="AA785" s="4"/>
      <c r="AB785" s="4"/>
    </row>
    <row r="786">
      <c r="J786" s="4"/>
      <c r="K786" s="4"/>
      <c r="M786" s="4"/>
      <c r="AA786" s="4"/>
      <c r="AB786" s="4"/>
    </row>
    <row r="787">
      <c r="J787" s="4"/>
      <c r="K787" s="4"/>
      <c r="M787" s="4"/>
      <c r="AA787" s="4"/>
      <c r="AB787" s="4"/>
    </row>
    <row r="788">
      <c r="J788" s="4"/>
      <c r="K788" s="4"/>
      <c r="M788" s="4"/>
      <c r="AA788" s="4"/>
      <c r="AB788" s="4"/>
    </row>
    <row r="789">
      <c r="J789" s="4"/>
      <c r="K789" s="4"/>
      <c r="M789" s="4"/>
      <c r="AA789" s="4"/>
      <c r="AB789" s="4"/>
    </row>
    <row r="790">
      <c r="J790" s="4"/>
      <c r="K790" s="4"/>
      <c r="M790" s="4"/>
      <c r="AA790" s="4"/>
      <c r="AB790" s="4"/>
    </row>
    <row r="791">
      <c r="J791" s="4"/>
      <c r="K791" s="4"/>
      <c r="M791" s="4"/>
      <c r="AA791" s="4"/>
      <c r="AB791" s="4"/>
    </row>
    <row r="792">
      <c r="J792" s="4"/>
      <c r="K792" s="4"/>
      <c r="M792" s="4"/>
      <c r="AA792" s="4"/>
      <c r="AB792" s="4"/>
    </row>
    <row r="793">
      <c r="J793" s="4"/>
      <c r="K793" s="4"/>
      <c r="M793" s="4"/>
      <c r="AA793" s="4"/>
      <c r="AB793" s="4"/>
    </row>
    <row r="794">
      <c r="J794" s="4"/>
      <c r="K794" s="4"/>
      <c r="M794" s="4"/>
      <c r="AA794" s="4"/>
      <c r="AB794" s="4"/>
    </row>
    <row r="795">
      <c r="J795" s="4"/>
      <c r="K795" s="4"/>
      <c r="M795" s="4"/>
      <c r="AA795" s="4"/>
      <c r="AB795" s="4"/>
    </row>
    <row r="796">
      <c r="J796" s="4"/>
      <c r="K796" s="4"/>
      <c r="M796" s="4"/>
      <c r="AA796" s="4"/>
      <c r="AB796" s="4"/>
    </row>
    <row r="797">
      <c r="J797" s="4"/>
      <c r="K797" s="4"/>
      <c r="M797" s="4"/>
      <c r="AA797" s="4"/>
      <c r="AB797" s="4"/>
    </row>
    <row r="798">
      <c r="J798" s="4"/>
      <c r="K798" s="4"/>
      <c r="M798" s="4"/>
      <c r="AA798" s="4"/>
      <c r="AB798" s="4"/>
    </row>
    <row r="799">
      <c r="J799" s="4"/>
      <c r="K799" s="4"/>
      <c r="M799" s="4"/>
      <c r="AA799" s="4"/>
      <c r="AB799" s="4"/>
    </row>
    <row r="800">
      <c r="J800" s="4"/>
      <c r="K800" s="4"/>
      <c r="M800" s="4"/>
      <c r="AA800" s="4"/>
      <c r="AB800" s="4"/>
    </row>
    <row r="801">
      <c r="J801" s="4"/>
      <c r="K801" s="4"/>
      <c r="M801" s="4"/>
      <c r="AA801" s="4"/>
      <c r="AB801" s="4"/>
    </row>
    <row r="802">
      <c r="J802" s="4"/>
      <c r="K802" s="4"/>
      <c r="M802" s="4"/>
      <c r="AA802" s="4"/>
      <c r="AB802" s="4"/>
    </row>
    <row r="803">
      <c r="J803" s="4"/>
      <c r="K803" s="4"/>
      <c r="M803" s="4"/>
      <c r="AA803" s="4"/>
      <c r="AB803" s="4"/>
    </row>
    <row r="804">
      <c r="J804" s="4"/>
      <c r="K804" s="4"/>
      <c r="M804" s="4"/>
      <c r="AA804" s="4"/>
      <c r="AB804" s="4"/>
    </row>
    <row r="805">
      <c r="J805" s="4"/>
      <c r="K805" s="4"/>
      <c r="M805" s="4"/>
      <c r="AA805" s="4"/>
      <c r="AB805" s="4"/>
    </row>
    <row r="806">
      <c r="J806" s="4"/>
      <c r="K806" s="4"/>
      <c r="M806" s="4"/>
      <c r="AA806" s="4"/>
      <c r="AB806" s="4"/>
    </row>
    <row r="807">
      <c r="J807" s="4"/>
      <c r="K807" s="4"/>
      <c r="M807" s="4"/>
      <c r="AA807" s="4"/>
      <c r="AB807" s="4"/>
    </row>
    <row r="808">
      <c r="J808" s="4"/>
      <c r="K808" s="4"/>
      <c r="M808" s="4"/>
      <c r="AA808" s="4"/>
      <c r="AB808" s="4"/>
    </row>
    <row r="809">
      <c r="J809" s="4"/>
      <c r="K809" s="4"/>
      <c r="M809" s="4"/>
      <c r="AA809" s="4"/>
      <c r="AB809" s="4"/>
    </row>
    <row r="810">
      <c r="J810" s="4"/>
      <c r="K810" s="4"/>
      <c r="M810" s="4"/>
      <c r="AA810" s="4"/>
      <c r="AB810" s="4"/>
    </row>
    <row r="811">
      <c r="J811" s="4"/>
      <c r="K811" s="4"/>
      <c r="M811" s="4"/>
      <c r="AA811" s="4"/>
      <c r="AB811" s="4"/>
    </row>
    <row r="812">
      <c r="J812" s="4"/>
      <c r="K812" s="4"/>
      <c r="M812" s="4"/>
      <c r="AA812" s="4"/>
      <c r="AB812" s="4"/>
    </row>
    <row r="813">
      <c r="J813" s="4"/>
      <c r="K813" s="4"/>
      <c r="M813" s="4"/>
      <c r="AA813" s="4"/>
      <c r="AB813" s="4"/>
    </row>
    <row r="814">
      <c r="J814" s="4"/>
      <c r="K814" s="4"/>
      <c r="M814" s="4"/>
      <c r="AA814" s="4"/>
      <c r="AB814" s="4"/>
    </row>
    <row r="815">
      <c r="J815" s="4"/>
      <c r="K815" s="4"/>
      <c r="M815" s="4"/>
      <c r="AA815" s="4"/>
      <c r="AB815" s="4"/>
    </row>
    <row r="816">
      <c r="J816" s="4"/>
      <c r="K816" s="4"/>
      <c r="M816" s="4"/>
      <c r="AA816" s="4"/>
      <c r="AB816" s="4"/>
    </row>
    <row r="817">
      <c r="J817" s="4"/>
      <c r="K817" s="4"/>
      <c r="M817" s="4"/>
      <c r="AA817" s="4"/>
      <c r="AB817" s="4"/>
    </row>
    <row r="818">
      <c r="J818" s="4"/>
      <c r="K818" s="4"/>
      <c r="M818" s="4"/>
      <c r="AA818" s="4"/>
      <c r="AB818" s="4"/>
    </row>
    <row r="819">
      <c r="J819" s="4"/>
      <c r="K819" s="4"/>
      <c r="M819" s="4"/>
      <c r="AA819" s="4"/>
      <c r="AB819" s="4"/>
    </row>
    <row r="820">
      <c r="J820" s="4"/>
      <c r="K820" s="4"/>
      <c r="M820" s="4"/>
      <c r="AA820" s="4"/>
      <c r="AB820" s="4"/>
    </row>
    <row r="821">
      <c r="J821" s="4"/>
      <c r="K821" s="4"/>
      <c r="M821" s="4"/>
      <c r="AA821" s="4"/>
      <c r="AB821" s="4"/>
    </row>
    <row r="822">
      <c r="J822" s="4"/>
      <c r="K822" s="4"/>
      <c r="M822" s="4"/>
      <c r="AA822" s="4"/>
      <c r="AB822" s="4"/>
    </row>
    <row r="823">
      <c r="J823" s="4"/>
      <c r="K823" s="4"/>
      <c r="M823" s="4"/>
      <c r="AA823" s="4"/>
      <c r="AB823" s="4"/>
    </row>
    <row r="824">
      <c r="J824" s="4"/>
      <c r="K824" s="4"/>
      <c r="M824" s="4"/>
      <c r="AA824" s="4"/>
      <c r="AB824" s="4"/>
    </row>
    <row r="825">
      <c r="J825" s="4"/>
      <c r="K825" s="4"/>
      <c r="M825" s="4"/>
      <c r="AA825" s="4"/>
      <c r="AB825" s="4"/>
    </row>
    <row r="826">
      <c r="J826" s="4"/>
      <c r="K826" s="4"/>
      <c r="M826" s="4"/>
      <c r="AA826" s="4"/>
      <c r="AB826" s="4"/>
    </row>
    <row r="827">
      <c r="J827" s="4"/>
      <c r="K827" s="4"/>
      <c r="M827" s="4"/>
      <c r="AA827" s="4"/>
      <c r="AB827" s="4"/>
    </row>
    <row r="828">
      <c r="J828" s="4"/>
      <c r="K828" s="4"/>
      <c r="M828" s="4"/>
      <c r="AA828" s="4"/>
      <c r="AB828" s="4"/>
    </row>
    <row r="829">
      <c r="J829" s="4"/>
      <c r="K829" s="4"/>
      <c r="M829" s="4"/>
      <c r="AA829" s="4"/>
      <c r="AB829" s="4"/>
    </row>
    <row r="830">
      <c r="J830" s="4"/>
      <c r="K830" s="4"/>
      <c r="M830" s="4"/>
      <c r="AA830" s="4"/>
      <c r="AB830" s="4"/>
    </row>
    <row r="831">
      <c r="J831" s="4"/>
      <c r="K831" s="4"/>
      <c r="M831" s="4"/>
      <c r="AA831" s="4"/>
      <c r="AB831" s="4"/>
    </row>
    <row r="832">
      <c r="J832" s="4"/>
      <c r="K832" s="4"/>
      <c r="M832" s="4"/>
      <c r="AA832" s="4"/>
      <c r="AB832" s="4"/>
    </row>
    <row r="833">
      <c r="J833" s="4"/>
      <c r="K833" s="4"/>
      <c r="M833" s="4"/>
      <c r="AA833" s="4"/>
      <c r="AB833" s="4"/>
    </row>
    <row r="834">
      <c r="J834" s="4"/>
      <c r="K834" s="4"/>
      <c r="M834" s="4"/>
      <c r="AA834" s="4"/>
      <c r="AB834" s="4"/>
    </row>
    <row r="835">
      <c r="J835" s="4"/>
      <c r="K835" s="4"/>
      <c r="M835" s="4"/>
      <c r="AA835" s="4"/>
      <c r="AB835" s="4"/>
    </row>
    <row r="836">
      <c r="J836" s="4"/>
      <c r="K836" s="4"/>
      <c r="M836" s="4"/>
      <c r="AA836" s="4"/>
      <c r="AB836" s="4"/>
    </row>
    <row r="837">
      <c r="J837" s="4"/>
      <c r="K837" s="4"/>
      <c r="M837" s="4"/>
      <c r="AA837" s="4"/>
      <c r="AB837" s="4"/>
    </row>
    <row r="838">
      <c r="J838" s="4"/>
      <c r="K838" s="4"/>
      <c r="M838" s="4"/>
      <c r="AA838" s="4"/>
      <c r="AB838" s="4"/>
    </row>
    <row r="839">
      <c r="J839" s="4"/>
      <c r="K839" s="4"/>
      <c r="M839" s="4"/>
      <c r="AA839" s="4"/>
      <c r="AB839" s="4"/>
    </row>
    <row r="840">
      <c r="J840" s="4"/>
      <c r="K840" s="4"/>
      <c r="M840" s="4"/>
      <c r="AA840" s="4"/>
      <c r="AB840" s="4"/>
    </row>
    <row r="841">
      <c r="J841" s="4"/>
      <c r="K841" s="4"/>
      <c r="M841" s="4"/>
      <c r="AA841" s="4"/>
      <c r="AB841" s="4"/>
    </row>
    <row r="842">
      <c r="J842" s="4"/>
      <c r="K842" s="4"/>
      <c r="M842" s="4"/>
      <c r="AA842" s="4"/>
      <c r="AB842" s="4"/>
    </row>
    <row r="843">
      <c r="J843" s="4"/>
      <c r="K843" s="4"/>
      <c r="M843" s="4"/>
      <c r="AA843" s="4"/>
      <c r="AB843" s="4"/>
    </row>
    <row r="844">
      <c r="J844" s="4"/>
      <c r="K844" s="4"/>
      <c r="M844" s="4"/>
      <c r="AA844" s="4"/>
      <c r="AB844" s="4"/>
    </row>
    <row r="845">
      <c r="J845" s="4"/>
      <c r="K845" s="4"/>
      <c r="M845" s="4"/>
      <c r="AA845" s="4"/>
      <c r="AB845" s="4"/>
    </row>
    <row r="846">
      <c r="J846" s="4"/>
      <c r="K846" s="4"/>
      <c r="M846" s="4"/>
      <c r="AA846" s="4"/>
      <c r="AB846" s="4"/>
    </row>
    <row r="847">
      <c r="J847" s="4"/>
      <c r="K847" s="4"/>
      <c r="M847" s="4"/>
      <c r="AA847" s="4"/>
      <c r="AB847" s="4"/>
    </row>
    <row r="848">
      <c r="J848" s="4"/>
      <c r="K848" s="4"/>
      <c r="M848" s="4"/>
      <c r="AA848" s="4"/>
      <c r="AB848" s="4"/>
    </row>
    <row r="849">
      <c r="J849" s="4"/>
      <c r="K849" s="4"/>
      <c r="M849" s="4"/>
      <c r="AA849" s="4"/>
      <c r="AB849" s="4"/>
    </row>
    <row r="850">
      <c r="J850" s="4"/>
      <c r="K850" s="4"/>
      <c r="M850" s="4"/>
      <c r="AA850" s="4"/>
      <c r="AB850" s="4"/>
    </row>
    <row r="851">
      <c r="J851" s="4"/>
      <c r="K851" s="4"/>
      <c r="M851" s="4"/>
      <c r="AA851" s="4"/>
      <c r="AB851" s="4"/>
    </row>
    <row r="852">
      <c r="J852" s="4"/>
      <c r="K852" s="4"/>
      <c r="M852" s="4"/>
      <c r="AA852" s="4"/>
      <c r="AB852" s="4"/>
    </row>
    <row r="853">
      <c r="J853" s="4"/>
      <c r="K853" s="4"/>
      <c r="M853" s="4"/>
      <c r="AA853" s="4"/>
      <c r="AB853" s="4"/>
    </row>
    <row r="854">
      <c r="J854" s="4"/>
      <c r="K854" s="4"/>
      <c r="M854" s="4"/>
      <c r="AA854" s="4"/>
      <c r="AB854" s="4"/>
    </row>
    <row r="855">
      <c r="J855" s="4"/>
      <c r="K855" s="4"/>
      <c r="M855" s="4"/>
      <c r="AA855" s="4"/>
      <c r="AB855" s="4"/>
    </row>
    <row r="856">
      <c r="J856" s="4"/>
      <c r="K856" s="4"/>
      <c r="M856" s="4"/>
      <c r="AA856" s="4"/>
      <c r="AB856" s="4"/>
    </row>
    <row r="857">
      <c r="J857" s="4"/>
      <c r="K857" s="4"/>
      <c r="M857" s="4"/>
      <c r="AA857" s="4"/>
      <c r="AB857" s="4"/>
    </row>
    <row r="858">
      <c r="J858" s="4"/>
      <c r="K858" s="4"/>
      <c r="M858" s="4"/>
      <c r="AA858" s="4"/>
      <c r="AB858" s="4"/>
    </row>
    <row r="859">
      <c r="J859" s="4"/>
      <c r="K859" s="4"/>
      <c r="M859" s="4"/>
      <c r="AA859" s="4"/>
      <c r="AB859" s="4"/>
    </row>
    <row r="860">
      <c r="J860" s="4"/>
      <c r="K860" s="4"/>
      <c r="M860" s="4"/>
      <c r="AA860" s="4"/>
      <c r="AB860" s="4"/>
    </row>
    <row r="861">
      <c r="J861" s="4"/>
      <c r="K861" s="4"/>
      <c r="M861" s="4"/>
      <c r="AA861" s="4"/>
      <c r="AB861" s="4"/>
    </row>
    <row r="862">
      <c r="J862" s="4"/>
      <c r="K862" s="4"/>
      <c r="M862" s="4"/>
      <c r="AA862" s="4"/>
      <c r="AB862" s="4"/>
    </row>
    <row r="863">
      <c r="J863" s="4"/>
      <c r="K863" s="4"/>
      <c r="M863" s="4"/>
      <c r="AA863" s="4"/>
      <c r="AB863" s="4"/>
    </row>
    <row r="864">
      <c r="J864" s="4"/>
      <c r="K864" s="4"/>
      <c r="M864" s="4"/>
      <c r="AA864" s="4"/>
      <c r="AB864" s="4"/>
    </row>
    <row r="865">
      <c r="J865" s="4"/>
      <c r="K865" s="4"/>
      <c r="M865" s="4"/>
      <c r="AA865" s="4"/>
      <c r="AB865" s="4"/>
    </row>
    <row r="866">
      <c r="J866" s="4"/>
      <c r="K866" s="4"/>
      <c r="M866" s="4"/>
      <c r="AA866" s="4"/>
      <c r="AB866" s="4"/>
    </row>
    <row r="867">
      <c r="J867" s="4"/>
      <c r="K867" s="4"/>
      <c r="M867" s="4"/>
      <c r="AA867" s="4"/>
      <c r="AB867" s="4"/>
    </row>
    <row r="868">
      <c r="J868" s="4"/>
      <c r="K868" s="4"/>
      <c r="M868" s="4"/>
      <c r="AA868" s="4"/>
      <c r="AB868" s="4"/>
    </row>
    <row r="869">
      <c r="J869" s="4"/>
      <c r="K869" s="4"/>
      <c r="M869" s="4"/>
      <c r="AA869" s="4"/>
      <c r="AB869" s="4"/>
    </row>
    <row r="870">
      <c r="J870" s="4"/>
      <c r="K870" s="4"/>
      <c r="M870" s="4"/>
      <c r="AA870" s="4"/>
      <c r="AB870" s="4"/>
    </row>
    <row r="871">
      <c r="J871" s="4"/>
      <c r="K871" s="4"/>
      <c r="M871" s="4"/>
      <c r="AA871" s="4"/>
      <c r="AB871" s="4"/>
    </row>
    <row r="872">
      <c r="J872" s="4"/>
      <c r="K872" s="4"/>
      <c r="M872" s="4"/>
      <c r="AA872" s="4"/>
      <c r="AB872" s="4"/>
    </row>
    <row r="873">
      <c r="J873" s="4"/>
      <c r="K873" s="4"/>
      <c r="M873" s="4"/>
      <c r="AA873" s="4"/>
      <c r="AB873" s="4"/>
    </row>
    <row r="874">
      <c r="J874" s="4"/>
      <c r="K874" s="4"/>
      <c r="M874" s="4"/>
      <c r="AA874" s="4"/>
      <c r="AB874" s="4"/>
    </row>
    <row r="875">
      <c r="J875" s="4"/>
      <c r="K875" s="4"/>
      <c r="M875" s="4"/>
      <c r="AA875" s="4"/>
      <c r="AB875" s="4"/>
    </row>
    <row r="876">
      <c r="J876" s="4"/>
      <c r="K876" s="4"/>
      <c r="M876" s="4"/>
      <c r="AA876" s="4"/>
      <c r="AB876" s="4"/>
    </row>
    <row r="877">
      <c r="J877" s="4"/>
      <c r="K877" s="4"/>
      <c r="M877" s="4"/>
      <c r="AA877" s="4"/>
      <c r="AB877" s="4"/>
    </row>
    <row r="878">
      <c r="J878" s="4"/>
      <c r="K878" s="4"/>
      <c r="M878" s="4"/>
      <c r="AA878" s="4"/>
      <c r="AB878" s="4"/>
    </row>
    <row r="879">
      <c r="J879" s="4"/>
      <c r="K879" s="4"/>
      <c r="M879" s="4"/>
      <c r="AA879" s="4"/>
      <c r="AB879" s="4"/>
    </row>
    <row r="880">
      <c r="J880" s="4"/>
      <c r="K880" s="4"/>
      <c r="M880" s="4"/>
      <c r="AA880" s="4"/>
      <c r="AB880" s="4"/>
    </row>
    <row r="881">
      <c r="J881" s="4"/>
      <c r="K881" s="4"/>
      <c r="M881" s="4"/>
      <c r="AA881" s="4"/>
      <c r="AB881" s="4"/>
    </row>
    <row r="882">
      <c r="J882" s="4"/>
      <c r="K882" s="4"/>
      <c r="M882" s="4"/>
      <c r="AA882" s="4"/>
      <c r="AB882" s="4"/>
    </row>
    <row r="883">
      <c r="J883" s="4"/>
      <c r="K883" s="4"/>
      <c r="M883" s="4"/>
      <c r="AA883" s="4"/>
      <c r="AB883" s="4"/>
    </row>
    <row r="884">
      <c r="J884" s="4"/>
      <c r="K884" s="4"/>
      <c r="M884" s="4"/>
      <c r="AA884" s="4"/>
      <c r="AB884" s="4"/>
    </row>
    <row r="885">
      <c r="J885" s="4"/>
      <c r="K885" s="4"/>
      <c r="M885" s="4"/>
      <c r="AA885" s="4"/>
      <c r="AB885" s="4"/>
    </row>
    <row r="886">
      <c r="J886" s="4"/>
      <c r="K886" s="4"/>
      <c r="M886" s="4"/>
      <c r="AA886" s="4"/>
      <c r="AB886" s="4"/>
    </row>
    <row r="887">
      <c r="J887" s="4"/>
      <c r="K887" s="4"/>
      <c r="M887" s="4"/>
      <c r="AA887" s="4"/>
      <c r="AB887" s="4"/>
    </row>
    <row r="888">
      <c r="J888" s="4"/>
      <c r="K888" s="4"/>
      <c r="M888" s="4"/>
      <c r="AA888" s="4"/>
      <c r="AB888" s="4"/>
    </row>
    <row r="889">
      <c r="J889" s="4"/>
      <c r="K889" s="4"/>
      <c r="M889" s="4"/>
      <c r="AA889" s="4"/>
      <c r="AB889" s="4"/>
    </row>
    <row r="890">
      <c r="J890" s="4"/>
      <c r="K890" s="4"/>
      <c r="M890" s="4"/>
      <c r="AA890" s="4"/>
      <c r="AB890" s="4"/>
    </row>
    <row r="891">
      <c r="J891" s="4"/>
      <c r="K891" s="4"/>
      <c r="M891" s="4"/>
      <c r="AA891" s="4"/>
      <c r="AB891" s="4"/>
    </row>
    <row r="892">
      <c r="J892" s="4"/>
      <c r="K892" s="4"/>
      <c r="M892" s="4"/>
      <c r="AA892" s="4"/>
      <c r="AB892" s="4"/>
    </row>
    <row r="893">
      <c r="J893" s="4"/>
      <c r="K893" s="4"/>
      <c r="M893" s="4"/>
      <c r="AA893" s="4"/>
      <c r="AB893" s="4"/>
    </row>
    <row r="894">
      <c r="J894" s="4"/>
      <c r="K894" s="4"/>
      <c r="M894" s="4"/>
      <c r="AA894" s="4"/>
      <c r="AB894" s="4"/>
    </row>
    <row r="895">
      <c r="J895" s="4"/>
      <c r="K895" s="4"/>
      <c r="M895" s="4"/>
      <c r="AA895" s="4"/>
      <c r="AB895" s="4"/>
    </row>
    <row r="896">
      <c r="J896" s="4"/>
      <c r="K896" s="4"/>
      <c r="M896" s="4"/>
      <c r="AA896" s="4"/>
      <c r="AB896" s="4"/>
    </row>
    <row r="897">
      <c r="J897" s="4"/>
      <c r="K897" s="4"/>
      <c r="M897" s="4"/>
      <c r="AA897" s="4"/>
      <c r="AB897" s="4"/>
    </row>
    <row r="898">
      <c r="J898" s="4"/>
      <c r="K898" s="4"/>
      <c r="M898" s="4"/>
      <c r="AA898" s="4"/>
      <c r="AB898" s="4"/>
    </row>
    <row r="899">
      <c r="J899" s="4"/>
      <c r="K899" s="4"/>
      <c r="M899" s="4"/>
      <c r="AA899" s="4"/>
      <c r="AB899" s="4"/>
    </row>
    <row r="900">
      <c r="J900" s="4"/>
      <c r="K900" s="4"/>
      <c r="M900" s="4"/>
      <c r="AA900" s="4"/>
      <c r="AB900" s="4"/>
    </row>
    <row r="901">
      <c r="J901" s="4"/>
      <c r="K901" s="4"/>
      <c r="M901" s="4"/>
      <c r="AA901" s="4"/>
      <c r="AB901" s="4"/>
    </row>
    <row r="902">
      <c r="J902" s="4"/>
      <c r="K902" s="4"/>
      <c r="M902" s="4"/>
      <c r="AA902" s="4"/>
      <c r="AB902" s="4"/>
    </row>
    <row r="903">
      <c r="J903" s="4"/>
      <c r="K903" s="4"/>
      <c r="M903" s="4"/>
      <c r="AA903" s="4"/>
      <c r="AB903" s="4"/>
    </row>
    <row r="904">
      <c r="J904" s="4"/>
      <c r="K904" s="4"/>
      <c r="M904" s="4"/>
      <c r="AA904" s="4"/>
      <c r="AB904" s="4"/>
    </row>
    <row r="905">
      <c r="J905" s="4"/>
      <c r="K905" s="4"/>
      <c r="M905" s="4"/>
      <c r="AA905" s="4"/>
      <c r="AB905" s="4"/>
    </row>
    <row r="906">
      <c r="J906" s="4"/>
      <c r="K906" s="4"/>
      <c r="M906" s="4"/>
      <c r="AA906" s="4"/>
      <c r="AB906" s="4"/>
    </row>
    <row r="907">
      <c r="J907" s="4"/>
      <c r="K907" s="4"/>
      <c r="M907" s="4"/>
      <c r="AA907" s="4"/>
      <c r="AB907" s="4"/>
    </row>
    <row r="908">
      <c r="J908" s="4"/>
      <c r="K908" s="4"/>
      <c r="M908" s="4"/>
      <c r="AA908" s="4"/>
      <c r="AB908" s="4"/>
    </row>
    <row r="909">
      <c r="J909" s="4"/>
      <c r="K909" s="4"/>
      <c r="M909" s="4"/>
      <c r="AA909" s="4"/>
      <c r="AB909" s="4"/>
    </row>
    <row r="910">
      <c r="J910" s="4"/>
      <c r="K910" s="4"/>
      <c r="M910" s="4"/>
      <c r="AA910" s="4"/>
      <c r="AB910" s="4"/>
    </row>
    <row r="911">
      <c r="J911" s="4"/>
      <c r="K911" s="4"/>
      <c r="M911" s="4"/>
      <c r="AA911" s="4"/>
      <c r="AB911" s="4"/>
    </row>
    <row r="912">
      <c r="J912" s="4"/>
      <c r="K912" s="4"/>
      <c r="M912" s="4"/>
      <c r="AA912" s="4"/>
      <c r="AB912" s="4"/>
    </row>
    <row r="913">
      <c r="J913" s="4"/>
      <c r="K913" s="4"/>
      <c r="M913" s="4"/>
      <c r="AA913" s="4"/>
      <c r="AB913" s="4"/>
    </row>
    <row r="914">
      <c r="J914" s="4"/>
      <c r="K914" s="4"/>
      <c r="M914" s="4"/>
      <c r="AA914" s="4"/>
      <c r="AB914" s="4"/>
    </row>
    <row r="915">
      <c r="J915" s="4"/>
      <c r="K915" s="4"/>
      <c r="M915" s="4"/>
      <c r="AA915" s="4"/>
      <c r="AB915" s="4"/>
    </row>
    <row r="916">
      <c r="J916" s="4"/>
      <c r="K916" s="4"/>
      <c r="M916" s="4"/>
      <c r="AA916" s="4"/>
      <c r="AB916" s="4"/>
    </row>
    <row r="917">
      <c r="J917" s="4"/>
      <c r="K917" s="4"/>
      <c r="M917" s="4"/>
      <c r="AA917" s="4"/>
      <c r="AB917" s="4"/>
    </row>
    <row r="918">
      <c r="J918" s="4"/>
      <c r="K918" s="4"/>
      <c r="M918" s="4"/>
      <c r="AA918" s="4"/>
      <c r="AB918" s="4"/>
    </row>
    <row r="919">
      <c r="J919" s="4"/>
      <c r="K919" s="4"/>
      <c r="M919" s="4"/>
      <c r="AA919" s="4"/>
      <c r="AB919" s="4"/>
    </row>
    <row r="920">
      <c r="J920" s="4"/>
      <c r="K920" s="4"/>
      <c r="M920" s="4"/>
      <c r="AA920" s="4"/>
      <c r="AB920" s="4"/>
    </row>
    <row r="921">
      <c r="J921" s="4"/>
      <c r="K921" s="4"/>
      <c r="M921" s="4"/>
      <c r="AA921" s="4"/>
      <c r="AB921" s="4"/>
    </row>
    <row r="922">
      <c r="J922" s="4"/>
      <c r="K922" s="4"/>
      <c r="M922" s="4"/>
      <c r="AA922" s="4"/>
      <c r="AB922" s="4"/>
    </row>
    <row r="923">
      <c r="J923" s="4"/>
      <c r="K923" s="4"/>
      <c r="M923" s="4"/>
      <c r="AA923" s="4"/>
      <c r="AB923" s="4"/>
    </row>
    <row r="924">
      <c r="J924" s="4"/>
      <c r="K924" s="4"/>
      <c r="M924" s="4"/>
      <c r="AA924" s="4"/>
      <c r="AB924" s="4"/>
    </row>
    <row r="925">
      <c r="J925" s="4"/>
      <c r="K925" s="4"/>
      <c r="M925" s="4"/>
      <c r="AA925" s="4"/>
      <c r="AB925" s="4"/>
    </row>
    <row r="926">
      <c r="J926" s="4"/>
      <c r="K926" s="4"/>
      <c r="M926" s="4"/>
      <c r="AA926" s="4"/>
      <c r="AB926" s="4"/>
    </row>
    <row r="927">
      <c r="J927" s="4"/>
      <c r="K927" s="4"/>
      <c r="M927" s="4"/>
      <c r="AA927" s="4"/>
      <c r="AB927" s="4"/>
    </row>
    <row r="928">
      <c r="J928" s="4"/>
      <c r="K928" s="4"/>
      <c r="M928" s="4"/>
      <c r="AA928" s="4"/>
      <c r="AB928" s="4"/>
    </row>
    <row r="929">
      <c r="J929" s="4"/>
      <c r="K929" s="4"/>
      <c r="M929" s="4"/>
      <c r="AA929" s="4"/>
      <c r="AB929" s="4"/>
    </row>
    <row r="930">
      <c r="J930" s="4"/>
      <c r="K930" s="4"/>
      <c r="M930" s="4"/>
      <c r="AA930" s="4"/>
      <c r="AB930" s="4"/>
    </row>
    <row r="931">
      <c r="J931" s="4"/>
      <c r="K931" s="4"/>
      <c r="M931" s="4"/>
      <c r="AA931" s="4"/>
      <c r="AB931" s="4"/>
    </row>
    <row r="932">
      <c r="J932" s="4"/>
      <c r="K932" s="4"/>
      <c r="M932" s="4"/>
      <c r="AA932" s="4"/>
      <c r="AB932" s="4"/>
    </row>
    <row r="933">
      <c r="J933" s="4"/>
      <c r="K933" s="4"/>
      <c r="M933" s="4"/>
      <c r="AA933" s="4"/>
      <c r="AB933" s="4"/>
    </row>
    <row r="934">
      <c r="J934" s="4"/>
      <c r="K934" s="4"/>
      <c r="M934" s="4"/>
      <c r="AA934" s="4"/>
      <c r="AB934" s="4"/>
    </row>
    <row r="935">
      <c r="J935" s="4"/>
      <c r="K935" s="4"/>
      <c r="M935" s="4"/>
      <c r="AA935" s="4"/>
      <c r="AB935" s="4"/>
    </row>
    <row r="936">
      <c r="J936" s="4"/>
      <c r="K936" s="4"/>
      <c r="M936" s="4"/>
      <c r="AA936" s="4"/>
      <c r="AB936" s="4"/>
    </row>
    <row r="937">
      <c r="J937" s="4"/>
      <c r="K937" s="4"/>
      <c r="M937" s="4"/>
      <c r="AA937" s="4"/>
      <c r="AB937" s="4"/>
    </row>
    <row r="938">
      <c r="J938" s="4"/>
      <c r="K938" s="4"/>
      <c r="M938" s="4"/>
      <c r="AA938" s="4"/>
      <c r="AB938" s="4"/>
    </row>
    <row r="939">
      <c r="J939" s="4"/>
      <c r="K939" s="4"/>
      <c r="M939" s="4"/>
      <c r="AA939" s="4"/>
      <c r="AB939" s="4"/>
    </row>
    <row r="940">
      <c r="J940" s="4"/>
      <c r="K940" s="4"/>
      <c r="M940" s="4"/>
      <c r="AA940" s="4"/>
      <c r="AB940" s="4"/>
    </row>
    <row r="941">
      <c r="J941" s="4"/>
      <c r="K941" s="4"/>
      <c r="M941" s="4"/>
      <c r="AA941" s="4"/>
      <c r="AB941" s="4"/>
    </row>
    <row r="942">
      <c r="J942" s="4"/>
      <c r="K942" s="4"/>
      <c r="M942" s="4"/>
      <c r="AA942" s="4"/>
      <c r="AB942" s="4"/>
    </row>
    <row r="943">
      <c r="J943" s="4"/>
      <c r="K943" s="4"/>
      <c r="M943" s="4"/>
      <c r="AA943" s="4"/>
      <c r="AB943" s="4"/>
    </row>
    <row r="944">
      <c r="J944" s="4"/>
      <c r="K944" s="4"/>
      <c r="M944" s="4"/>
      <c r="AA944" s="4"/>
      <c r="AB944" s="4"/>
    </row>
    <row r="945">
      <c r="J945" s="4"/>
      <c r="K945" s="4"/>
      <c r="M945" s="4"/>
      <c r="AA945" s="4"/>
      <c r="AB945" s="4"/>
    </row>
    <row r="946">
      <c r="J946" s="4"/>
      <c r="K946" s="4"/>
      <c r="M946" s="4"/>
      <c r="AA946" s="4"/>
      <c r="AB946" s="4"/>
    </row>
    <row r="947">
      <c r="J947" s="4"/>
      <c r="K947" s="4"/>
      <c r="M947" s="4"/>
      <c r="AA947" s="4"/>
      <c r="AB947" s="4"/>
    </row>
    <row r="948">
      <c r="J948" s="4"/>
      <c r="K948" s="4"/>
      <c r="M948" s="4"/>
      <c r="AA948" s="4"/>
      <c r="AB948" s="4"/>
    </row>
    <row r="949">
      <c r="J949" s="4"/>
      <c r="K949" s="4"/>
      <c r="M949" s="4"/>
      <c r="AA949" s="4"/>
      <c r="AB949" s="4"/>
    </row>
    <row r="950">
      <c r="J950" s="4"/>
      <c r="K950" s="4"/>
      <c r="M950" s="4"/>
      <c r="AA950" s="4"/>
      <c r="AB950" s="4"/>
    </row>
    <row r="951">
      <c r="J951" s="4"/>
      <c r="K951" s="4"/>
      <c r="M951" s="4"/>
      <c r="AA951" s="4"/>
      <c r="AB951" s="4"/>
    </row>
    <row r="952">
      <c r="J952" s="4"/>
      <c r="K952" s="4"/>
      <c r="M952" s="4"/>
      <c r="AA952" s="4"/>
      <c r="AB952" s="4"/>
    </row>
    <row r="953">
      <c r="J953" s="4"/>
      <c r="K953" s="4"/>
      <c r="M953" s="4"/>
      <c r="AA953" s="4"/>
      <c r="AB953" s="4"/>
    </row>
    <row r="954">
      <c r="J954" s="4"/>
      <c r="K954" s="4"/>
      <c r="M954" s="4"/>
      <c r="AA954" s="4"/>
      <c r="AB954" s="4"/>
    </row>
    <row r="955">
      <c r="J955" s="4"/>
      <c r="K955" s="4"/>
      <c r="M955" s="4"/>
      <c r="AA955" s="4"/>
      <c r="AB955" s="4"/>
    </row>
    <row r="956">
      <c r="J956" s="4"/>
      <c r="K956" s="4"/>
      <c r="M956" s="4"/>
      <c r="AA956" s="4"/>
      <c r="AB956" s="4"/>
    </row>
    <row r="957">
      <c r="J957" s="4"/>
      <c r="K957" s="4"/>
      <c r="M957" s="4"/>
      <c r="AA957" s="4"/>
      <c r="AB957" s="4"/>
    </row>
    <row r="958">
      <c r="J958" s="4"/>
      <c r="K958" s="4"/>
      <c r="M958" s="4"/>
      <c r="AA958" s="4"/>
      <c r="AB958" s="4"/>
    </row>
    <row r="959">
      <c r="J959" s="4"/>
      <c r="K959" s="4"/>
      <c r="M959" s="4"/>
      <c r="AA959" s="4"/>
      <c r="AB959" s="4"/>
    </row>
    <row r="960">
      <c r="J960" s="4"/>
      <c r="K960" s="4"/>
      <c r="M960" s="4"/>
      <c r="AA960" s="4"/>
      <c r="AB960" s="4"/>
    </row>
    <row r="961">
      <c r="J961" s="4"/>
      <c r="K961" s="4"/>
      <c r="M961" s="4"/>
      <c r="AA961" s="4"/>
      <c r="AB961" s="4"/>
    </row>
    <row r="962">
      <c r="J962" s="4"/>
      <c r="K962" s="4"/>
      <c r="M962" s="4"/>
      <c r="AA962" s="4"/>
      <c r="AB962" s="4"/>
    </row>
    <row r="963">
      <c r="J963" s="4"/>
      <c r="K963" s="4"/>
      <c r="M963" s="4"/>
      <c r="AA963" s="4"/>
      <c r="AB963" s="4"/>
    </row>
    <row r="964">
      <c r="J964" s="4"/>
      <c r="K964" s="4"/>
      <c r="M964" s="4"/>
      <c r="AA964" s="4"/>
      <c r="AB964" s="4"/>
    </row>
    <row r="965">
      <c r="J965" s="4"/>
      <c r="K965" s="4"/>
      <c r="M965" s="4"/>
      <c r="AA965" s="4"/>
      <c r="AB965" s="4"/>
    </row>
    <row r="966">
      <c r="J966" s="4"/>
      <c r="K966" s="4"/>
      <c r="M966" s="4"/>
      <c r="AA966" s="4"/>
      <c r="AB966" s="4"/>
    </row>
    <row r="967">
      <c r="J967" s="4"/>
      <c r="K967" s="4"/>
      <c r="M967" s="4"/>
      <c r="AA967" s="4"/>
      <c r="AB967" s="4"/>
    </row>
    <row r="968">
      <c r="J968" s="4"/>
      <c r="K968" s="4"/>
      <c r="M968" s="4"/>
      <c r="AA968" s="4"/>
      <c r="AB968" s="4"/>
    </row>
    <row r="969">
      <c r="J969" s="4"/>
      <c r="K969" s="4"/>
      <c r="M969" s="4"/>
      <c r="AA969" s="4"/>
      <c r="AB969" s="4"/>
    </row>
    <row r="970">
      <c r="J970" s="4"/>
      <c r="K970" s="4"/>
      <c r="M970" s="4"/>
      <c r="AA970" s="4"/>
      <c r="AB970" s="4"/>
    </row>
    <row r="971">
      <c r="J971" s="4"/>
      <c r="K971" s="4"/>
      <c r="M971" s="4"/>
      <c r="AA971" s="4"/>
      <c r="AB971" s="4"/>
    </row>
    <row r="972">
      <c r="J972" s="4"/>
      <c r="K972" s="4"/>
      <c r="M972" s="4"/>
      <c r="AA972" s="4"/>
      <c r="AB972" s="4"/>
    </row>
    <row r="973">
      <c r="J973" s="4"/>
      <c r="K973" s="4"/>
      <c r="M973" s="4"/>
      <c r="AA973" s="4"/>
      <c r="AB973" s="4"/>
    </row>
    <row r="974">
      <c r="J974" s="4"/>
      <c r="K974" s="4"/>
      <c r="M974" s="4"/>
      <c r="AA974" s="4"/>
      <c r="AB974" s="4"/>
    </row>
    <row r="975">
      <c r="J975" s="4"/>
      <c r="K975" s="4"/>
      <c r="M975" s="4"/>
      <c r="AA975" s="4"/>
      <c r="AB975" s="4"/>
    </row>
    <row r="976">
      <c r="J976" s="4"/>
      <c r="K976" s="4"/>
      <c r="M976" s="4"/>
      <c r="AA976" s="4"/>
      <c r="AB976" s="4"/>
    </row>
    <row r="977">
      <c r="J977" s="4"/>
      <c r="K977" s="4"/>
      <c r="M977" s="4"/>
      <c r="AA977" s="4"/>
      <c r="AB977" s="4"/>
    </row>
    <row r="978">
      <c r="J978" s="4"/>
      <c r="K978" s="4"/>
      <c r="M978" s="4"/>
      <c r="AA978" s="4"/>
      <c r="AB978" s="4"/>
    </row>
    <row r="979">
      <c r="J979" s="4"/>
      <c r="K979" s="4"/>
      <c r="M979" s="4"/>
      <c r="AA979" s="4"/>
      <c r="AB979" s="4"/>
    </row>
    <row r="980">
      <c r="J980" s="4"/>
      <c r="K980" s="4"/>
      <c r="M980" s="4"/>
      <c r="AA980" s="4"/>
      <c r="AB980" s="4"/>
    </row>
    <row r="981">
      <c r="J981" s="4"/>
      <c r="K981" s="4"/>
      <c r="M981" s="4"/>
      <c r="AA981" s="4"/>
      <c r="AB981" s="4"/>
    </row>
    <row r="982">
      <c r="J982" s="4"/>
      <c r="K982" s="4"/>
      <c r="M982" s="4"/>
      <c r="AA982" s="4"/>
      <c r="AB982" s="4"/>
    </row>
    <row r="983">
      <c r="J983" s="4"/>
      <c r="K983" s="4"/>
      <c r="M983" s="4"/>
      <c r="AA983" s="4"/>
      <c r="AB983" s="4"/>
    </row>
    <row r="984">
      <c r="J984" s="4"/>
      <c r="K984" s="4"/>
      <c r="M984" s="4"/>
      <c r="AA984" s="4"/>
      <c r="AB984" s="4"/>
    </row>
    <row r="985">
      <c r="J985" s="4"/>
      <c r="K985" s="4"/>
      <c r="M985" s="4"/>
      <c r="AA985" s="4"/>
      <c r="AB985" s="4"/>
    </row>
    <row r="986">
      <c r="J986" s="4"/>
      <c r="K986" s="4"/>
      <c r="M986" s="4"/>
      <c r="AA986" s="4"/>
      <c r="AB986" s="4"/>
    </row>
    <row r="987">
      <c r="J987" s="4"/>
      <c r="K987" s="4"/>
      <c r="M987" s="4"/>
      <c r="AA987" s="4"/>
      <c r="AB987" s="4"/>
    </row>
    <row r="988">
      <c r="J988" s="4"/>
      <c r="K988" s="4"/>
      <c r="M988" s="4"/>
      <c r="AA988" s="4"/>
      <c r="AB988" s="4"/>
    </row>
    <row r="989">
      <c r="J989" s="4"/>
      <c r="K989" s="4"/>
      <c r="M989" s="4"/>
      <c r="AA989" s="4"/>
      <c r="AB989" s="4"/>
    </row>
    <row r="990">
      <c r="J990" s="4"/>
      <c r="K990" s="4"/>
      <c r="M990" s="4"/>
      <c r="AA990" s="4"/>
      <c r="AB990" s="4"/>
    </row>
    <row r="991">
      <c r="J991" s="4"/>
      <c r="K991" s="4"/>
      <c r="M991" s="4"/>
      <c r="AA991" s="4"/>
      <c r="AB991" s="4"/>
    </row>
    <row r="992">
      <c r="J992" s="4"/>
      <c r="K992" s="4"/>
      <c r="M992" s="4"/>
      <c r="AA992" s="4"/>
      <c r="AB992" s="4"/>
    </row>
    <row r="993">
      <c r="J993" s="4"/>
      <c r="K993" s="4"/>
      <c r="M993" s="4"/>
      <c r="AA993" s="4"/>
      <c r="AB993" s="4"/>
    </row>
    <row r="994">
      <c r="J994" s="4"/>
      <c r="K994" s="4"/>
      <c r="M994" s="4"/>
      <c r="AA994" s="4"/>
      <c r="AB994" s="4"/>
    </row>
    <row r="995">
      <c r="J995" s="4"/>
      <c r="K995" s="4"/>
      <c r="M995" s="4"/>
      <c r="AA995" s="4"/>
      <c r="AB995" s="4"/>
    </row>
    <row r="996">
      <c r="J996" s="4"/>
      <c r="K996" s="4"/>
      <c r="M996" s="4"/>
      <c r="AA996" s="4"/>
      <c r="AB996" s="4"/>
    </row>
    <row r="997">
      <c r="J997" s="4"/>
      <c r="K997" s="4"/>
      <c r="M997" s="4"/>
      <c r="AA997" s="4"/>
      <c r="AB997" s="4"/>
    </row>
    <row r="998">
      <c r="J998" s="4"/>
      <c r="K998" s="4"/>
      <c r="M998" s="4"/>
      <c r="AA998" s="4"/>
      <c r="AB998" s="4"/>
    </row>
    <row r="999">
      <c r="J999" s="4"/>
      <c r="K999" s="4"/>
      <c r="M999" s="4"/>
      <c r="AA999" s="4"/>
      <c r="AB999" s="4"/>
    </row>
    <row r="1000">
      <c r="J1000" s="4"/>
      <c r="K1000" s="4"/>
      <c r="M1000" s="4"/>
      <c r="AA1000" s="4"/>
      <c r="A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0.13"/>
  </cols>
  <sheetData>
    <row r="1">
      <c r="A1" s="1" t="s">
        <v>33</v>
      </c>
      <c r="B1" s="1" t="s">
        <v>34</v>
      </c>
      <c r="C1" s="1" t="s">
        <v>35</v>
      </c>
    </row>
    <row r="2">
      <c r="A2" s="1" t="s">
        <v>36</v>
      </c>
      <c r="B2" s="1" t="s">
        <v>32</v>
      </c>
      <c r="C2" s="12">
        <f>IFERROR(__xludf.DUMMYFUNCTION("IMPORTRANGE(""https://docs.google.com/spreadsheets/d/1D6uzcbxSwPrh4oDMzqUQcTT-8H5GNx5DfmYrtr-kz2w"",""Visão ""&amp;'Parâmetro'!B1&amp;"" - Metas Comercial!AE1"")"),1.0931088668988384E7)</f>
        <v>10931088.67</v>
      </c>
    </row>
    <row r="3">
      <c r="A3" s="1" t="s">
        <v>36</v>
      </c>
      <c r="B3" s="1" t="s">
        <v>37</v>
      </c>
      <c r="C3" s="3">
        <f>IFERROR(__xludf.DUMMYFUNCTION("IMPORTRANGE(""https://docs.google.com/spreadsheets/d/1D6uzcbxSwPrh4oDMzqUQcTT-8H5GNx5DfmYrtr-kz2w"",""Visão ""&amp;'Parâmetro'!B1&amp;"" - Metas Comercial!AF4"")"),3608927.7481689453)</f>
        <v>3608927.748</v>
      </c>
    </row>
    <row r="4">
      <c r="A4" s="1" t="s">
        <v>36</v>
      </c>
      <c r="B4" s="1" t="s">
        <v>38</v>
      </c>
      <c r="C4" s="3">
        <f>IFERROR(__xludf.DUMMYFUNCTION("IMPORTRANGE(""https://docs.google.com/spreadsheets/d/1D6uzcbxSwPrh4oDMzqUQcTT-8H5GNx5DfmYrtr-kz2w"",""Visão ""&amp;'Parâmetro'!B1&amp;"" - Metas Comercial!AE4"")"),4639154.0311186705)</f>
        <v>4639154.031</v>
      </c>
    </row>
    <row r="5">
      <c r="A5" s="1" t="s">
        <v>36</v>
      </c>
      <c r="B5" s="1" t="s">
        <v>2</v>
      </c>
      <c r="C5" s="3">
        <f>C3-C4</f>
        <v>-1030226.283</v>
      </c>
    </row>
    <row r="6">
      <c r="A6" s="1" t="s">
        <v>36</v>
      </c>
      <c r="B6" s="1" t="s">
        <v>39</v>
      </c>
      <c r="C6" s="5">
        <f>C3/C2</f>
        <v>0.3301526369</v>
      </c>
    </row>
    <row r="7">
      <c r="A7" s="1" t="s">
        <v>36</v>
      </c>
      <c r="B7" s="1" t="s">
        <v>40</v>
      </c>
      <c r="C7" s="5">
        <f>C3/C4</f>
        <v>0.7779279851</v>
      </c>
    </row>
    <row r="8">
      <c r="A8" s="1" t="s">
        <v>36</v>
      </c>
      <c r="B8" s="1" t="s">
        <v>41</v>
      </c>
      <c r="C8" s="5">
        <f>C9-C6</f>
        <v>0.09424736311</v>
      </c>
    </row>
    <row r="9">
      <c r="A9" s="1" t="s">
        <v>36</v>
      </c>
      <c r="B9" s="1" t="s">
        <v>42</v>
      </c>
      <c r="C9" s="7">
        <f>C4/C2</f>
        <v>0.4244</v>
      </c>
    </row>
    <row r="10">
      <c r="A10" s="1" t="s">
        <v>36</v>
      </c>
      <c r="B10" s="1" t="s">
        <v>43</v>
      </c>
      <c r="C10" s="13">
        <v>5000000.0</v>
      </c>
    </row>
    <row r="11">
      <c r="A11" s="1" t="s">
        <v>36</v>
      </c>
      <c r="B11" s="1" t="s">
        <v>44</v>
      </c>
      <c r="C11" s="3">
        <f>C3+C10</f>
        <v>8608927.748</v>
      </c>
    </row>
    <row r="12">
      <c r="A12" s="1" t="s">
        <v>36</v>
      </c>
      <c r="B12" s="1" t="s">
        <v>45</v>
      </c>
      <c r="C12" s="12">
        <f>C2-C11</f>
        <v>2322160.921</v>
      </c>
    </row>
    <row r="13">
      <c r="A13" s="1" t="s">
        <v>46</v>
      </c>
      <c r="B13" s="1" t="s">
        <v>47</v>
      </c>
      <c r="C13" s="7">
        <f t="array" ref="C13:C14">TRANSPOSE('Dados Relatório'!Q2:R2)</f>
        <v>0.5531914894</v>
      </c>
    </row>
    <row r="14">
      <c r="A14" s="1" t="s">
        <v>46</v>
      </c>
      <c r="B14" s="1" t="s">
        <v>48</v>
      </c>
      <c r="C14" s="7">
        <v>0.2631578947368421</v>
      </c>
    </row>
    <row r="15">
      <c r="A15" s="1" t="s">
        <v>49</v>
      </c>
      <c r="B15" s="4" t="str">
        <f t="array" ref="B15:C22">TRANSPOSE('Dados Relatório'!S1:Z2)</f>
        <v>Vagas GE mês anterior</v>
      </c>
      <c r="C15" s="8">
        <v>88.0</v>
      </c>
    </row>
    <row r="16">
      <c r="A16" s="1" t="s">
        <v>49</v>
      </c>
      <c r="B16" s="4" t="s">
        <v>19</v>
      </c>
      <c r="C16" s="8">
        <v>26.0</v>
      </c>
    </row>
    <row r="17">
      <c r="A17" s="1" t="s">
        <v>49</v>
      </c>
      <c r="B17" s="4" t="s">
        <v>20</v>
      </c>
      <c r="C17" s="8">
        <v>147.0</v>
      </c>
    </row>
    <row r="18">
      <c r="A18" s="1" t="s">
        <v>49</v>
      </c>
      <c r="B18" s="4" t="s">
        <v>21</v>
      </c>
      <c r="C18" s="8">
        <v>80.0</v>
      </c>
    </row>
    <row r="19">
      <c r="A19" s="1" t="s">
        <v>49</v>
      </c>
      <c r="B19" s="4" t="s">
        <v>22</v>
      </c>
      <c r="C19" s="8">
        <v>9.0</v>
      </c>
    </row>
    <row r="20">
      <c r="A20" s="1" t="s">
        <v>49</v>
      </c>
      <c r="B20" s="4" t="s">
        <v>23</v>
      </c>
      <c r="C20" s="8">
        <v>1.0</v>
      </c>
    </row>
    <row r="21">
      <c r="A21" s="1" t="s">
        <v>49</v>
      </c>
      <c r="B21" s="4" t="s">
        <v>24</v>
      </c>
      <c r="C21" s="8">
        <v>47.0</v>
      </c>
    </row>
    <row r="22">
      <c r="A22" s="1" t="s">
        <v>49</v>
      </c>
      <c r="B22" s="4" t="s">
        <v>25</v>
      </c>
      <c r="C22" s="8">
        <v>9.0</v>
      </c>
    </row>
    <row r="23">
      <c r="A23" s="1" t="s">
        <v>50</v>
      </c>
      <c r="B23" s="1" t="s">
        <v>51</v>
      </c>
      <c r="C23" s="4" t="str">
        <f>'Parâmetro'!B1</f>
        <v>Mari</v>
      </c>
    </row>
    <row r="24">
      <c r="A24" s="1"/>
      <c r="B24" s="4"/>
      <c r="C24" s="4"/>
    </row>
    <row r="25">
      <c r="A25" s="1"/>
      <c r="B25" s="4"/>
      <c r="C25" s="4"/>
    </row>
    <row r="26">
      <c r="A26" s="1"/>
      <c r="B26" s="4"/>
      <c r="C26" s="4"/>
    </row>
    <row r="27">
      <c r="A27" s="1"/>
      <c r="B27" s="4"/>
      <c r="C27" s="4"/>
    </row>
    <row r="28">
      <c r="A28" s="1"/>
      <c r="B28" s="4"/>
      <c r="C28" s="4"/>
    </row>
    <row r="29">
      <c r="A29" s="1"/>
      <c r="B29" s="4"/>
      <c r="C29" s="4"/>
    </row>
    <row r="30">
      <c r="A30" s="1"/>
      <c r="B30" s="4"/>
      <c r="C30" s="4"/>
    </row>
    <row r="31">
      <c r="A31" s="1"/>
      <c r="B31" s="4"/>
      <c r="C31" s="4"/>
    </row>
    <row r="32">
      <c r="A32" s="1"/>
      <c r="B32" s="4"/>
      <c r="C32" s="4"/>
    </row>
    <row r="33">
      <c r="A33" s="1"/>
      <c r="B33" s="4"/>
      <c r="C33" s="4"/>
    </row>
    <row r="34">
      <c r="A34" s="1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  <row r="1001">
      <c r="A1001" s="4"/>
      <c r="B1001" s="4"/>
      <c r="C100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2.25"/>
    <col customWidth="1" min="3" max="3" width="19.75"/>
    <col customWidth="1" min="4" max="6" width="12.25"/>
    <col customWidth="1" min="7" max="7" width="24.75"/>
    <col customWidth="1" min="9" max="9" width="15.38"/>
    <col customWidth="1" min="10" max="10" width="18.5"/>
    <col customWidth="1" min="12" max="12" width="24.75"/>
    <col customWidth="1" min="13" max="13" width="10.13"/>
    <col customWidth="1" min="14" max="14" width="21.88"/>
    <col customWidth="1" min="15" max="15" width="12.38"/>
    <col customWidth="1" min="16" max="16" width="16.75"/>
    <col customWidth="1" min="17" max="17" width="18.75"/>
    <col customWidth="1" min="18" max="18" width="21.25"/>
    <col customWidth="1" min="20" max="20" width="19.75"/>
    <col customWidth="1" min="29" max="29" width="19.63"/>
    <col customWidth="1" min="30" max="30" width="13.0"/>
    <col customWidth="1" min="31" max="31" width="24.63"/>
    <col customWidth="1" min="32" max="32" width="15.13"/>
    <col customWidth="1" min="33" max="33" width="19.5"/>
    <col customWidth="1" min="34" max="34" width="21.5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2" t="s">
        <v>87</v>
      </c>
      <c r="AK1" s="2" t="s">
        <v>88</v>
      </c>
      <c r="AL1" s="2" t="s">
        <v>89</v>
      </c>
      <c r="AM1" s="2" t="s">
        <v>90</v>
      </c>
      <c r="AN1" s="2" t="s">
        <v>91</v>
      </c>
      <c r="AO1" s="2" t="s">
        <v>92</v>
      </c>
      <c r="AP1" s="2" t="s">
        <v>93</v>
      </c>
      <c r="AQ1" s="2" t="s">
        <v>94</v>
      </c>
      <c r="AR1" s="2" t="s">
        <v>95</v>
      </c>
    </row>
    <row r="2">
      <c r="A2" s="4" t="str">
        <f>IFERROR(__xludf.DUMMYFUNCTION("QUERY(FILTER('Dados Funil'!$A:$AI,'Dados Funil'!$AI:$AI&lt;0),""SELECT ""&amp;COLNAME(""Linha de Receita"")&amp;"",""&amp;COLNAME(""Gap Potencial de Receita MKT"")&amp;"" ORDER BY ""&amp;COLNAME(""Gap Potencial de Receita MKT"")&amp;"" ASC"" )"),"Form G4 Instagram Outros")</f>
        <v>Form G4 Instagram Outros</v>
      </c>
      <c r="B2" s="12">
        <f>IFERROR(__xludf.DUMMYFUNCTION("""COMPUTED_VALUE"""),-197988.5999999999)</f>
        <v>-197988.6</v>
      </c>
      <c r="C2" s="7">
        <f t="shared" ref="C2:C1000" si="1">IF(B2="","",B2/SUM($B$2:$B$1000))</f>
        <v>0.1773144048</v>
      </c>
      <c r="D2" s="7">
        <f>IF(B2="","",C2)</f>
        <v>0.1773144048</v>
      </c>
      <c r="E2" s="3">
        <f t="array" ref="E2">XLOOKUP(A2,'Dados Funil'!$A:$A,'Dados Funil'!$K:$K,"")</f>
        <v>-92.56129032</v>
      </c>
      <c r="F2" s="5">
        <f t="array" ref="F2">XLOOKUP(A2,'Dados Funil'!$A:$A,'Dados Funil'!$L:$L,"")</f>
        <v>-0.4961441367</v>
      </c>
      <c r="G2" s="4" t="str">
        <f>IFERROR(__xludf.DUMMYFUNCTION("QUERY(FILTER('Dados Funil'!A:AO,'Dados Funil'!AO:AO&lt;0),""SELECT ""&amp;COLNAME(""Linha de Receita"")&amp;"",""&amp;COLNAME(""Gap Potencial de Receita Pré-Vendas"")&amp;"" ORDER BY ""&amp;COLNAME(""Gap Potencial de Receita Pré-Vendas"")&amp;"" ASC"" )"),"Form G4 Instagram G4")</f>
        <v>Form G4 Instagram G4</v>
      </c>
      <c r="H2" s="12">
        <f>IFERROR(__xludf.DUMMYFUNCTION("""COMPUTED_VALUE"""),-53079.91991294864)</f>
        <v>-53079.91991</v>
      </c>
      <c r="I2" s="7">
        <f t="shared" ref="I2:I1000" si="2">IF(H2="","",H2/SUM($H$2:$H$1000))</f>
        <v>0.4503091271</v>
      </c>
      <c r="J2" s="7">
        <f>IF(H2="","",I2)</f>
        <v>0.4503091271</v>
      </c>
      <c r="K2" s="6">
        <f t="array" ref="K2">XLOOKUP(G2,'Dados Funil'!A:A,'Dados Funil'!O:O,"")</f>
        <v>-1.939545146</v>
      </c>
      <c r="L2" s="4" t="str">
        <f>IFERROR(__xludf.DUMMYFUNCTION("QUERY(FILTER('Dados Funil'!A:AP,'Dados Funil'!AP:AP&lt;0),""SELECT ""&amp;COLNAME(""Linha de Receita"")&amp;"",""&amp;COLNAME(""Gap Potencial de Receita Vendas"")&amp;"" ORDER BY ""&amp;COLNAME(""Gap Potencial de Receita Vendas"")&amp;"" ASC"" )"),"Form G4 Instagram G4")</f>
        <v>Form G4 Instagram G4</v>
      </c>
      <c r="M2" s="12">
        <f>IFERROR(__xludf.DUMMYFUNCTION("""COMPUTED_VALUE"""),-276693.0)</f>
        <v>-276693</v>
      </c>
      <c r="N2" s="7">
        <f t="shared" ref="N2:N1000" si="3">IF(M2="","",M2/SUM($M$2:$M$1000))</f>
        <v>0.231948811</v>
      </c>
      <c r="O2" s="7">
        <f>IF(M2="","",N2)</f>
        <v>0.231948811</v>
      </c>
      <c r="P2" s="12">
        <f t="array" ref="P2">XLOOKUP(L2,'Dados Funil'!A:A,'Dados Funil'!AM:AM,"")</f>
        <v>-1487.596774</v>
      </c>
      <c r="Q2" s="5">
        <f t="array" ref="Q2">XLOOKUP(L2,'Dados Funil'!A:A,'Dados Funil'!AN:AN,"")</f>
        <v>-0.2951580901</v>
      </c>
      <c r="R2" s="4" t="str">
        <f>IFERROR(__xludf.DUMMYFUNCTION("QUERY(FILTER('Dados Funil'!$A:$AI,'Dados Funil'!$AI:$AI&gt;0,'Dados Funil'!$A:$A&lt;&gt;""Linha de Receita""),""SELECT ""&amp;COLNAME(""Linha de Receita"")&amp;"",""&amp;COLNAME(""Gap Potencial de Receita MKT"")&amp;"" ORDER BY ""&amp;COLNAME(""Gap Potencial de Receita MKT"")&amp;"" DESC"&amp;""" )"),"Form G4 Facebook")</f>
        <v>Form G4 Facebook</v>
      </c>
      <c r="S2" s="12">
        <f>IFERROR(__xludf.DUMMYFUNCTION("""COMPUTED_VALUE"""),59924.201222970645)</f>
        <v>59924.20122</v>
      </c>
      <c r="T2" s="7">
        <f t="shared" ref="T2:T1000" si="4">IF(S2="","",S2/SUM($S$2:$S$1000))</f>
        <v>0.574622396</v>
      </c>
      <c r="U2" s="7">
        <f>IF(S2="","",T2)</f>
        <v>0.574622396</v>
      </c>
      <c r="V2" s="3">
        <f t="array" ref="V2">XLOOKUP(R2,'Dados Funil'!$A:$A,'Dados Funil'!$K:$K,"")</f>
        <v>63.88709677</v>
      </c>
      <c r="W2" s="5">
        <f t="array" ref="W2">XLOOKUP(R2,'Dados Funil'!$A:$A,'Dados Funil'!$L:$L,"")</f>
        <v>0.4559686888</v>
      </c>
      <c r="X2" s="4" t="str">
        <f>IFERROR(__xludf.DUMMYFUNCTION("QUERY(FILTER('Dados Funil'!A:AO,'Dados Funil'!AO:AO&gt;0,'Dados Funil'!A:A&lt;&gt;""Linha de Receita""),""SELECT ""&amp;COLNAME(""Linha de Receita"")&amp;"",""&amp;COLNAME(""Gap Potencial de Receita Pré-Vendas"")&amp;"" ORDER BY ""&amp;COLNAME(""Gap Potencial de Receita Pré-Vendas"")"&amp;"&amp;"" DESC"" )"),"Form G4 Outros - Orgânico")</f>
        <v>Form G4 Outros - Orgânico</v>
      </c>
      <c r="Y2" s="12">
        <f>IFERROR(__xludf.DUMMYFUNCTION("""COMPUTED_VALUE"""),70262.57434154631)</f>
        <v>70262.57434</v>
      </c>
      <c r="Z2" s="7">
        <f t="shared" ref="Z2:Z1000" si="5">IF(Y2="","",Y2/SUM($Y$2:$Y$1000))</f>
        <v>0.2530786602</v>
      </c>
      <c r="AA2" s="7">
        <f>IF(Y2="","",Z2)</f>
        <v>0.2530786602</v>
      </c>
      <c r="AB2" s="6">
        <f t="array" ref="AB2">XLOOKUP(X2,'Dados Funil'!A:A,'Dados Funil'!O:O,"")</f>
        <v>7.906336088</v>
      </c>
      <c r="AC2" s="4" t="str">
        <f>IFERROR(__xludf.DUMMYFUNCTION("QUERY(FILTER('Dados Funil'!A:AP,'Dados Funil'!AP:AP&gt;0,'Dados Funil'!A:A&lt;&gt;""Linha de Receita""),""SELECT ""&amp;COLNAME(""Linha de Receita"")&amp;"",""&amp;COLNAME(""Gap Potencial de Receita Vendas"")&amp;"" ORDER BY ""&amp;COLNAME(""Gap Potencial de Receita Vendas"")&amp;"" DESC"&amp;""" )"),"[IM] Chat")</f>
        <v>[IM] Chat</v>
      </c>
      <c r="AD2" s="12">
        <f>IFERROR(__xludf.DUMMYFUNCTION("""COMPUTED_VALUE"""),203962.5897782821)</f>
        <v>203962.5898</v>
      </c>
      <c r="AE2" s="7">
        <f t="shared" ref="AE2:AE1000" si="6">IF(AD2="","",AD2/SUM($AD$2:$AD$1000))</f>
        <v>0.4499266677</v>
      </c>
      <c r="AF2" s="7">
        <f>IF(AD2="","",AE2)</f>
        <v>0.4499266677</v>
      </c>
      <c r="AG2" s="12">
        <f t="array" ref="AG2">XLOOKUP(AC2,'Dados Funil'!A:A,'Dados Funil'!AM:AM,"")</f>
        <v>2999.44985</v>
      </c>
      <c r="AH2" s="5">
        <f t="array" ref="AH2">XLOOKUP(AC2,'Dados Funil'!A:A,'Dados Funil'!AN:AN,"")</f>
        <v>0.6253978156</v>
      </c>
      <c r="AI2" s="9" t="str">
        <f>IFERROR(__xludf.DUMMYFUNCTION("QUERY('Dados Funil'!A2:AP100,""SELECT Col1, Col9, Col13, Col37 WHERE Col9 &gt; 0"")"),"Form G4 Instagram G4")</f>
        <v>Form G4 Instagram G4</v>
      </c>
      <c r="AJ2" s="11">
        <f>IFERROR(__xludf.DUMMYFUNCTION("""COMPUTED_VALUE"""),614.1935483870965)</f>
        <v>614.1935484</v>
      </c>
      <c r="AK2" s="10">
        <f>IFERROR(__xludf.DUMMYFUNCTION("""COMPUTED_VALUE"""),0.3619368879216539)</f>
        <v>0.3619368879</v>
      </c>
      <c r="AL2" s="9">
        <f>IFERROR(__xludf.DUMMYFUNCTION("""COMPUTED_VALUE"""),5040.0)</f>
        <v>5040</v>
      </c>
      <c r="AM2" s="9">
        <f t="shared" ref="AM2:AM35" si="7">AJ2*AK2*AL2</f>
        <v>1120388.479</v>
      </c>
      <c r="AN2" s="9" t="str">
        <f>IFERROR(__xludf.DUMMYFUNCTION("QUERY('Dados Funil'!A2:AZ100,""SELECT Col1, Col10, Col14, Col38 WHERE Col9 &gt; 0"")"),"Form G4 Instagram G4")</f>
        <v>Form G4 Instagram G4</v>
      </c>
      <c r="AO2" s="11">
        <f>IFERROR(__xludf.DUMMYFUNCTION("""COMPUTED_VALUE"""),543.0)</f>
        <v>543</v>
      </c>
      <c r="AP2" s="10">
        <f>IFERROR(__xludf.DUMMYFUNCTION("""COMPUTED_VALUE"""),0.3425414364640884)</f>
        <v>0.3425414365</v>
      </c>
      <c r="AQ2" s="14">
        <f>IFERROR(__xludf.DUMMYFUNCTION("""COMPUTED_VALUE"""),3552.4032258064517)</f>
        <v>3552.403226</v>
      </c>
      <c r="AR2" s="9">
        <f t="shared" ref="AR2:AR35" si="8">AO2*AP2*AQ2</f>
        <v>660747</v>
      </c>
    </row>
    <row r="3">
      <c r="A3" s="4" t="str">
        <f>IFERROR(__xludf.DUMMYFUNCTION("""COMPUTED_VALUE"""),"Form G4 Instagram Tallis")</f>
        <v>Form G4 Instagram Tallis</v>
      </c>
      <c r="B3" s="12">
        <f>IFERROR(__xludf.DUMMYFUNCTION("""COMPUTED_VALUE"""),-187131.4318289105)</f>
        <v>-187131.4318</v>
      </c>
      <c r="C3" s="7">
        <f t="shared" si="1"/>
        <v>0.1675909545</v>
      </c>
      <c r="D3" s="7">
        <f t="shared" ref="D3:D1000" si="9">IF(B3="","",C3+D2)</f>
        <v>0.3449053593</v>
      </c>
      <c r="E3" s="3">
        <f t="array" ref="E3">XLOOKUP(A3,'Dados Funil'!$A:$A,'Dados Funil'!$K:$K,"")</f>
        <v>-79.51906158</v>
      </c>
      <c r="F3" s="5">
        <f t="array" ref="F3">XLOOKUP(A3,'Dados Funil'!$A:$A,'Dados Funil'!$L:$L,"")</f>
        <v>-0.4862984218</v>
      </c>
      <c r="G3" s="4" t="str">
        <f>IFERROR(__xludf.DUMMYFUNCTION("""COMPUTED_VALUE"""),"[IM] Chat")</f>
        <v>[IM] Chat</v>
      </c>
      <c r="H3" s="12">
        <f>IFERROR(__xludf.DUMMYFUNCTION("""COMPUTED_VALUE"""),-33881.89295368535)</f>
        <v>-33881.89295</v>
      </c>
      <c r="I3" s="7">
        <f t="shared" si="2"/>
        <v>0.2874406304</v>
      </c>
      <c r="J3" s="7">
        <f t="shared" ref="J3:J1000" si="10">IF(H3="","",I3+J2)</f>
        <v>0.7377497576</v>
      </c>
      <c r="K3" s="6">
        <f t="array" ref="K3">XLOOKUP(G3,'Dados Funil'!A:A,'Dados Funil'!O:O,"")</f>
        <v>-2.860127987</v>
      </c>
      <c r="L3" s="4" t="str">
        <f>IFERROR(__xludf.DUMMYFUNCTION("""COMPUTED_VALUE"""),"Form G4 Instagram Tallis")</f>
        <v>Form G4 Instagram Tallis</v>
      </c>
      <c r="M3" s="12">
        <f>IFERROR(__xludf.DUMMYFUNCTION("""COMPUTED_VALUE"""),-180868.20967741936)</f>
        <v>-180868.2097</v>
      </c>
      <c r="N3" s="7">
        <f t="shared" si="3"/>
        <v>0.1516199043</v>
      </c>
      <c r="O3" s="7">
        <f t="shared" ref="O3:O1000" si="11">IF(N3="","",N3+O2)</f>
        <v>0.3835687154</v>
      </c>
      <c r="P3" s="12">
        <f t="array" ref="P3">XLOOKUP(L3,'Dados Funil'!A:A,'Dados Funil'!AM:AM,"")</f>
        <v>-4019.293548</v>
      </c>
      <c r="Q3" s="5">
        <f t="array" ref="Q3">XLOOKUP(L3,'Dados Funil'!A:A,'Dados Funil'!AN:AN,"")</f>
        <v>-0.7748244544</v>
      </c>
      <c r="R3" s="4" t="str">
        <f>IFERROR(__xludf.DUMMYFUNCTION("""COMPUTED_VALUE"""),"[IM] Social DM")</f>
        <v>[IM] Social DM</v>
      </c>
      <c r="S3" s="12">
        <f>IFERROR(__xludf.DUMMYFUNCTION("""COMPUTED_VALUE"""),38786.440000000155)</f>
        <v>38786.44</v>
      </c>
      <c r="T3" s="7">
        <f t="shared" si="4"/>
        <v>0.3719291476</v>
      </c>
      <c r="U3" s="7">
        <f t="shared" ref="U3:U1000" si="12">IF(S3="","",T3+U2)</f>
        <v>0.9465515436</v>
      </c>
      <c r="V3" s="3">
        <f t="array" ref="V3">XLOOKUP(R3,'Dados Funil'!$A:$A,'Dados Funil'!$K:$K,"")</f>
        <v>7.225806452</v>
      </c>
      <c r="W3" s="5">
        <f t="array" ref="W3">XLOOKUP(R3,'Dados Funil'!$A:$A,'Dados Funil'!$L:$L,"")</f>
        <v>0.1272727273</v>
      </c>
      <c r="X3" s="4" t="str">
        <f>IFERROR(__xludf.DUMMYFUNCTION("""COMPUTED_VALUE"""),"Form G4 Instagram Outros")</f>
        <v>Form G4 Instagram Outros</v>
      </c>
      <c r="Y3" s="12">
        <f>IFERROR(__xludf.DUMMYFUNCTION("""COMPUTED_VALUE"""),61133.999999999985)</f>
        <v>61134</v>
      </c>
      <c r="Z3" s="7">
        <f t="shared" si="5"/>
        <v>0.2201984621</v>
      </c>
      <c r="AA3" s="7">
        <f t="shared" ref="AA3:AA1000" si="13">IF(Y3="","",Z3+AA2)</f>
        <v>0.4732771224</v>
      </c>
      <c r="AB3" s="6">
        <f t="array" ref="AB3">XLOOKUP(X3,'Dados Funil'!A:A,'Dados Funil'!O:O,"")</f>
        <v>9.425531915</v>
      </c>
      <c r="AC3" s="4" t="str">
        <f>IFERROR(__xludf.DUMMYFUNCTION("""COMPUTED_VALUE"""),"[CM] Form G4 - Outros")</f>
        <v>[CM] Form G4 - Outros</v>
      </c>
      <c r="AD3" s="12">
        <f>IFERROR(__xludf.DUMMYFUNCTION("""COMPUTED_VALUE"""),128937.85714285714)</f>
        <v>128937.8571</v>
      </c>
      <c r="AE3" s="7">
        <f t="shared" si="6"/>
        <v>0.2844275534</v>
      </c>
      <c r="AF3" s="7">
        <f t="shared" ref="AF3:AF11" si="14">IF(AE3="","",AE3+AF2)</f>
        <v>0.7343542211</v>
      </c>
      <c r="AG3" s="12">
        <f t="array" ref="AG3">XLOOKUP(AC3,'Dados Funil'!A:A,'Dados Funil'!AM:AM,"")</f>
        <v>32234.46429</v>
      </c>
      <c r="AH3" s="5">
        <f t="array" ref="AH3">XLOOKUP(AC3,'Dados Funil'!A:A,'Dados Funil'!AN:AN,"")</f>
        <v>4.430527943</v>
      </c>
      <c r="AI3" s="9" t="str">
        <f>IFERROR(__xludf.DUMMYFUNCTION("""COMPUTED_VALUE"""),"Form G4 Outros - Orgânico")</f>
        <v>Form G4 Outros - Orgânico</v>
      </c>
      <c r="AJ3" s="11">
        <f>IFERROR(__xludf.DUMMYFUNCTION("""COMPUTED_VALUE"""),185.79354838709665)</f>
        <v>185.7935484</v>
      </c>
      <c r="AK3" s="10">
        <f>IFERROR(__xludf.DUMMYFUNCTION("""COMPUTED_VALUE"""),0.44214876033057854)</f>
        <v>0.4421487603</v>
      </c>
      <c r="AL3" s="9">
        <f>IFERROR(__xludf.DUMMYFUNCTION("""COMPUTED_VALUE"""),5385.981308411216)</f>
        <v>5385.981308</v>
      </c>
      <c r="AM3" s="9">
        <f t="shared" si="7"/>
        <v>442449.6774</v>
      </c>
      <c r="AN3" s="9" t="str">
        <f>IFERROR(__xludf.DUMMYFUNCTION("""COMPUTED_VALUE"""),"Form G4 Outros - Orgânico")</f>
        <v>Form G4 Outros - Orgânico</v>
      </c>
      <c r="AO3" s="11">
        <f>IFERROR(__xludf.DUMMYFUNCTION("""COMPUTED_VALUE"""),165.0)</f>
        <v>165</v>
      </c>
      <c r="AP3" s="10">
        <f>IFERROR(__xludf.DUMMYFUNCTION("""COMPUTED_VALUE"""),0.5212121212121212)</f>
        <v>0.5212121212</v>
      </c>
      <c r="AQ3" s="14">
        <f>IFERROR(__xludf.DUMMYFUNCTION("""COMPUTED_VALUE"""),5695.0505768531975)</f>
        <v>5695.050577</v>
      </c>
      <c r="AR3" s="9">
        <f t="shared" si="8"/>
        <v>489774.3496</v>
      </c>
    </row>
    <row r="4">
      <c r="A4" s="4" t="str">
        <f>IFERROR(__xludf.DUMMYFUNCTION("""COMPUTED_VALUE"""),"[IM] Outros")</f>
        <v>[IM] Outros</v>
      </c>
      <c r="B4" s="12">
        <f>IFERROR(__xludf.DUMMYFUNCTION("""COMPUTED_VALUE"""),-183562.06227380008)</f>
        <v>-183562.0623</v>
      </c>
      <c r="C4" s="7">
        <f t="shared" si="1"/>
        <v>0.1643943026</v>
      </c>
      <c r="D4" s="7">
        <f t="shared" si="9"/>
        <v>0.5092996619</v>
      </c>
      <c r="E4" s="3">
        <f t="array" ref="E4">XLOOKUP(A4,'Dados Funil'!$A:$A,'Dados Funil'!$K:$K,"")</f>
        <v>-82.43225806</v>
      </c>
      <c r="F4" s="5">
        <f t="array" ref="F4">XLOOKUP(A4,'Dados Funil'!$A:$A,'Dados Funil'!$L:$L,"")</f>
        <v>-0.8729247797</v>
      </c>
      <c r="G4" s="4" t="str">
        <f>IFERROR(__xludf.DUMMYFUNCTION("""COMPUTED_VALUE"""),"Form G4 Outros - Não Orgânico")</f>
        <v>Form G4 Outros - Não Orgânico</v>
      </c>
      <c r="H4" s="12">
        <f>IFERROR(__xludf.DUMMYFUNCTION("""COMPUTED_VALUE"""),-18643.41098901099)</f>
        <v>-18643.41099</v>
      </c>
      <c r="I4" s="7">
        <f t="shared" si="2"/>
        <v>0.1581633534</v>
      </c>
      <c r="J4" s="7">
        <f t="shared" si="10"/>
        <v>0.8959131109</v>
      </c>
      <c r="K4" s="6">
        <f t="array" ref="K4">XLOOKUP(G4,'Dados Funil'!A:A,'Dados Funil'!O:O,"")</f>
        <v>-8.026755853</v>
      </c>
      <c r="L4" s="4" t="str">
        <f>IFERROR(__xludf.DUMMYFUNCTION("""COMPUTED_VALUE"""),"[IM] Social DM")</f>
        <v>[IM] Social DM</v>
      </c>
      <c r="M4" s="12">
        <f>IFERROR(__xludf.DUMMYFUNCTION("""COMPUTED_VALUE"""),-167260.55995117183)</f>
        <v>-167260.56</v>
      </c>
      <c r="N4" s="7">
        <f t="shared" si="3"/>
        <v>0.1402127557</v>
      </c>
      <c r="O4" s="7">
        <f t="shared" si="11"/>
        <v>0.5237814711</v>
      </c>
      <c r="P4" s="12">
        <f t="array" ref="P4">XLOOKUP(L4,'Dados Funil'!A:A,'Dados Funil'!AM:AM,"")</f>
        <v>-6194.835554</v>
      </c>
      <c r="Q4" s="5">
        <f t="array" ref="Q4">XLOOKUP(L4,'Dados Funil'!A:A,'Dados Funil'!AN:AN,"")</f>
        <v>-0.5049103162</v>
      </c>
      <c r="R4" s="4" t="str">
        <f>IFERROR(__xludf.DUMMYFUNCTION("""COMPUTED_VALUE"""),"[IM] Link de Indicação")</f>
        <v>[IM] Link de Indicação</v>
      </c>
      <c r="S4" s="12">
        <f>IFERROR(__xludf.DUMMYFUNCTION("""COMPUTED_VALUE"""),5573.844803970265)</f>
        <v>5573.844804</v>
      </c>
      <c r="T4" s="7">
        <f t="shared" si="4"/>
        <v>0.05344845639</v>
      </c>
      <c r="U4" s="7">
        <f t="shared" si="12"/>
        <v>1</v>
      </c>
      <c r="V4" s="3">
        <f t="array" ref="V4">XLOOKUP(R4,'Dados Funil'!$A:$A,'Dados Funil'!$K:$K,"")</f>
        <v>3.967741935</v>
      </c>
      <c r="W4" s="5">
        <f t="array" ref="W4">XLOOKUP(R4,'Dados Funil'!$A:$A,'Dados Funil'!$L:$L,"")</f>
        <v>0.06957013575</v>
      </c>
      <c r="X4" s="4" t="str">
        <f>IFERROR(__xludf.DUMMYFUNCTION("""COMPUTED_VALUE"""),"Form G4 Instagram Tallis")</f>
        <v>Form G4 Instagram Tallis</v>
      </c>
      <c r="Y4" s="12">
        <f>IFERROR(__xludf.DUMMYFUNCTION("""COMPUTED_VALUE"""),35754.829189614466)</f>
        <v>35754.82919</v>
      </c>
      <c r="Z4" s="7">
        <f t="shared" si="5"/>
        <v>0.1287852652</v>
      </c>
      <c r="AA4" s="7">
        <f t="shared" si="13"/>
        <v>0.6020623876</v>
      </c>
      <c r="AB4" s="6">
        <f t="array" ref="AB4">XLOOKUP(X4,'Dados Funil'!A:A,'Dados Funil'!O:O,"")</f>
        <v>8.205574913</v>
      </c>
      <c r="AC4" s="4" t="str">
        <f>IFERROR(__xludf.DUMMYFUNCTION("""COMPUTED_VALUE"""),"[IM] Link de Indicação")</f>
        <v>[IM] Link de Indicação</v>
      </c>
      <c r="AD4" s="12">
        <f>IFERROR(__xludf.DUMMYFUNCTION("""COMPUTED_VALUE"""),65705.208)</f>
        <v>65705.208</v>
      </c>
      <c r="AE4" s="7">
        <f t="shared" si="6"/>
        <v>0.1449409194</v>
      </c>
      <c r="AF4" s="7">
        <f t="shared" si="14"/>
        <v>0.8792951405</v>
      </c>
      <c r="AG4" s="12">
        <f t="array" ref="AG4">XLOOKUP(AC4,'Dados Funil'!A:A,'Dados Funil'!AM:AM,"")</f>
        <v>3458.168842</v>
      </c>
      <c r="AH4" s="5">
        <f t="array" ref="AH4">XLOOKUP(AC4,'Dados Funil'!A:A,'Dados Funil'!AN:AN,"")</f>
        <v>0.7574454793</v>
      </c>
      <c r="AI4" s="9" t="str">
        <f>IFERROR(__xludf.DUMMYFUNCTION("""COMPUTED_VALUE"""),"Form G4 Instagram Outros")</f>
        <v>Form G4 Instagram Outros</v>
      </c>
      <c r="AJ4" s="11">
        <f>IFERROR(__xludf.DUMMYFUNCTION("""COMPUTED_VALUE"""),186.5612903225806)</f>
        <v>186.5612903</v>
      </c>
      <c r="AK4" s="10">
        <f>IFERROR(__xludf.DUMMYFUNCTION("""COMPUTED_VALUE"""),0.31)</f>
        <v>0.31</v>
      </c>
      <c r="AL4" s="9">
        <f>IFERROR(__xludf.DUMMYFUNCTION("""COMPUTED_VALUE"""),6900.0)</f>
        <v>6900</v>
      </c>
      <c r="AM4" s="9">
        <f t="shared" si="7"/>
        <v>399054.6</v>
      </c>
      <c r="AN4" s="9" t="str">
        <f>IFERROR(__xludf.DUMMYFUNCTION("""COMPUTED_VALUE"""),"Form G4 Instagram Outros")</f>
        <v>Form G4 Instagram Outros</v>
      </c>
      <c r="AO4" s="11">
        <f>IFERROR(__xludf.DUMMYFUNCTION("""COMPUTED_VALUE"""),94.0)</f>
        <v>94</v>
      </c>
      <c r="AP4" s="10">
        <f>IFERROR(__xludf.DUMMYFUNCTION("""COMPUTED_VALUE"""),0.40425531914893614)</f>
        <v>0.4042553191</v>
      </c>
      <c r="AQ4" s="14">
        <f>IFERROR(__xludf.DUMMYFUNCTION("""COMPUTED_VALUE"""),3072.8684210526317)</f>
        <v>3072.868421</v>
      </c>
      <c r="AR4" s="9">
        <f t="shared" si="8"/>
        <v>116769</v>
      </c>
    </row>
    <row r="5">
      <c r="A5" s="4" t="str">
        <f>IFERROR(__xludf.DUMMYFUNCTION("""COMPUTED_VALUE"""),"[IM] Form Facebook Ads")</f>
        <v>[IM] Form Facebook Ads</v>
      </c>
      <c r="B5" s="12">
        <f>IFERROR(__xludf.DUMMYFUNCTION("""COMPUTED_VALUE"""),-153790.5548387095)</f>
        <v>-153790.5548</v>
      </c>
      <c r="C5" s="7">
        <f t="shared" si="1"/>
        <v>0.1377315699</v>
      </c>
      <c r="D5" s="7">
        <f t="shared" si="9"/>
        <v>0.6470312318</v>
      </c>
      <c r="E5" s="3">
        <f t="array" ref="E5">XLOOKUP(A5,'Dados Funil'!$A:$A,'Dados Funil'!$K:$K,"")</f>
        <v>-97.48387097</v>
      </c>
      <c r="F5" s="5">
        <f t="array" ref="F5">XLOOKUP(A5,'Dados Funil'!$A:$A,'Dados Funil'!$L:$L,"")</f>
        <v>-0.4653526332</v>
      </c>
      <c r="G5" s="4" t="str">
        <f>IFERROR(__xludf.DUMMYFUNCTION("""COMPUTED_VALUE"""),"[IM] Social DM")</f>
        <v>[IM] Social DM</v>
      </c>
      <c r="H5" s="12">
        <f>IFERROR(__xludf.DUMMYFUNCTION("""COMPUTED_VALUE"""),-12269.179999999998)</f>
        <v>-12269.18</v>
      </c>
      <c r="I5" s="7">
        <f t="shared" si="2"/>
        <v>0.1040868891</v>
      </c>
      <c r="J5" s="7">
        <f t="shared" si="10"/>
        <v>1</v>
      </c>
      <c r="K5" s="6">
        <f t="array" ref="K5">XLOOKUP(G5,'Dados Funil'!A:A,'Dados Funil'!O:O,"")</f>
        <v>-1.5625</v>
      </c>
      <c r="L5" s="4" t="str">
        <f>IFERROR(__xludf.DUMMYFUNCTION("""COMPUTED_VALUE"""),"Form G4 Instagram Outros")</f>
        <v>Form G4 Instagram Outros</v>
      </c>
      <c r="M5" s="12">
        <f>IFERROR(__xludf.DUMMYFUNCTION("""COMPUTED_VALUE"""),-145431.0)</f>
        <v>-145431</v>
      </c>
      <c r="N5" s="7">
        <f t="shared" si="3"/>
        <v>0.1219132668</v>
      </c>
      <c r="O5" s="7">
        <f t="shared" si="11"/>
        <v>0.6456947379</v>
      </c>
      <c r="P5" s="12">
        <f t="array" ref="P5">XLOOKUP(L5,'Dados Funil'!A:A,'Dados Funil'!AM:AM,"")</f>
        <v>-3827.131579</v>
      </c>
      <c r="Q5" s="5">
        <f t="array" ref="Q5">XLOOKUP(L5,'Dados Funil'!A:A,'Dados Funil'!AN:AN,"")</f>
        <v>-0.5546567506</v>
      </c>
      <c r="R5" s="4"/>
      <c r="S5" s="4"/>
      <c r="T5" s="7" t="str">
        <f t="shared" si="4"/>
        <v/>
      </c>
      <c r="U5" s="4" t="str">
        <f t="shared" si="12"/>
        <v/>
      </c>
      <c r="V5" s="4" t="str">
        <f t="array" ref="V5">XLOOKUP(R5,'Dados Funil'!$A:$A,'Dados Funil'!$K:$K,"")</f>
        <v/>
      </c>
      <c r="W5" s="4" t="str">
        <f t="array" ref="W5">XLOOKUP(R5,'Dados Funil'!$A:$A,'Dados Funil'!$L:$L,"")</f>
        <v/>
      </c>
      <c r="X5" s="4" t="str">
        <f>IFERROR(__xludf.DUMMYFUNCTION("""COMPUTED_VALUE"""),"Aplicativo G4 - Indicação")</f>
        <v>Aplicativo G4 - Indicação</v>
      </c>
      <c r="Y5" s="12">
        <f>IFERROR(__xludf.DUMMYFUNCTION("""COMPUTED_VALUE"""),28567.094017094012)</f>
        <v>28567.09402</v>
      </c>
      <c r="Z5" s="7">
        <f t="shared" si="5"/>
        <v>0.1028957727</v>
      </c>
      <c r="AA5" s="7">
        <f t="shared" si="13"/>
        <v>0.7049581603</v>
      </c>
      <c r="AB5" s="6">
        <f t="array" ref="AB5">XLOOKUP(X5,'Dados Funil'!A:A,'Dados Funil'!O:O,"")</f>
        <v>72.83950617</v>
      </c>
      <c r="AC5" s="4" t="str">
        <f>IFERROR(__xludf.DUMMYFUNCTION("""COMPUTED_VALUE"""),"Aplicativo G4 - Indicação")</f>
        <v>Aplicativo G4 - Indicação</v>
      </c>
      <c r="AD5" s="12">
        <f>IFERROR(__xludf.DUMMYFUNCTION("""COMPUTED_VALUE"""),28138.46153846154)</f>
        <v>28138.46154</v>
      </c>
      <c r="AE5" s="7">
        <f t="shared" si="6"/>
        <v>0.06207140362</v>
      </c>
      <c r="AF5" s="7">
        <f t="shared" si="14"/>
        <v>0.9413665441</v>
      </c>
      <c r="AG5" s="12">
        <f t="array" ref="AG5">XLOOKUP(AC5,'Dados Funil'!A:A,'Dados Funil'!AM:AM,"")</f>
        <v>3517.307692</v>
      </c>
      <c r="AH5" s="5">
        <f t="array" ref="AH5">XLOOKUP(AC5,'Dados Funil'!A:A,'Dados Funil'!AN:AN,"")</f>
        <v>0.8071491615</v>
      </c>
      <c r="AI5" s="9" t="str">
        <f>IFERROR(__xludf.DUMMYFUNCTION("""COMPUTED_VALUE"""),"[IM] Chat")</f>
        <v>[IM] Chat</v>
      </c>
      <c r="AJ5" s="11">
        <f>IFERROR(__xludf.DUMMYFUNCTION("""COMPUTED_VALUE"""),268.49654218533874)</f>
        <v>268.4965422</v>
      </c>
      <c r="AK5" s="10">
        <f>IFERROR(__xludf.DUMMYFUNCTION("""COMPUTED_VALUE"""),0.30390492359932086)</f>
        <v>0.3039049236</v>
      </c>
      <c r="AL5" s="9">
        <f>IFERROR(__xludf.DUMMYFUNCTION("""COMPUTED_VALUE"""),4796.067039106146)</f>
        <v>4796.067039</v>
      </c>
      <c r="AM5" s="9">
        <f t="shared" si="7"/>
        <v>391346.702</v>
      </c>
      <c r="AN5" s="9" t="str">
        <f>IFERROR(__xludf.DUMMYFUNCTION("""COMPUTED_VALUE"""),"[IM] Chat")</f>
        <v>[IM] Chat</v>
      </c>
      <c r="AO5" s="11">
        <f>IFERROR(__xludf.DUMMYFUNCTION("""COMPUTED_VALUE"""),247.0)</f>
        <v>247</v>
      </c>
      <c r="AP5" s="10">
        <f>IFERROR(__xludf.DUMMYFUNCTION("""COMPUTED_VALUE"""),0.27530364372469635)</f>
        <v>0.2753036437</v>
      </c>
      <c r="AQ5" s="14">
        <f>IFERROR(__xludf.DUMMYFUNCTION("""COMPUTED_VALUE"""),7795.516888786765)</f>
        <v>7795.516889</v>
      </c>
      <c r="AR5" s="9">
        <f t="shared" si="8"/>
        <v>530095.1484</v>
      </c>
    </row>
    <row r="6">
      <c r="A6" s="4" t="str">
        <f>IFERROR(__xludf.DUMMYFUNCTION("""COMPUTED_VALUE"""),"Form G4 Instagram G4")</f>
        <v>Form G4 Instagram G4</v>
      </c>
      <c r="B6" s="12">
        <f>IFERROR(__xludf.DUMMYFUNCTION("""COMPUTED_VALUE"""),-129868.55957035994)</f>
        <v>-129868.5596</v>
      </c>
      <c r="C6" s="7">
        <f t="shared" si="1"/>
        <v>0.1163075366</v>
      </c>
      <c r="D6" s="7">
        <f t="shared" si="9"/>
        <v>0.7633387684</v>
      </c>
      <c r="E6" s="3">
        <f t="array" ref="E6">XLOOKUP(A6,'Dados Funil'!$A:$A,'Dados Funil'!$K:$K,"")</f>
        <v>-71.19354839</v>
      </c>
      <c r="F6" s="5">
        <f t="array" ref="F6">XLOOKUP(A6,'Dados Funil'!$A:$A,'Dados Funil'!$L:$L,"")</f>
        <v>-0.1159138655</v>
      </c>
      <c r="G6" s="4"/>
      <c r="H6" s="4"/>
      <c r="I6" s="7" t="str">
        <f t="shared" si="2"/>
        <v/>
      </c>
      <c r="J6" s="4" t="str">
        <f t="shared" si="10"/>
        <v/>
      </c>
      <c r="K6" s="4" t="str">
        <f t="array" ref="K6">XLOOKUP(G6,'Dados Funil'!A:A,'Dados Funil'!O:O,"")</f>
        <v/>
      </c>
      <c r="L6" s="4" t="str">
        <f>IFERROR(__xludf.DUMMYFUNCTION("""COMPUTED_VALUE"""),"[IM] Form Facebook Ads")</f>
        <v>[IM] Form Facebook Ads</v>
      </c>
      <c r="M6" s="12">
        <f>IFERROR(__xludf.DUMMYFUNCTION("""COMPUTED_VALUE"""),-114075.0)</f>
        <v>-114075</v>
      </c>
      <c r="N6" s="7">
        <f t="shared" si="3"/>
        <v>0.09562786417</v>
      </c>
      <c r="O6" s="7">
        <f t="shared" si="11"/>
        <v>0.7413226021</v>
      </c>
      <c r="P6" s="12">
        <f t="array" ref="P6">XLOOKUP(L6,'Dados Funil'!A:A,'Dados Funil'!AM:AM,"")</f>
        <v>-2925</v>
      </c>
      <c r="Q6" s="5">
        <f t="array" ref="Q6">XLOOKUP(L6,'Dados Funil'!A:A,'Dados Funil'!AN:AN,"")</f>
        <v>-0.630387931</v>
      </c>
      <c r="R6" s="4"/>
      <c r="S6" s="4"/>
      <c r="T6" s="7" t="str">
        <f t="shared" si="4"/>
        <v/>
      </c>
      <c r="U6" s="4" t="str">
        <f t="shared" si="12"/>
        <v/>
      </c>
      <c r="V6" s="4" t="str">
        <f t="array" ref="V6">XLOOKUP(R6,'Dados Funil'!$A:$A,'Dados Funil'!$K:$K,"")</f>
        <v/>
      </c>
      <c r="W6" s="4" t="str">
        <f t="array" ref="W6">XLOOKUP(R6,'Dados Funil'!$A:$A,'Dados Funil'!$L:$L,"")</f>
        <v/>
      </c>
      <c r="X6" s="4" t="str">
        <f>IFERROR(__xludf.DUMMYFUNCTION("""COMPUTED_VALUE"""),"Form G4 Google")</f>
        <v>Form G4 Google</v>
      </c>
      <c r="Y6" s="12">
        <f>IFERROR(__xludf.DUMMYFUNCTION("""COMPUTED_VALUE"""),24341.89999999999)</f>
        <v>24341.9</v>
      </c>
      <c r="Z6" s="7">
        <f t="shared" si="5"/>
        <v>0.08767705279</v>
      </c>
      <c r="AA6" s="7">
        <f t="shared" si="13"/>
        <v>0.7926352131</v>
      </c>
      <c r="AB6" s="6">
        <f t="array" ref="AB6">XLOOKUP(X6,'Dados Funil'!A:A,'Dados Funil'!O:O,"")</f>
        <v>5.208333333</v>
      </c>
      <c r="AC6" s="4" t="str">
        <f>IFERROR(__xludf.DUMMYFUNCTION("""COMPUTED_VALUE"""),"Form G4 Outros - Orgânico")</f>
        <v>Form G4 Outros - Orgânico</v>
      </c>
      <c r="AD6" s="12">
        <f>IFERROR(__xludf.DUMMYFUNCTION("""COMPUTED_VALUE"""),26579.957086010443)</f>
        <v>26579.95709</v>
      </c>
      <c r="AE6" s="7">
        <f t="shared" si="6"/>
        <v>0.05863345593</v>
      </c>
      <c r="AF6" s="7">
        <f t="shared" si="14"/>
        <v>1</v>
      </c>
      <c r="AG6" s="12">
        <f t="array" ref="AG6">XLOOKUP(AC6,'Dados Funil'!A:A,'Dados Funil'!AM:AM,"")</f>
        <v>309.0692684</v>
      </c>
      <c r="AH6" s="5">
        <f t="array" ref="AH6">XLOOKUP(AC6,'Dados Funil'!A:A,'Dados Funil'!AN:AN,"")</f>
        <v>0.05738402173</v>
      </c>
      <c r="AI6" s="9" t="str">
        <f>IFERROR(__xludf.DUMMYFUNCTION("""COMPUTED_VALUE"""),"Form G4 Instagram Tallis")</f>
        <v>Form G4 Instagram Tallis</v>
      </c>
      <c r="AJ6" s="11">
        <f>IFERROR(__xludf.DUMMYFUNCTION("""COMPUTED_VALUE"""),163.51906158357764)</f>
        <v>163.5190616</v>
      </c>
      <c r="AK6" s="10">
        <f>IFERROR(__xludf.DUMMYFUNCTION("""COMPUTED_VALUE"""),0.45365853658536587)</f>
        <v>0.4536585366</v>
      </c>
      <c r="AL6" s="9">
        <f>IFERROR(__xludf.DUMMYFUNCTION("""COMPUTED_VALUE"""),5187.360215053764)</f>
        <v>5187.360215</v>
      </c>
      <c r="AM6" s="9">
        <f t="shared" si="7"/>
        <v>384807.8123</v>
      </c>
      <c r="AN6" s="9" t="str">
        <f>IFERROR(__xludf.DUMMYFUNCTION("""COMPUTED_VALUE"""),"Form G4 Instagram Tallis")</f>
        <v>Form G4 Instagram Tallis</v>
      </c>
      <c r="AO6" s="11">
        <f>IFERROR(__xludf.DUMMYFUNCTION("""COMPUTED_VALUE"""),84.0)</f>
        <v>84</v>
      </c>
      <c r="AP6" s="10">
        <f>IFERROR(__xludf.DUMMYFUNCTION("""COMPUTED_VALUE"""),0.5357142857142857)</f>
        <v>0.5357142857</v>
      </c>
      <c r="AQ6" s="14">
        <f>IFERROR(__xludf.DUMMYFUNCTION("""COMPUTED_VALUE"""),1168.0666666666666)</f>
        <v>1168.066667</v>
      </c>
      <c r="AR6" s="9">
        <f t="shared" si="8"/>
        <v>52563</v>
      </c>
    </row>
    <row r="7">
      <c r="A7" s="4" t="str">
        <f>IFERROR(__xludf.DUMMYFUNCTION("""COMPUTED_VALUE"""),"Form G4 Outros - Não Orgânico")</f>
        <v>Form G4 Outros - Não Orgânico</v>
      </c>
      <c r="B7" s="12">
        <f>IFERROR(__xludf.DUMMYFUNCTION("""COMPUTED_VALUE"""),-75419.36320453731)</f>
        <v>-75419.3632</v>
      </c>
      <c r="C7" s="7">
        <f t="shared" si="1"/>
        <v>0.06754398737</v>
      </c>
      <c r="D7" s="7">
        <f t="shared" si="9"/>
        <v>0.8308827557</v>
      </c>
      <c r="E7" s="3">
        <f t="array" ref="E7">XLOOKUP(A7,'Dados Funil'!$A:$A,'Dados Funil'!$K:$K,"")</f>
        <v>-38.83548387</v>
      </c>
      <c r="F7" s="5">
        <f t="array" ref="F7">XLOOKUP(A7,'Dados Funil'!$A:$A,'Dados Funil'!$L:$L,"")</f>
        <v>-0.4577740599</v>
      </c>
      <c r="G7" s="4"/>
      <c r="H7" s="4"/>
      <c r="I7" s="7" t="str">
        <f t="shared" si="2"/>
        <v/>
      </c>
      <c r="J7" s="4" t="str">
        <f t="shared" si="10"/>
        <v/>
      </c>
      <c r="K7" s="4" t="str">
        <f t="array" ref="K7">XLOOKUP(G7,'Dados Funil'!A:A,'Dados Funil'!O:O,"")</f>
        <v/>
      </c>
      <c r="L7" s="4" t="str">
        <f>IFERROR(__xludf.DUMMYFUNCTION("""COMPUTED_VALUE"""),"Form G4 Facebook")</f>
        <v>Form G4 Facebook</v>
      </c>
      <c r="M7" s="12">
        <f>IFERROR(__xludf.DUMMYFUNCTION("""COMPUTED_VALUE"""),-91693.61538461535)</f>
        <v>-91693.61538</v>
      </c>
      <c r="N7" s="7">
        <f t="shared" si="3"/>
        <v>0.07686578652</v>
      </c>
      <c r="O7" s="7">
        <f t="shared" si="11"/>
        <v>0.8181883886</v>
      </c>
      <c r="P7" s="12">
        <f t="array" ref="P7">XLOOKUP(L7,'Dados Funil'!A:A,'Dados Funil'!AM:AM,"")</f>
        <v>-1528.226923</v>
      </c>
      <c r="Q7" s="5">
        <f t="array" ref="Q7">XLOOKUP(L7,'Dados Funil'!A:A,'Dados Funil'!AN:AN,"")</f>
        <v>-0.4305984221</v>
      </c>
      <c r="R7" s="4"/>
      <c r="S7" s="4"/>
      <c r="T7" s="7" t="str">
        <f t="shared" si="4"/>
        <v/>
      </c>
      <c r="U7" s="4" t="str">
        <f t="shared" si="12"/>
        <v/>
      </c>
      <c r="V7" s="4" t="str">
        <f t="array" ref="V7">XLOOKUP(R7,'Dados Funil'!$A:$A,'Dados Funil'!$K:$K,"")</f>
        <v/>
      </c>
      <c r="W7" s="4" t="str">
        <f t="array" ref="W7">XLOOKUP(R7,'Dados Funil'!$A:$A,'Dados Funil'!$L:$L,"")</f>
        <v/>
      </c>
      <c r="X7" s="4" t="str">
        <f>IFERROR(__xludf.DUMMYFUNCTION("""COMPUTED_VALUE"""),"[IM] Outros")</f>
        <v>[IM] Outros</v>
      </c>
      <c r="Y7" s="12">
        <f>IFERROR(__xludf.DUMMYFUNCTION("""COMPUTED_VALUE"""),23403.47489239598)</f>
        <v>23403.47489</v>
      </c>
      <c r="Z7" s="7">
        <f t="shared" si="5"/>
        <v>0.08429694082</v>
      </c>
      <c r="AA7" s="7">
        <f t="shared" si="13"/>
        <v>0.8769321539</v>
      </c>
      <c r="AB7" s="6">
        <f t="array" ref="AB7">XLOOKUP(X7,'Dados Funil'!A:A,'Dados Funil'!O:O,"")</f>
        <v>27.23577236</v>
      </c>
      <c r="AC7" s="4"/>
      <c r="AD7" s="4"/>
      <c r="AE7" s="7" t="str">
        <f t="shared" si="6"/>
        <v/>
      </c>
      <c r="AF7" s="4" t="str">
        <f t="shared" si="14"/>
        <v/>
      </c>
      <c r="AG7" s="4" t="str">
        <f t="array" ref="AG7">XLOOKUP(AC7,'Dados Funil'!A:A,'Dados Funil'!AM:AM,"")</f>
        <v/>
      </c>
      <c r="AH7" s="4" t="str">
        <f t="array" ref="AH7">XLOOKUP(AC7,'Dados Funil'!A:A,'Dados Funil'!AN:AN,"")</f>
        <v/>
      </c>
      <c r="AI7" s="9" t="str">
        <f>IFERROR(__xludf.DUMMYFUNCTION("""COMPUTED_VALUE"""),"[IM] Form Facebook Ads")</f>
        <v>[IM] Form Facebook Ads</v>
      </c>
      <c r="AJ7" s="11">
        <f>IFERROR(__xludf.DUMMYFUNCTION("""COMPUTED_VALUE"""),209.48387096774184)</f>
        <v>209.483871</v>
      </c>
      <c r="AK7" s="10">
        <f>IFERROR(__xludf.DUMMYFUNCTION("""COMPUTED_VALUE"""),0.34)</f>
        <v>0.34</v>
      </c>
      <c r="AL7" s="9">
        <f>IFERROR(__xludf.DUMMYFUNCTION("""COMPUTED_VALUE"""),4640.0)</f>
        <v>4640</v>
      </c>
      <c r="AM7" s="9">
        <f t="shared" si="7"/>
        <v>330481.7548</v>
      </c>
      <c r="AN7" s="9" t="str">
        <f>IFERROR(__xludf.DUMMYFUNCTION("""COMPUTED_VALUE"""),"[IM] Form Facebook Ads")</f>
        <v>[IM] Form Facebook Ads</v>
      </c>
      <c r="AO7" s="11">
        <f>IFERROR(__xludf.DUMMYFUNCTION("""COMPUTED_VALUE"""),112.0)</f>
        <v>112</v>
      </c>
      <c r="AP7" s="10">
        <f>IFERROR(__xludf.DUMMYFUNCTION("""COMPUTED_VALUE"""),0.3482142857142857)</f>
        <v>0.3482142857</v>
      </c>
      <c r="AQ7" s="14">
        <f>IFERROR(__xludf.DUMMYFUNCTION("""COMPUTED_VALUE"""),1715.0)</f>
        <v>1715</v>
      </c>
      <c r="AR7" s="9">
        <f t="shared" si="8"/>
        <v>66885</v>
      </c>
    </row>
    <row r="8">
      <c r="A8" s="4" t="str">
        <f>IFERROR(__xludf.DUMMYFUNCTION("""COMPUTED_VALUE"""),"Form G4 Google")</f>
        <v>Form G4 Google</v>
      </c>
      <c r="B8" s="12">
        <f>IFERROR(__xludf.DUMMYFUNCTION("""COMPUTED_VALUE"""),-54103.79886290313)</f>
        <v>-54103.79886</v>
      </c>
      <c r="C8" s="7">
        <f t="shared" si="1"/>
        <v>0.04845421854</v>
      </c>
      <c r="D8" s="7">
        <f t="shared" si="9"/>
        <v>0.8793369743</v>
      </c>
      <c r="E8" s="3">
        <f t="array" ref="E8">XLOOKUP(A8,'Dados Funil'!$A:$A,'Dados Funil'!$K:$K,"")</f>
        <v>-29.63548387</v>
      </c>
      <c r="F8" s="5">
        <f t="array" ref="F8">XLOOKUP(A8,'Dados Funil'!$A:$A,'Dados Funil'!$L:$L,"")</f>
        <v>-0.2358846638</v>
      </c>
      <c r="G8" s="4"/>
      <c r="H8" s="4"/>
      <c r="I8" s="7" t="str">
        <f t="shared" si="2"/>
        <v/>
      </c>
      <c r="J8" s="4" t="str">
        <f t="shared" si="10"/>
        <v/>
      </c>
      <c r="K8" s="4" t="str">
        <f t="array" ref="K8">XLOOKUP(G8,'Dados Funil'!A:A,'Dados Funil'!O:O,"")</f>
        <v/>
      </c>
      <c r="L8" s="4" t="str">
        <f>IFERROR(__xludf.DUMMYFUNCTION("""COMPUTED_VALUE"""),"Form G4 Google")</f>
        <v>Form G4 Google</v>
      </c>
      <c r="M8" s="12">
        <f>IFERROR(__xludf.DUMMYFUNCTION("""COMPUTED_VALUE"""),-91621.42997558594)</f>
        <v>-91621.42998</v>
      </c>
      <c r="N8" s="7">
        <f t="shared" si="3"/>
        <v>0.07680527425</v>
      </c>
      <c r="O8" s="7">
        <f t="shared" si="11"/>
        <v>0.8949936628</v>
      </c>
      <c r="P8" s="12">
        <f t="array" ref="P8">XLOOKUP(L8,'Dados Funil'!A:A,'Dados Funil'!AM:AM,"")</f>
        <v>-2234.669024</v>
      </c>
      <c r="Q8" s="5">
        <f t="array" ref="Q8">XLOOKUP(L8,'Dados Funil'!A:A,'Dados Funil'!AN:AN,"")</f>
        <v>-0.4590169674</v>
      </c>
      <c r="R8" s="4"/>
      <c r="S8" s="4"/>
      <c r="T8" s="7" t="str">
        <f t="shared" si="4"/>
        <v/>
      </c>
      <c r="U8" s="4" t="str">
        <f t="shared" si="12"/>
        <v/>
      </c>
      <c r="V8" s="4" t="str">
        <f t="array" ref="V8">XLOOKUP(R8,'Dados Funil'!$A:$A,'Dados Funil'!$K:$K,"")</f>
        <v/>
      </c>
      <c r="W8" s="4" t="str">
        <f t="array" ref="W8">XLOOKUP(R8,'Dados Funil'!$A:$A,'Dados Funil'!$L:$L,"")</f>
        <v/>
      </c>
      <c r="X8" s="4" t="str">
        <f>IFERROR(__xludf.DUMMYFUNCTION("""COMPUTED_VALUE"""),"Form G4 Facebook")</f>
        <v>Form G4 Facebook</v>
      </c>
      <c r="Y8" s="12">
        <f>IFERROR(__xludf.DUMMYFUNCTION("""COMPUTED_VALUE"""),21598.668131868133)</f>
        <v>21598.66813</v>
      </c>
      <c r="Z8" s="7">
        <f t="shared" si="5"/>
        <v>0.07779621008</v>
      </c>
      <c r="AA8" s="7">
        <f t="shared" si="13"/>
        <v>0.954728364</v>
      </c>
      <c r="AB8" s="6">
        <f t="array" ref="AB8">XLOOKUP(X8,'Dados Funil'!A:A,'Dados Funil'!O:O,"")</f>
        <v>2.983193277</v>
      </c>
      <c r="AC8" s="4"/>
      <c r="AD8" s="4"/>
      <c r="AE8" s="7" t="str">
        <f t="shared" si="6"/>
        <v/>
      </c>
      <c r="AF8" s="4" t="str">
        <f t="shared" si="14"/>
        <v/>
      </c>
      <c r="AG8" s="4" t="str">
        <f t="array" ref="AG8">XLOOKUP(AC8,'Dados Funil'!A:A,'Dados Funil'!AM:AM,"")</f>
        <v/>
      </c>
      <c r="AH8" s="4" t="str">
        <f t="array" ref="AH8">XLOOKUP(AC8,'Dados Funil'!A:A,'Dados Funil'!AN:AN,"")</f>
        <v/>
      </c>
      <c r="AI8" s="9" t="str">
        <f>IFERROR(__xludf.DUMMYFUNCTION("""COMPUTED_VALUE"""),"[IM] Social DM")</f>
        <v>[IM] Social DM</v>
      </c>
      <c r="AJ8" s="11">
        <f>IFERROR(__xludf.DUMMYFUNCTION("""COMPUTED_VALUE"""),56.77419354838707)</f>
        <v>56.77419355</v>
      </c>
      <c r="AK8" s="10">
        <f>IFERROR(__xludf.DUMMYFUNCTION("""COMPUTED_VALUE"""),0.4375)</f>
        <v>0.4375</v>
      </c>
      <c r="AL8" s="9">
        <f>IFERROR(__xludf.DUMMYFUNCTION("""COMPUTED_VALUE"""),12269.179999999998)</f>
        <v>12269.18</v>
      </c>
      <c r="AM8" s="9">
        <f t="shared" si="7"/>
        <v>304750.6</v>
      </c>
      <c r="AN8" s="9" t="str">
        <f>IFERROR(__xludf.DUMMYFUNCTION("""COMPUTED_VALUE"""),"[IM] Social DM")</f>
        <v>[IM] Social DM</v>
      </c>
      <c r="AO8" s="11">
        <f>IFERROR(__xludf.DUMMYFUNCTION("""COMPUTED_VALUE"""),64.0)</f>
        <v>64</v>
      </c>
      <c r="AP8" s="10">
        <f>IFERROR(__xludf.DUMMYFUNCTION("""COMPUTED_VALUE"""),0.421875)</f>
        <v>0.421875</v>
      </c>
      <c r="AQ8" s="14">
        <f>IFERROR(__xludf.DUMMYFUNCTION("""COMPUTED_VALUE"""),6074.344446252893)</f>
        <v>6074.344446</v>
      </c>
      <c r="AR8" s="9">
        <f t="shared" si="8"/>
        <v>164007.3</v>
      </c>
    </row>
    <row r="9">
      <c r="A9" s="4" t="str">
        <f>IFERROR(__xludf.DUMMYFUNCTION("""COMPUTED_VALUE"""),"Form G4 Outros - Orgânico")</f>
        <v>Form G4 Outros - Orgânico</v>
      </c>
      <c r="B9" s="12">
        <f>IFERROR(__xludf.DUMMYFUNCTION("""COMPUTED_VALUE"""),-49517.859237536366)</f>
        <v>-49517.85924</v>
      </c>
      <c r="C9" s="7">
        <f t="shared" si="1"/>
        <v>0.04434714796</v>
      </c>
      <c r="D9" s="7">
        <f t="shared" si="9"/>
        <v>0.9236841222</v>
      </c>
      <c r="E9" s="3">
        <f t="array" ref="E9">XLOOKUP(A9,'Dados Funil'!$A:$A,'Dados Funil'!$K:$K,"")</f>
        <v>-20.79354839</v>
      </c>
      <c r="F9" s="5">
        <f t="array" ref="F9">XLOOKUP(A9,'Dados Funil'!$A:$A,'Dados Funil'!$L:$L,"")</f>
        <v>-0.1119174943</v>
      </c>
      <c r="G9" s="4"/>
      <c r="H9" s="4"/>
      <c r="I9" s="7" t="str">
        <f t="shared" si="2"/>
        <v/>
      </c>
      <c r="J9" s="4" t="str">
        <f t="shared" si="10"/>
        <v/>
      </c>
      <c r="K9" s="4" t="str">
        <f t="array" ref="K9">XLOOKUP(G9,'Dados Funil'!A:A,'Dados Funil'!O:O,"")</f>
        <v/>
      </c>
      <c r="L9" s="4" t="str">
        <f>IFERROR(__xludf.DUMMYFUNCTION("""COMPUTED_VALUE"""),"Form G4 Outros - Não Orgânico")</f>
        <v>Form G4 Outros - Não Orgânico</v>
      </c>
      <c r="M9" s="12">
        <f>IFERROR(__xludf.DUMMYFUNCTION("""COMPUTED_VALUE"""),-48789.6)</f>
        <v>-48789.6</v>
      </c>
      <c r="N9" s="7">
        <f t="shared" si="3"/>
        <v>0.04089980488</v>
      </c>
      <c r="O9" s="7">
        <f t="shared" si="11"/>
        <v>0.9358934677</v>
      </c>
      <c r="P9" s="12">
        <f t="array" ref="P9">XLOOKUP(L9,'Dados Funil'!A:A,'Dados Funil'!AM:AM,"")</f>
        <v>-3484.971429</v>
      </c>
      <c r="Q9" s="5">
        <f t="array" ref="Q9">XLOOKUP(L9,'Dados Funil'!A:A,'Dados Funil'!AN:AN,"")</f>
        <v>-0.6901948802</v>
      </c>
      <c r="R9" s="4"/>
      <c r="S9" s="4"/>
      <c r="T9" s="7" t="str">
        <f t="shared" si="4"/>
        <v/>
      </c>
      <c r="U9" s="4" t="str">
        <f t="shared" si="12"/>
        <v/>
      </c>
      <c r="V9" s="4" t="str">
        <f t="array" ref="V9">XLOOKUP(R9,'Dados Funil'!$A:$A,'Dados Funil'!$K:$K,"")</f>
        <v/>
      </c>
      <c r="W9" s="4" t="str">
        <f t="array" ref="W9">XLOOKUP(R9,'Dados Funil'!$A:$A,'Dados Funil'!$L:$L,"")</f>
        <v/>
      </c>
      <c r="X9" s="4" t="str">
        <f>IFERROR(__xludf.DUMMYFUNCTION("""COMPUTED_VALUE"""),"[CM] Form G4 - Outros")</f>
        <v>[CM] Form G4 - Outros</v>
      </c>
      <c r="Y9" s="12">
        <f>IFERROR(__xludf.DUMMYFUNCTION("""COMPUTED_VALUE"""),7013.616428571428)</f>
        <v>7013.616429</v>
      </c>
      <c r="Z9" s="7">
        <f t="shared" si="5"/>
        <v>0.02526233441</v>
      </c>
      <c r="AA9" s="7">
        <f t="shared" si="13"/>
        <v>0.9799906984</v>
      </c>
      <c r="AB9" s="6">
        <f t="array" ref="AB9">XLOOKUP(X9,'Dados Funil'!A:A,'Dados Funil'!O:O,"")</f>
        <v>8.763636364</v>
      </c>
      <c r="AC9" s="4"/>
      <c r="AD9" s="4"/>
      <c r="AE9" s="7" t="str">
        <f t="shared" si="6"/>
        <v/>
      </c>
      <c r="AF9" s="4" t="str">
        <f t="shared" si="14"/>
        <v/>
      </c>
      <c r="AG9" s="4" t="str">
        <f t="array" ref="AG9">XLOOKUP(AC9,'Dados Funil'!A:A,'Dados Funil'!AM:AM,"")</f>
        <v/>
      </c>
      <c r="AH9" s="4" t="str">
        <f t="array" ref="AH9">XLOOKUP(AC9,'Dados Funil'!A:A,'Dados Funil'!AN:AN,"")</f>
        <v/>
      </c>
      <c r="AI9" s="9" t="str">
        <f>IFERROR(__xludf.DUMMYFUNCTION("""COMPUTED_VALUE"""),"Form G4 Google")</f>
        <v>Form G4 Google</v>
      </c>
      <c r="AJ9" s="11">
        <f>IFERROR(__xludf.DUMMYFUNCTION("""COMPUTED_VALUE"""),125.63548387096769)</f>
        <v>125.6354839</v>
      </c>
      <c r="AK9" s="10">
        <f>IFERROR(__xludf.DUMMYFUNCTION("""COMPUTED_VALUE"""),0.375)</f>
        <v>0.375</v>
      </c>
      <c r="AL9" s="9">
        <f>IFERROR(__xludf.DUMMYFUNCTION("""COMPUTED_VALUE"""),4868.38)</f>
        <v>4868.38</v>
      </c>
      <c r="AM9" s="9">
        <f t="shared" si="7"/>
        <v>229365.4789</v>
      </c>
      <c r="AN9" s="9" t="str">
        <f>IFERROR(__xludf.DUMMYFUNCTION("""COMPUTED_VALUE"""),"Form G4 Google")</f>
        <v>Form G4 Google</v>
      </c>
      <c r="AO9" s="11">
        <f>IFERROR(__xludf.DUMMYFUNCTION("""COMPUTED_VALUE"""),96.0)</f>
        <v>96</v>
      </c>
      <c r="AP9" s="10">
        <f>IFERROR(__xludf.DUMMYFUNCTION("""COMPUTED_VALUE"""),0.4270833333333333)</f>
        <v>0.4270833333</v>
      </c>
      <c r="AQ9" s="14">
        <f>IFERROR(__xludf.DUMMYFUNCTION("""COMPUTED_VALUE"""),2633.710976205221)</f>
        <v>2633.710976</v>
      </c>
      <c r="AR9" s="9">
        <f t="shared" si="8"/>
        <v>107982.15</v>
      </c>
    </row>
    <row r="10">
      <c r="A10" s="4" t="str">
        <f>IFERROR(__xludf.DUMMYFUNCTION("""COMPUTED_VALUE"""),"[IM] Chat")</f>
        <v>[IM] Chat</v>
      </c>
      <c r="B10" s="12">
        <f>IFERROR(__xludf.DUMMYFUNCTION("""COMPUTED_VALUE"""),-31332.250390398243)</f>
        <v>-31332.25039</v>
      </c>
      <c r="C10" s="7">
        <f t="shared" si="1"/>
        <v>0.0280605011</v>
      </c>
      <c r="D10" s="7">
        <f t="shared" si="9"/>
        <v>0.9517446233</v>
      </c>
      <c r="E10" s="3">
        <f t="array" ref="E10">XLOOKUP(A10,'Dados Funil'!$A:$A,'Dados Funil'!$K:$K,"")</f>
        <v>-21.49654219</v>
      </c>
      <c r="F10" s="5">
        <f t="array" ref="F10">XLOOKUP(A10,'Dados Funil'!$A:$A,'Dados Funil'!$L:$L,"")</f>
        <v>-0.0800626407</v>
      </c>
      <c r="G10" s="4"/>
      <c r="H10" s="4"/>
      <c r="I10" s="7" t="str">
        <f t="shared" si="2"/>
        <v/>
      </c>
      <c r="J10" s="4" t="str">
        <f t="shared" si="10"/>
        <v/>
      </c>
      <c r="K10" s="4" t="str">
        <f t="array" ref="K10">XLOOKUP(G10,'Dados Funil'!A:A,'Dados Funil'!O:O,"")</f>
        <v/>
      </c>
      <c r="L10" s="4" t="str">
        <f>IFERROR(__xludf.DUMMYFUNCTION("""COMPUTED_VALUE"""),"[IM] Outros")</f>
        <v>[IM] Outros</v>
      </c>
      <c r="M10" s="12">
        <f>IFERROR(__xludf.DUMMYFUNCTION("""COMPUTED_VALUE"""),-40095.35294117646)</f>
        <v>-40095.35294</v>
      </c>
      <c r="N10" s="7">
        <f t="shared" si="3"/>
        <v>0.03361150966</v>
      </c>
      <c r="O10" s="7">
        <f t="shared" si="11"/>
        <v>0.9695049774</v>
      </c>
      <c r="P10" s="12">
        <f t="array" ref="P10">XLOOKUP(L10,'Dados Funil'!A:A,'Dados Funil'!AM:AM,"")</f>
        <v>-5727.907563</v>
      </c>
      <c r="Q10" s="5">
        <f t="array" ref="Q10">XLOOKUP(L10,'Dados Funil'!A:A,'Dados Funil'!AN:AN,"")</f>
        <v>-0.7999016583</v>
      </c>
      <c r="R10" s="4"/>
      <c r="S10" s="4"/>
      <c r="T10" s="7" t="str">
        <f t="shared" si="4"/>
        <v/>
      </c>
      <c r="U10" s="4" t="str">
        <f t="shared" si="12"/>
        <v/>
      </c>
      <c r="V10" s="4" t="str">
        <f t="array" ref="V10">XLOOKUP(R10,'Dados Funil'!$A:$A,'Dados Funil'!$K:$K,"")</f>
        <v/>
      </c>
      <c r="W10" s="4" t="str">
        <f t="array" ref="W10">XLOOKUP(R10,'Dados Funil'!$A:$A,'Dados Funil'!$L:$L,"")</f>
        <v/>
      </c>
      <c r="X10" s="4" t="str">
        <f>IFERROR(__xludf.DUMMYFUNCTION("""COMPUTED_VALUE"""),"[IM] Form Facebook Ads")</f>
        <v>[IM] Form Facebook Ads</v>
      </c>
      <c r="Y10" s="12">
        <f>IFERROR(__xludf.DUMMYFUNCTION("""COMPUTED_VALUE"""),4268.799999999979)</f>
        <v>4268.8</v>
      </c>
      <c r="Z10" s="7">
        <f t="shared" si="5"/>
        <v>0.01537578426</v>
      </c>
      <c r="AA10" s="7">
        <f t="shared" si="13"/>
        <v>0.9953664826</v>
      </c>
      <c r="AB10" s="6">
        <f t="array" ref="AB10">XLOOKUP(X10,'Dados Funil'!A:A,'Dados Funil'!O:O,"")</f>
        <v>0.8214285714</v>
      </c>
      <c r="AC10" s="4"/>
      <c r="AD10" s="4"/>
      <c r="AE10" s="7" t="str">
        <f t="shared" si="6"/>
        <v/>
      </c>
      <c r="AF10" s="4" t="str">
        <f t="shared" si="14"/>
        <v/>
      </c>
      <c r="AG10" s="4" t="str">
        <f t="array" ref="AG10">XLOOKUP(AC10,'Dados Funil'!A:A,'Dados Funil'!AM:AM,"")</f>
        <v/>
      </c>
      <c r="AH10" s="4" t="str">
        <f t="array" ref="AH10">XLOOKUP(AC10,'Dados Funil'!A:A,'Dados Funil'!AN:AN,"")</f>
        <v/>
      </c>
      <c r="AI10" s="9" t="str">
        <f>IFERROR(__xludf.DUMMYFUNCTION("""COMPUTED_VALUE"""),"[IM] Outros")</f>
        <v>[IM] Outros</v>
      </c>
      <c r="AJ10" s="11">
        <f>IFERROR(__xludf.DUMMYFUNCTION("""COMPUTED_VALUE"""),94.43225806451609)</f>
        <v>94.43225806</v>
      </c>
      <c r="AK10" s="10">
        <f>IFERROR(__xludf.DUMMYFUNCTION("""COMPUTED_VALUE"""),0.31097560975609756)</f>
        <v>0.3109756098</v>
      </c>
      <c r="AL10" s="9">
        <f>IFERROR(__xludf.DUMMYFUNCTION("""COMPUTED_VALUE"""),7160.764705882352)</f>
        <v>7160.764706</v>
      </c>
      <c r="AM10" s="9">
        <f t="shared" si="7"/>
        <v>210283.9403</v>
      </c>
      <c r="AN10" s="9" t="str">
        <f>IFERROR(__xludf.DUMMYFUNCTION("""COMPUTED_VALUE"""),"[IM] Outros")</f>
        <v>[IM] Outros</v>
      </c>
      <c r="AO10" s="11">
        <f>IFERROR(__xludf.DUMMYFUNCTION("""COMPUTED_VALUE"""),12.0)</f>
        <v>12</v>
      </c>
      <c r="AP10" s="10">
        <f>IFERROR(__xludf.DUMMYFUNCTION("""COMPUTED_VALUE"""),0.5833333333333334)</f>
        <v>0.5833333333</v>
      </c>
      <c r="AQ10" s="14">
        <f>IFERROR(__xludf.DUMMYFUNCTION("""COMPUTED_VALUE"""),1432.857142857143)</f>
        <v>1432.857143</v>
      </c>
      <c r="AR10" s="9">
        <f t="shared" si="8"/>
        <v>10030</v>
      </c>
    </row>
    <row r="11">
      <c r="A11" s="4" t="str">
        <f>IFERROR(__xludf.DUMMYFUNCTION("""COMPUTED_VALUE"""),"Aplicativo G4 - Indicação")</f>
        <v>Aplicativo G4 - Indicação</v>
      </c>
      <c r="B11" s="12">
        <f>IFERROR(__xludf.DUMMYFUNCTION("""COMPUTED_VALUE"""),-21665.0716845878)</f>
        <v>-21665.07168</v>
      </c>
      <c r="C11" s="7">
        <f t="shared" si="1"/>
        <v>0.01940278021</v>
      </c>
      <c r="D11" s="7">
        <f t="shared" si="9"/>
        <v>0.9711474035</v>
      </c>
      <c r="E11" s="3">
        <f t="array" ref="E11">XLOOKUP(A11,'Dados Funil'!$A:$A,'Dados Funil'!$K:$K,"")</f>
        <v>-30.97741935</v>
      </c>
      <c r="F11" s="5">
        <f t="array" ref="F11">XLOOKUP(A11,'Dados Funil'!$A:$A,'Dados Funil'!$L:$L,"")</f>
        <v>-0.7748729121</v>
      </c>
      <c r="G11" s="4"/>
      <c r="H11" s="4"/>
      <c r="I11" s="7" t="str">
        <f t="shared" si="2"/>
        <v/>
      </c>
      <c r="J11" s="4" t="str">
        <f t="shared" si="10"/>
        <v/>
      </c>
      <c r="K11" s="4" t="str">
        <f t="array" ref="K11">XLOOKUP(G11,'Dados Funil'!A:A,'Dados Funil'!O:O,"")</f>
        <v/>
      </c>
      <c r="L11" s="4" t="str">
        <f>IFERROR(__xludf.DUMMYFUNCTION("""COMPUTED_VALUE"""),"[CM] Form G4 - Instagram")</f>
        <v>[CM] Form G4 - Instagram</v>
      </c>
      <c r="M11" s="12">
        <f>IFERROR(__xludf.DUMMYFUNCTION("""COMPUTED_VALUE"""),-36377.67857142858)</f>
        <v>-36377.67857</v>
      </c>
      <c r="N11" s="7">
        <f t="shared" si="3"/>
        <v>0.03049502262</v>
      </c>
      <c r="O11" s="7">
        <f t="shared" si="11"/>
        <v>1</v>
      </c>
      <c r="P11" s="12">
        <f t="array" ref="P11">XLOOKUP(L11,'Dados Funil'!A:A,'Dados Funil'!AM:AM,"")</f>
        <v>-7275.535714</v>
      </c>
      <c r="Q11" s="5">
        <f t="array" ref="Q11">XLOOKUP(L11,'Dados Funil'!A:A,'Dados Funil'!AN:AN,"")</f>
        <v>-1</v>
      </c>
      <c r="R11" s="4"/>
      <c r="S11" s="4"/>
      <c r="T11" s="7" t="str">
        <f t="shared" si="4"/>
        <v/>
      </c>
      <c r="U11" s="4" t="str">
        <f t="shared" si="12"/>
        <v/>
      </c>
      <c r="V11" s="4" t="str">
        <f t="array" ref="V11">XLOOKUP(R11,'Dados Funil'!$A:$A,'Dados Funil'!$K:$K,"")</f>
        <v/>
      </c>
      <c r="W11" s="4" t="str">
        <f t="array" ref="W11">XLOOKUP(R11,'Dados Funil'!$A:$A,'Dados Funil'!$L:$L,"")</f>
        <v/>
      </c>
      <c r="X11" s="4" t="str">
        <f>IFERROR(__xludf.DUMMYFUNCTION("""COMPUTED_VALUE"""),"[IM] Link de Indicação")</f>
        <v>[IM] Link de Indicação</v>
      </c>
      <c r="Y11" s="12">
        <f>IFERROR(__xludf.DUMMYFUNCTION("""COMPUTED_VALUE"""),1053.5926153846142)</f>
        <v>1053.592615</v>
      </c>
      <c r="Z11" s="7">
        <f t="shared" si="5"/>
        <v>0.003794933648</v>
      </c>
      <c r="AA11" s="7">
        <f t="shared" si="13"/>
        <v>0.9991614163</v>
      </c>
      <c r="AB11" s="6">
        <f t="array" ref="AB11">XLOOKUP(X11,'Dados Funil'!A:A,'Dados Funil'!O:O,"")</f>
        <v>0.3783102144</v>
      </c>
      <c r="AC11" s="4"/>
      <c r="AD11" s="4"/>
      <c r="AE11" s="7" t="str">
        <f t="shared" si="6"/>
        <v/>
      </c>
      <c r="AF11" s="4" t="str">
        <f t="shared" si="14"/>
        <v/>
      </c>
      <c r="AG11" s="4" t="str">
        <f t="array" ref="AG11">XLOOKUP(AC11,'Dados Funil'!A:A,'Dados Funil'!AM:AM,"")</f>
        <v/>
      </c>
      <c r="AH11" s="4" t="str">
        <f t="array" ref="AH11">XLOOKUP(AC11,'Dados Funil'!A:A,'Dados Funil'!AN:AN,"")</f>
        <v/>
      </c>
      <c r="AI11" s="9" t="str">
        <f>IFERROR(__xludf.DUMMYFUNCTION("""COMPUTED_VALUE"""),"Form G4 Outros - Não Orgânico")</f>
        <v>Form G4 Outros - Não Orgânico</v>
      </c>
      <c r="AJ11" s="11">
        <f>IFERROR(__xludf.DUMMYFUNCTION("""COMPUTED_VALUE"""),84.83548387096769)</f>
        <v>84.83548387</v>
      </c>
      <c r="AK11" s="10">
        <f>IFERROR(__xludf.DUMMYFUNCTION("""COMPUTED_VALUE"""),0.38461538461538464)</f>
        <v>0.3846153846</v>
      </c>
      <c r="AL11" s="9">
        <f>IFERROR(__xludf.DUMMYFUNCTION("""COMPUTED_VALUE"""),5049.257142857143)</f>
        <v>5049.257143</v>
      </c>
      <c r="AM11" s="9">
        <f t="shared" si="7"/>
        <v>164752.3742</v>
      </c>
      <c r="AN11" s="9" t="str">
        <f>IFERROR(__xludf.DUMMYFUNCTION("""COMPUTED_VALUE"""),"Form G4 Outros - Não Orgânico")</f>
        <v>Form G4 Outros - Não Orgânico</v>
      </c>
      <c r="AO11" s="11">
        <f>IFERROR(__xludf.DUMMYFUNCTION("""COMPUTED_VALUE"""),46.0)</f>
        <v>46</v>
      </c>
      <c r="AP11" s="10">
        <f>IFERROR(__xludf.DUMMYFUNCTION("""COMPUTED_VALUE"""),0.30434782608695654)</f>
        <v>0.3043478261</v>
      </c>
      <c r="AQ11" s="14">
        <f>IFERROR(__xludf.DUMMYFUNCTION("""COMPUTED_VALUE"""),1564.2857142857142)</f>
        <v>1564.285714</v>
      </c>
      <c r="AR11" s="9">
        <f t="shared" si="8"/>
        <v>21900</v>
      </c>
    </row>
    <row r="12">
      <c r="A12" s="4" t="str">
        <f>IFERROR(__xludf.DUMMYFUNCTION("""COMPUTED_VALUE"""),"Indicação - Outros")</f>
        <v>Indicação - Outros</v>
      </c>
      <c r="B12" s="12">
        <f>IFERROR(__xludf.DUMMYFUNCTION("""COMPUTED_VALUE"""),-19305.950474450456)</f>
        <v>-19305.95047</v>
      </c>
      <c r="C12" s="7">
        <f t="shared" si="1"/>
        <v>0.01729000113</v>
      </c>
      <c r="D12" s="7">
        <f t="shared" si="9"/>
        <v>0.9884374047</v>
      </c>
      <c r="E12" s="3">
        <f t="array" ref="E12">XLOOKUP(A12,'Dados Funil'!$A:$A,'Dados Funil'!$K:$K,"")</f>
        <v>-5.646709677</v>
      </c>
      <c r="F12" s="5">
        <f t="array" ref="F12">XLOOKUP(A12,'Dados Funil'!$A:$A,'Dados Funil'!$L:$L,"")</f>
        <v>-0.7384495967</v>
      </c>
      <c r="G12" s="4"/>
      <c r="H12" s="4"/>
      <c r="I12" s="7" t="str">
        <f t="shared" si="2"/>
        <v/>
      </c>
      <c r="J12" s="4" t="str">
        <f t="shared" si="10"/>
        <v/>
      </c>
      <c r="K12" s="4" t="str">
        <f t="array" ref="K12">XLOOKUP(G12,'Dados Funil'!A:A,'Dados Funil'!O:O,"")</f>
        <v/>
      </c>
      <c r="L12" s="4"/>
      <c r="M12" s="4"/>
      <c r="N12" s="7" t="str">
        <f t="shared" si="3"/>
        <v/>
      </c>
      <c r="O12" s="4" t="str">
        <f t="shared" si="11"/>
        <v/>
      </c>
      <c r="P12" s="4" t="str">
        <f t="array" ref="P12">XLOOKUP(L12,'Dados Funil'!A:A,'Dados Funil'!AM:AM,"")</f>
        <v/>
      </c>
      <c r="Q12" s="4" t="str">
        <f t="array" ref="Q12">XLOOKUP(L12,'Dados Funil'!A:A,'Dados Funil'!AN:AN,"")</f>
        <v/>
      </c>
      <c r="R12" s="4"/>
      <c r="S12" s="4"/>
      <c r="T12" s="7" t="str">
        <f t="shared" si="4"/>
        <v/>
      </c>
      <c r="U12" s="4" t="str">
        <f t="shared" si="12"/>
        <v/>
      </c>
      <c r="V12" s="4" t="str">
        <f t="array" ref="V12">XLOOKUP(R12,'Dados Funil'!$A:$A,'Dados Funil'!$K:$K,"")</f>
        <v/>
      </c>
      <c r="W12" s="4" t="str">
        <f t="array" ref="W12">XLOOKUP(R12,'Dados Funil'!$A:$A,'Dados Funil'!$L:$L,"")</f>
        <v/>
      </c>
      <c r="X12" s="4" t="str">
        <f>IFERROR(__xludf.DUMMYFUNCTION("""COMPUTED_VALUE"""),"[CM] Form G4 - Instagram")</f>
        <v>[CM] Form G4 - Instagram</v>
      </c>
      <c r="Y12" s="12">
        <f>IFERROR(__xludf.DUMMYFUNCTION("""COMPUTED_VALUE"""),232.81714285714148)</f>
        <v>232.8171429</v>
      </c>
      <c r="Z12" s="7">
        <f t="shared" si="5"/>
        <v>0.0008385837147</v>
      </c>
      <c r="AA12" s="7">
        <f t="shared" si="13"/>
        <v>1</v>
      </c>
      <c r="AB12" s="6">
        <f t="array" ref="AB12">XLOOKUP(X12,'Dados Funil'!A:A,'Dados Funil'!O:O,"")</f>
        <v>0.1777777778</v>
      </c>
      <c r="AE12" s="7" t="str">
        <f t="shared" si="6"/>
        <v/>
      </c>
      <c r="AG12" s="4" t="str">
        <f t="array" ref="AG12">XLOOKUP(AC12,'Dados Funil'!A:A,'Dados Funil'!AM:AM,"")</f>
        <v/>
      </c>
      <c r="AH12" s="4" t="str">
        <f t="array" ref="AH12">XLOOKUP(AC12,'Dados Funil'!A:A,'Dados Funil'!AN:AN,"")</f>
        <v/>
      </c>
      <c r="AI12" s="9" t="str">
        <f>IFERROR(__xludf.DUMMYFUNCTION("""COMPUTED_VALUE"""),"Form G4 Facebook")</f>
        <v>Form G4 Facebook</v>
      </c>
      <c r="AJ12" s="11">
        <f>IFERROR(__xludf.DUMMYFUNCTION("""COMPUTED_VALUE"""),140.11290322580638)</f>
        <v>140.1129032</v>
      </c>
      <c r="AK12" s="10">
        <f>IFERROR(__xludf.DUMMYFUNCTION("""COMPUTED_VALUE"""),0.2642857142857143)</f>
        <v>0.2642857143</v>
      </c>
      <c r="AL12" s="9">
        <f>IFERROR(__xludf.DUMMYFUNCTION("""COMPUTED_VALUE"""),3549.0769230769224)</f>
        <v>3549.076923</v>
      </c>
      <c r="AM12" s="9">
        <f t="shared" si="7"/>
        <v>131421.746</v>
      </c>
      <c r="AN12" s="9" t="str">
        <f>IFERROR(__xludf.DUMMYFUNCTION("""COMPUTED_VALUE"""),"Form G4 Facebook")</f>
        <v>Form G4 Facebook</v>
      </c>
      <c r="AO12" s="11">
        <f>IFERROR(__xludf.DUMMYFUNCTION("""COMPUTED_VALUE"""),204.0)</f>
        <v>204</v>
      </c>
      <c r="AP12" s="10">
        <f>IFERROR(__xludf.DUMMYFUNCTION("""COMPUTED_VALUE"""),0.29411764705882354)</f>
        <v>0.2941176471</v>
      </c>
      <c r="AQ12" s="14">
        <f>IFERROR(__xludf.DUMMYFUNCTION("""COMPUTED_VALUE"""),2020.85)</f>
        <v>2020.85</v>
      </c>
      <c r="AR12" s="9">
        <f t="shared" si="8"/>
        <v>121251</v>
      </c>
    </row>
    <row r="13">
      <c r="A13" s="4" t="str">
        <f>IFERROR(__xludf.DUMMYFUNCTION("""COMPUTED_VALUE"""),"[CM] Form G4 - Instagram")</f>
        <v>[CM] Form G4 - Instagram</v>
      </c>
      <c r="B13" s="12">
        <f>IFERROR(__xludf.DUMMYFUNCTION("""COMPUTED_VALUE"""),-6541.62165277273)</f>
        <v>-6541.621653</v>
      </c>
      <c r="C13" s="7">
        <f t="shared" si="1"/>
        <v>0.005858538066</v>
      </c>
      <c r="D13" s="7">
        <f t="shared" si="9"/>
        <v>0.9942959427</v>
      </c>
      <c r="E13" s="3">
        <f t="array" ref="E13">XLOOKUP(A13,'Dados Funil'!$A:$A,'Dados Funil'!$K:$K,"")</f>
        <v>-3.257702066</v>
      </c>
      <c r="F13" s="5">
        <f t="array" ref="F13">XLOOKUP(A13,'Dados Funil'!$A:$A,'Dados Funil'!$L:$L,"")</f>
        <v>-0.1532480818</v>
      </c>
      <c r="G13" s="4"/>
      <c r="H13" s="4"/>
      <c r="I13" s="7" t="str">
        <f t="shared" si="2"/>
        <v/>
      </c>
      <c r="J13" s="4" t="str">
        <f t="shared" si="10"/>
        <v/>
      </c>
      <c r="K13" s="4" t="str">
        <f t="array" ref="K13">XLOOKUP(G13,'Dados Funil'!A:A,'Dados Funil'!O:O,"")</f>
        <v/>
      </c>
      <c r="L13" s="4"/>
      <c r="M13" s="4"/>
      <c r="N13" s="7" t="str">
        <f t="shared" si="3"/>
        <v/>
      </c>
      <c r="O13" s="4" t="str">
        <f t="shared" si="11"/>
        <v/>
      </c>
      <c r="P13" s="4" t="str">
        <f t="array" ref="P13">XLOOKUP(L13,'Dados Funil'!A:A,'Dados Funil'!AM:AM,"")</f>
        <v/>
      </c>
      <c r="Q13" s="4" t="str">
        <f t="array" ref="Q13">XLOOKUP(L13,'Dados Funil'!A:A,'Dados Funil'!AN:AN,"")</f>
        <v/>
      </c>
      <c r="R13" s="4"/>
      <c r="S13" s="4"/>
      <c r="T13" s="7" t="str">
        <f t="shared" si="4"/>
        <v/>
      </c>
      <c r="U13" s="4" t="str">
        <f t="shared" si="12"/>
        <v/>
      </c>
      <c r="V13" s="4" t="str">
        <f t="array" ref="V13">XLOOKUP(R13,'Dados Funil'!$A:$A,'Dados Funil'!$K:$K,"")</f>
        <v/>
      </c>
      <c r="W13" s="4" t="str">
        <f t="array" ref="W13">XLOOKUP(R13,'Dados Funil'!$A:$A,'Dados Funil'!$L:$L,"")</f>
        <v/>
      </c>
      <c r="X13" s="4"/>
      <c r="Y13" s="4"/>
      <c r="Z13" s="7" t="str">
        <f t="shared" si="5"/>
        <v/>
      </c>
      <c r="AA13" s="4" t="str">
        <f t="shared" si="13"/>
        <v/>
      </c>
      <c r="AB13" s="4" t="str">
        <f t="array" ref="AB13">XLOOKUP(X13,'Dados Funil'!A:A,'Dados Funil'!O:O,"")</f>
        <v/>
      </c>
      <c r="AE13" s="7" t="str">
        <f t="shared" si="6"/>
        <v/>
      </c>
      <c r="AG13" s="4" t="str">
        <f t="array" ref="AG13">XLOOKUP(AC13,'Dados Funil'!A:A,'Dados Funil'!AM:AM,"")</f>
        <v/>
      </c>
      <c r="AH13" s="4" t="str">
        <f t="array" ref="AH13">XLOOKUP(AC13,'Dados Funil'!A:A,'Dados Funil'!AN:AN,"")</f>
        <v/>
      </c>
      <c r="AI13" s="9" t="str">
        <f>IFERROR(__xludf.DUMMYFUNCTION("""COMPUTED_VALUE"""),"[IM] Link de Indicação")</f>
        <v>[IM] Link de Indicação</v>
      </c>
      <c r="AJ13" s="11">
        <f>IFERROR(__xludf.DUMMYFUNCTION("""COMPUTED_VALUE"""),57.0322580645161)</f>
        <v>57.03225806</v>
      </c>
      <c r="AK13" s="10">
        <f>IFERROR(__xludf.DUMMYFUNCTION("""COMPUTED_VALUE"""),0.3076923076923077)</f>
        <v>0.3076923077</v>
      </c>
      <c r="AL13" s="9">
        <f>IFERROR(__xludf.DUMMYFUNCTION("""COMPUTED_VALUE"""),4565.568)</f>
        <v>4565.568</v>
      </c>
      <c r="AM13" s="9">
        <f t="shared" si="7"/>
        <v>80118.35458</v>
      </c>
      <c r="AN13" s="9" t="str">
        <f>IFERROR(__xludf.DUMMYFUNCTION("""COMPUTED_VALUE"""),"[IM] Link de Indicação")</f>
        <v>[IM] Link de Indicação</v>
      </c>
      <c r="AO13" s="11">
        <f>IFERROR(__xludf.DUMMYFUNCTION("""COMPUTED_VALUE"""),61.0)</f>
        <v>61</v>
      </c>
      <c r="AP13" s="10">
        <f>IFERROR(__xludf.DUMMYFUNCTION("""COMPUTED_VALUE"""),0.3114754098360656)</f>
        <v>0.3114754098</v>
      </c>
      <c r="AQ13" s="14">
        <f>IFERROR(__xludf.DUMMYFUNCTION("""COMPUTED_VALUE"""),8023.736842105263)</f>
        <v>8023.736842</v>
      </c>
      <c r="AR13" s="9">
        <f t="shared" si="8"/>
        <v>152451</v>
      </c>
    </row>
    <row r="14">
      <c r="A14" s="4" t="str">
        <f>IFERROR(__xludf.DUMMYFUNCTION("""COMPUTED_VALUE"""),"[CM] Form G4 - Outros")</f>
        <v>[CM] Form G4 - Outros</v>
      </c>
      <c r="B14" s="12">
        <f>IFERROR(__xludf.DUMMYFUNCTION("""COMPUTED_VALUE"""),-6369.128958991344)</f>
        <v>-6369.128959</v>
      </c>
      <c r="C14" s="7">
        <f t="shared" si="1"/>
        <v>0.005704057256</v>
      </c>
      <c r="D14" s="7">
        <f t="shared" si="9"/>
        <v>1</v>
      </c>
      <c r="E14" s="3">
        <f t="array" ref="E14">XLOOKUP(A14,'Dados Funil'!$A:$A,'Dados Funil'!$K:$K,"")</f>
        <v>-3.171801377</v>
      </c>
      <c r="F14" s="5">
        <f t="array" ref="F14">XLOOKUP(A14,'Dados Funil'!$A:$A,'Dados Funil'!$L:$L,"")</f>
        <v>-0.2238107417</v>
      </c>
      <c r="G14" s="4"/>
      <c r="H14" s="4"/>
      <c r="I14" s="7" t="str">
        <f t="shared" si="2"/>
        <v/>
      </c>
      <c r="J14" s="4" t="str">
        <f t="shared" si="10"/>
        <v/>
      </c>
      <c r="K14" s="4" t="str">
        <f t="array" ref="K14">XLOOKUP(G14,'Dados Funil'!A:A,'Dados Funil'!O:O,"")</f>
        <v/>
      </c>
      <c r="L14" s="4"/>
      <c r="M14" s="4"/>
      <c r="N14" s="7" t="str">
        <f t="shared" si="3"/>
        <v/>
      </c>
      <c r="O14" s="4" t="str">
        <f t="shared" si="11"/>
        <v/>
      </c>
      <c r="P14" s="4" t="str">
        <f t="array" ref="P14">XLOOKUP(L14,'Dados Funil'!A:A,'Dados Funil'!AM:AM,"")</f>
        <v/>
      </c>
      <c r="Q14" s="4" t="str">
        <f t="array" ref="Q14">XLOOKUP(L14,'Dados Funil'!A:A,'Dados Funil'!AN:AN,"")</f>
        <v/>
      </c>
      <c r="R14" s="4"/>
      <c r="S14" s="4"/>
      <c r="T14" s="7" t="str">
        <f t="shared" si="4"/>
        <v/>
      </c>
      <c r="U14" s="4" t="str">
        <f t="shared" si="12"/>
        <v/>
      </c>
      <c r="V14" s="4" t="str">
        <f t="array" ref="V14">XLOOKUP(R14,'Dados Funil'!$A:$A,'Dados Funil'!$K:$K,"")</f>
        <v/>
      </c>
      <c r="W14" s="4" t="str">
        <f t="array" ref="W14">XLOOKUP(R14,'Dados Funil'!$A:$A,'Dados Funil'!$L:$L,"")</f>
        <v/>
      </c>
      <c r="X14" s="4"/>
      <c r="Y14" s="4"/>
      <c r="Z14" s="7" t="str">
        <f t="shared" si="5"/>
        <v/>
      </c>
      <c r="AA14" s="4" t="str">
        <f t="shared" si="13"/>
        <v/>
      </c>
      <c r="AB14" s="4" t="str">
        <f t="array" ref="AB14">XLOOKUP(X14,'Dados Funil'!A:A,'Dados Funil'!O:O,"")</f>
        <v/>
      </c>
      <c r="AE14" s="7" t="str">
        <f t="shared" si="6"/>
        <v/>
      </c>
      <c r="AG14" s="4" t="str">
        <f t="array" ref="AG14">XLOOKUP(AC14,'Dados Funil'!A:A,'Dados Funil'!AM:AM,"")</f>
        <v/>
      </c>
      <c r="AH14" s="4" t="str">
        <f t="array" ref="AH14">XLOOKUP(AC14,'Dados Funil'!A:A,'Dados Funil'!AN:AN,"")</f>
        <v/>
      </c>
      <c r="AI14" s="9" t="str">
        <f>IFERROR(__xludf.DUMMYFUNCTION("""COMPUTED_VALUE"""),"[CM] Form G4 - Instagram")</f>
        <v>[CM] Form G4 - Instagram</v>
      </c>
      <c r="AJ14" s="11">
        <f>IFERROR(__xludf.DUMMYFUNCTION("""COMPUTED_VALUE"""),21.257702065965923)</f>
        <v>21.25770207</v>
      </c>
      <c r="AK14" s="10">
        <f>IFERROR(__xludf.DUMMYFUNCTION("""COMPUTED_VALUE"""),0.276)</f>
        <v>0.276</v>
      </c>
      <c r="AL14" s="9">
        <f>IFERROR(__xludf.DUMMYFUNCTION("""COMPUTED_VALUE"""),7275.535714285716)</f>
        <v>7275.535714</v>
      </c>
      <c r="AM14" s="9">
        <f t="shared" si="7"/>
        <v>42686.48308</v>
      </c>
      <c r="AN14" s="9" t="str">
        <f>IFERROR(__xludf.DUMMYFUNCTION("""COMPUTED_VALUE"""),"[CM] Form G4 - Instagram")</f>
        <v>[CM] Form G4 - Instagram</v>
      </c>
      <c r="AO14" s="11">
        <f>IFERROR(__xludf.DUMMYFUNCTION("""COMPUTED_VALUE"""),18.0)</f>
        <v>18</v>
      </c>
      <c r="AP14" s="10">
        <f>IFERROR(__xludf.DUMMYFUNCTION("""COMPUTED_VALUE"""),0.2777777777777778)</f>
        <v>0.2777777778</v>
      </c>
      <c r="AQ14" s="14">
        <f>IFERROR(__xludf.DUMMYFUNCTION("""COMPUTED_VALUE"""),0.0)</f>
        <v>0</v>
      </c>
      <c r="AR14" s="9">
        <f t="shared" si="8"/>
        <v>0</v>
      </c>
    </row>
    <row r="15">
      <c r="A15" s="4"/>
      <c r="B15" s="4"/>
      <c r="C15" s="7" t="str">
        <f t="shared" si="1"/>
        <v/>
      </c>
      <c r="D15" s="4" t="str">
        <f t="shared" si="9"/>
        <v/>
      </c>
      <c r="E15" s="4" t="str">
        <f t="array" ref="E15">XLOOKUP(A15,'Dados Funil'!$A:$A,'Dados Funil'!$K:$K,"")</f>
        <v/>
      </c>
      <c r="F15" s="4" t="str">
        <f t="array" ref="F15">XLOOKUP(A15,'Dados Funil'!$A:$A,'Dados Funil'!$L:$L,"")</f>
        <v/>
      </c>
      <c r="G15" s="4"/>
      <c r="H15" s="4"/>
      <c r="I15" s="7" t="str">
        <f t="shared" si="2"/>
        <v/>
      </c>
      <c r="J15" s="4" t="str">
        <f t="shared" si="10"/>
        <v/>
      </c>
      <c r="K15" s="4" t="str">
        <f t="array" ref="K15">XLOOKUP(G15,'Dados Funil'!A:A,'Dados Funil'!O:O,"")</f>
        <v/>
      </c>
      <c r="L15" s="4"/>
      <c r="M15" s="4"/>
      <c r="N15" s="7" t="str">
        <f t="shared" si="3"/>
        <v/>
      </c>
      <c r="O15" s="4" t="str">
        <f t="shared" si="11"/>
        <v/>
      </c>
      <c r="P15" s="4" t="str">
        <f t="array" ref="P15">XLOOKUP(L15,'Dados Funil'!A:A,'Dados Funil'!AM:AM,"")</f>
        <v/>
      </c>
      <c r="Q15" s="4" t="str">
        <f t="array" ref="Q15">XLOOKUP(L15,'Dados Funil'!A:A,'Dados Funil'!AN:AN,"")</f>
        <v/>
      </c>
      <c r="R15" s="4"/>
      <c r="S15" s="4"/>
      <c r="T15" s="7" t="str">
        <f t="shared" si="4"/>
        <v/>
      </c>
      <c r="U15" s="4" t="str">
        <f t="shared" si="12"/>
        <v/>
      </c>
      <c r="V15" s="4" t="str">
        <f t="array" ref="V15">XLOOKUP(R15,'Dados Funil'!$A:$A,'Dados Funil'!$K:$K,"")</f>
        <v/>
      </c>
      <c r="W15" s="4" t="str">
        <f t="array" ref="W15">XLOOKUP(R15,'Dados Funil'!$A:$A,'Dados Funil'!$L:$L,"")</f>
        <v/>
      </c>
      <c r="X15" s="4"/>
      <c r="Y15" s="4"/>
      <c r="Z15" s="7" t="str">
        <f t="shared" si="5"/>
        <v/>
      </c>
      <c r="AA15" s="4" t="str">
        <f t="shared" si="13"/>
        <v/>
      </c>
      <c r="AB15" s="4" t="str">
        <f t="array" ref="AB15">XLOOKUP(X15,'Dados Funil'!A:A,'Dados Funil'!O:O,"")</f>
        <v/>
      </c>
      <c r="AE15" s="7" t="str">
        <f t="shared" si="6"/>
        <v/>
      </c>
      <c r="AG15" s="4" t="str">
        <f t="array" ref="AG15">XLOOKUP(AC15,'Dados Funil'!A:A,'Dados Funil'!AM:AM,"")</f>
        <v/>
      </c>
      <c r="AH15" s="4" t="str">
        <f t="array" ref="AH15">XLOOKUP(AC15,'Dados Funil'!A:A,'Dados Funil'!AN:AN,"")</f>
        <v/>
      </c>
      <c r="AI15" s="9" t="str">
        <f>IFERROR(__xludf.DUMMYFUNCTION("""COMPUTED_VALUE"""),"[CM] Form G4 - Outros")</f>
        <v>[CM] Form G4 - Outros</v>
      </c>
      <c r="AJ15" s="11">
        <f>IFERROR(__xludf.DUMMYFUNCTION("""COMPUTED_VALUE"""),14.171801377310615)</f>
        <v>14.17180138</v>
      </c>
      <c r="AK15" s="10">
        <f>IFERROR(__xludf.DUMMYFUNCTION("""COMPUTED_VALUE"""),0.276)</f>
        <v>0.276</v>
      </c>
      <c r="AL15" s="9">
        <f>IFERROR(__xludf.DUMMYFUNCTION("""COMPUTED_VALUE"""),7275.535714285715)</f>
        <v>7275.535714</v>
      </c>
      <c r="AM15" s="9">
        <f t="shared" si="7"/>
        <v>28457.65539</v>
      </c>
      <c r="AN15" s="9" t="str">
        <f>IFERROR(__xludf.DUMMYFUNCTION("""COMPUTED_VALUE"""),"[CM] Form G4 - Outros")</f>
        <v>[CM] Form G4 - Outros</v>
      </c>
      <c r="AO15" s="11">
        <f>IFERROR(__xludf.DUMMYFUNCTION("""COMPUTED_VALUE"""),11.0)</f>
        <v>11</v>
      </c>
      <c r="AP15" s="10">
        <f>IFERROR(__xludf.DUMMYFUNCTION("""COMPUTED_VALUE"""),0.36363636363636365)</f>
        <v>0.3636363636</v>
      </c>
      <c r="AQ15" s="14">
        <f>IFERROR(__xludf.DUMMYFUNCTION("""COMPUTED_VALUE"""),39510.0)</f>
        <v>39510</v>
      </c>
      <c r="AR15" s="9">
        <f t="shared" si="8"/>
        <v>158040</v>
      </c>
    </row>
    <row r="16">
      <c r="A16" s="4"/>
      <c r="B16" s="4"/>
      <c r="C16" s="7" t="str">
        <f t="shared" si="1"/>
        <v/>
      </c>
      <c r="D16" s="4" t="str">
        <f t="shared" si="9"/>
        <v/>
      </c>
      <c r="E16" s="4" t="str">
        <f t="array" ref="E16">XLOOKUP(A16,'Dados Funil'!$A:$A,'Dados Funil'!$K:$K,"")</f>
        <v/>
      </c>
      <c r="F16" s="4" t="str">
        <f t="array" ref="F16">XLOOKUP(A16,'Dados Funil'!$A:$A,'Dados Funil'!$L:$L,"")</f>
        <v/>
      </c>
      <c r="G16" s="4"/>
      <c r="H16" s="4"/>
      <c r="I16" s="7" t="str">
        <f t="shared" si="2"/>
        <v/>
      </c>
      <c r="J16" s="4" t="str">
        <f t="shared" si="10"/>
        <v/>
      </c>
      <c r="K16" s="4" t="str">
        <f t="array" ref="K16">XLOOKUP(G16,'Dados Funil'!A:A,'Dados Funil'!O:O,"")</f>
        <v/>
      </c>
      <c r="L16" s="4"/>
      <c r="M16" s="4"/>
      <c r="N16" s="7" t="str">
        <f t="shared" si="3"/>
        <v/>
      </c>
      <c r="O16" s="4" t="str">
        <f t="shared" si="11"/>
        <v/>
      </c>
      <c r="P16" s="4" t="str">
        <f t="array" ref="P16">XLOOKUP(L16,'Dados Funil'!A:A,'Dados Funil'!AM:AM,"")</f>
        <v/>
      </c>
      <c r="Q16" s="4" t="str">
        <f t="array" ref="Q16">XLOOKUP(L16,'Dados Funil'!A:A,'Dados Funil'!AN:AN,"")</f>
        <v/>
      </c>
      <c r="R16" s="4"/>
      <c r="S16" s="4"/>
      <c r="T16" s="7" t="str">
        <f t="shared" si="4"/>
        <v/>
      </c>
      <c r="U16" s="4" t="str">
        <f t="shared" si="12"/>
        <v/>
      </c>
      <c r="V16" s="4" t="str">
        <f t="array" ref="V16">XLOOKUP(R16,'Dados Funil'!$A:$A,'Dados Funil'!$K:$K,"")</f>
        <v/>
      </c>
      <c r="W16" s="4" t="str">
        <f t="array" ref="W16">XLOOKUP(R16,'Dados Funil'!$A:$A,'Dados Funil'!$L:$L,"")</f>
        <v/>
      </c>
      <c r="X16" s="4"/>
      <c r="Y16" s="4"/>
      <c r="Z16" s="7" t="str">
        <f t="shared" si="5"/>
        <v/>
      </c>
      <c r="AA16" s="4" t="str">
        <f t="shared" si="13"/>
        <v/>
      </c>
      <c r="AB16" s="4" t="str">
        <f t="array" ref="AB16">XLOOKUP(X16,'Dados Funil'!A:A,'Dados Funil'!O:O,"")</f>
        <v/>
      </c>
      <c r="AE16" s="7" t="str">
        <f t="shared" si="6"/>
        <v/>
      </c>
      <c r="AG16" s="4" t="str">
        <f t="array" ref="AG16">XLOOKUP(AC16,'Dados Funil'!A:A,'Dados Funil'!AM:AM,"")</f>
        <v/>
      </c>
      <c r="AH16" s="4" t="str">
        <f t="array" ref="AH16">XLOOKUP(AC16,'Dados Funil'!A:A,'Dados Funil'!AN:AN,"")</f>
        <v/>
      </c>
      <c r="AI16" s="9" t="str">
        <f>IFERROR(__xludf.DUMMYFUNCTION("""COMPUTED_VALUE"""),"Aplicativo G4 - Indicação")</f>
        <v>Aplicativo G4 - Indicação</v>
      </c>
      <c r="AJ16" s="11">
        <f>IFERROR(__xludf.DUMMYFUNCTION("""COMPUTED_VALUE"""),39.977419354838695)</f>
        <v>39.97741935</v>
      </c>
      <c r="AK16" s="10">
        <f>IFERROR(__xludf.DUMMYFUNCTION("""COMPUTED_VALUE"""),0.16049382716049382)</f>
        <v>0.1604938272</v>
      </c>
      <c r="AL16" s="9">
        <f>IFERROR(__xludf.DUMMYFUNCTION("""COMPUTED_VALUE"""),4357.692307692308)</f>
        <v>4357.692308</v>
      </c>
      <c r="AM16" s="9">
        <f t="shared" si="7"/>
        <v>27959.51613</v>
      </c>
      <c r="AN16" s="9" t="str">
        <f>IFERROR(__xludf.DUMMYFUNCTION("""COMPUTED_VALUE"""),"Aplicativo G4 - Indicação")</f>
        <v>Aplicativo G4 - Indicação</v>
      </c>
      <c r="AO16" s="11">
        <f>IFERROR(__xludf.DUMMYFUNCTION("""COMPUTED_VALUE"""),9.0)</f>
        <v>9</v>
      </c>
      <c r="AP16" s="10">
        <f>IFERROR(__xludf.DUMMYFUNCTION("""COMPUTED_VALUE"""),0.8888888888888888)</f>
        <v>0.8888888889</v>
      </c>
      <c r="AQ16" s="14">
        <f>IFERROR(__xludf.DUMMYFUNCTION("""COMPUTED_VALUE"""),7875.0)</f>
        <v>7875</v>
      </c>
      <c r="AR16" s="9">
        <f t="shared" si="8"/>
        <v>63000</v>
      </c>
    </row>
    <row r="17">
      <c r="A17" s="4"/>
      <c r="B17" s="4"/>
      <c r="C17" s="7" t="str">
        <f t="shared" si="1"/>
        <v/>
      </c>
      <c r="D17" s="4" t="str">
        <f t="shared" si="9"/>
        <v/>
      </c>
      <c r="E17" s="4" t="str">
        <f t="array" ref="E17">XLOOKUP(A17,'Dados Funil'!$A:$A,'Dados Funil'!$K:$K,"")</f>
        <v/>
      </c>
      <c r="F17" s="4" t="str">
        <f t="array" ref="F17">XLOOKUP(A17,'Dados Funil'!$A:$A,'Dados Funil'!$L:$L,"")</f>
        <v/>
      </c>
      <c r="G17" s="4"/>
      <c r="H17" s="4"/>
      <c r="I17" s="7" t="str">
        <f t="shared" si="2"/>
        <v/>
      </c>
      <c r="J17" s="4" t="str">
        <f t="shared" si="10"/>
        <v/>
      </c>
      <c r="K17" s="4" t="str">
        <f t="array" ref="K17">XLOOKUP(G17,'Dados Funil'!A:A,'Dados Funil'!O:O,"")</f>
        <v/>
      </c>
      <c r="L17" s="4"/>
      <c r="M17" s="4"/>
      <c r="N17" s="7" t="str">
        <f t="shared" si="3"/>
        <v/>
      </c>
      <c r="O17" s="4" t="str">
        <f t="shared" si="11"/>
        <v/>
      </c>
      <c r="P17" s="4" t="str">
        <f t="array" ref="P17">XLOOKUP(L17,'Dados Funil'!A:A,'Dados Funil'!AM:AM,"")</f>
        <v/>
      </c>
      <c r="Q17" s="4" t="str">
        <f t="array" ref="Q17">XLOOKUP(L17,'Dados Funil'!A:A,'Dados Funil'!AN:AN,"")</f>
        <v/>
      </c>
      <c r="R17" s="4"/>
      <c r="S17" s="4"/>
      <c r="T17" s="7" t="str">
        <f t="shared" si="4"/>
        <v/>
      </c>
      <c r="U17" s="4" t="str">
        <f t="shared" si="12"/>
        <v/>
      </c>
      <c r="V17" s="4" t="str">
        <f t="array" ref="V17">XLOOKUP(R17,'Dados Funil'!$A:$A,'Dados Funil'!$K:$K,"")</f>
        <v/>
      </c>
      <c r="W17" s="4" t="str">
        <f t="array" ref="W17">XLOOKUP(R17,'Dados Funil'!$A:$A,'Dados Funil'!$L:$L,"")</f>
        <v/>
      </c>
      <c r="X17" s="4"/>
      <c r="Y17" s="4"/>
      <c r="Z17" s="7" t="str">
        <f t="shared" si="5"/>
        <v/>
      </c>
      <c r="AA17" s="4" t="str">
        <f t="shared" si="13"/>
        <v/>
      </c>
      <c r="AB17" s="4" t="str">
        <f t="array" ref="AB17">XLOOKUP(X17,'Dados Funil'!A:A,'Dados Funil'!O:O,"")</f>
        <v/>
      </c>
      <c r="AE17" s="7" t="str">
        <f t="shared" si="6"/>
        <v/>
      </c>
      <c r="AG17" s="4" t="str">
        <f t="array" ref="AG17">XLOOKUP(AC17,'Dados Funil'!A:A,'Dados Funil'!AM:AM,"")</f>
        <v/>
      </c>
      <c r="AH17" s="4" t="str">
        <f t="array" ref="AH17">XLOOKUP(AC17,'Dados Funil'!A:A,'Dados Funil'!AN:AN,"")</f>
        <v/>
      </c>
      <c r="AI17" s="9" t="str">
        <f>IFERROR(__xludf.DUMMYFUNCTION("""COMPUTED_VALUE"""),"Indicação - Outros")</f>
        <v>Indicação - Outros</v>
      </c>
      <c r="AJ17" s="11">
        <f>IFERROR(__xludf.DUMMYFUNCTION("""COMPUTED_VALUE"""),7.6467096774193495)</f>
        <v>7.646709677</v>
      </c>
      <c r="AK17" s="10">
        <f>IFERROR(__xludf.DUMMYFUNCTION("""COMPUTED_VALUE"""),0.19469026548672566)</f>
        <v>0.1946902655</v>
      </c>
      <c r="AL17" s="9">
        <f>IFERROR(__xludf.DUMMYFUNCTION("""COMPUTED_VALUE"""),17561.09090909091)</f>
        <v>17561.09091</v>
      </c>
      <c r="AM17" s="9">
        <f t="shared" si="7"/>
        <v>26143.89738</v>
      </c>
      <c r="AN17" s="9" t="str">
        <f>IFERROR(__xludf.DUMMYFUNCTION("""COMPUTED_VALUE"""),"Indicação - Outros")</f>
        <v>Indicação - Outros</v>
      </c>
      <c r="AO17" s="11">
        <f>IFERROR(__xludf.DUMMYFUNCTION("""COMPUTED_VALUE"""),2.0)</f>
        <v>2</v>
      </c>
      <c r="AP17" s="10">
        <f>IFERROR(__xludf.DUMMYFUNCTION("""COMPUTED_VALUE"""),0.5)</f>
        <v>0.5</v>
      </c>
      <c r="AQ17" s="14">
        <f>IFERROR(__xludf.DUMMYFUNCTION("""COMPUTED_VALUE"""),0.0)</f>
        <v>0</v>
      </c>
      <c r="AR17" s="9">
        <f t="shared" si="8"/>
        <v>0</v>
      </c>
    </row>
    <row r="18">
      <c r="A18" s="4"/>
      <c r="B18" s="4"/>
      <c r="C18" s="7" t="str">
        <f t="shared" si="1"/>
        <v/>
      </c>
      <c r="D18" s="4" t="str">
        <f t="shared" si="9"/>
        <v/>
      </c>
      <c r="E18" s="4" t="str">
        <f t="array" ref="E18">XLOOKUP(A18,'Dados Funil'!$A:$A,'Dados Funil'!$K:$K,"")</f>
        <v/>
      </c>
      <c r="F18" s="4" t="str">
        <f t="array" ref="F18">XLOOKUP(A18,'Dados Funil'!$A:$A,'Dados Funil'!$L:$L,"")</f>
        <v/>
      </c>
      <c r="G18" s="4"/>
      <c r="H18" s="4"/>
      <c r="I18" s="7" t="str">
        <f t="shared" si="2"/>
        <v/>
      </c>
      <c r="J18" s="4" t="str">
        <f t="shared" si="10"/>
        <v/>
      </c>
      <c r="K18" s="4" t="str">
        <f t="array" ref="K18">XLOOKUP(G18,'Dados Funil'!A:A,'Dados Funil'!O:O,"")</f>
        <v/>
      </c>
      <c r="L18" s="4"/>
      <c r="M18" s="4"/>
      <c r="N18" s="7" t="str">
        <f t="shared" si="3"/>
        <v/>
      </c>
      <c r="O18" s="4" t="str">
        <f t="shared" si="11"/>
        <v/>
      </c>
      <c r="P18" s="4" t="str">
        <f t="array" ref="P18">XLOOKUP(L18,'Dados Funil'!A:A,'Dados Funil'!AM:AM,"")</f>
        <v/>
      </c>
      <c r="Q18" s="4" t="str">
        <f t="array" ref="Q18">XLOOKUP(L18,'Dados Funil'!A:A,'Dados Funil'!AN:AN,"")</f>
        <v/>
      </c>
      <c r="R18" s="4"/>
      <c r="S18" s="4"/>
      <c r="T18" s="7" t="str">
        <f t="shared" si="4"/>
        <v/>
      </c>
      <c r="U18" s="4" t="str">
        <f t="shared" si="12"/>
        <v/>
      </c>
      <c r="V18" s="4" t="str">
        <f t="array" ref="V18">XLOOKUP(R18,'Dados Funil'!$A:$A,'Dados Funil'!$K:$K,"")</f>
        <v/>
      </c>
      <c r="W18" s="4" t="str">
        <f t="array" ref="W18">XLOOKUP(R18,'Dados Funil'!$A:$A,'Dados Funil'!$L:$L,"")</f>
        <v/>
      </c>
      <c r="X18" s="4"/>
      <c r="Y18" s="4"/>
      <c r="Z18" s="7" t="str">
        <f t="shared" si="5"/>
        <v/>
      </c>
      <c r="AA18" s="4" t="str">
        <f t="shared" si="13"/>
        <v/>
      </c>
      <c r="AB18" s="4" t="str">
        <f t="array" ref="AB18">XLOOKUP(X18,'Dados Funil'!A:A,'Dados Funil'!O:O,"")</f>
        <v/>
      </c>
      <c r="AE18" s="7" t="str">
        <f t="shared" si="6"/>
        <v/>
      </c>
      <c r="AG18" s="4" t="str">
        <f t="array" ref="AG18">XLOOKUP(AC18,'Dados Funil'!A:A,'Dados Funil'!AM:AM,"")</f>
        <v/>
      </c>
      <c r="AH18" s="4" t="str">
        <f t="array" ref="AH18">XLOOKUP(AC18,'Dados Funil'!A:A,'Dados Funil'!AN:AN,"")</f>
        <v/>
      </c>
      <c r="AM18" s="9">
        <f t="shared" si="7"/>
        <v>0</v>
      </c>
      <c r="AR18" s="9">
        <f t="shared" si="8"/>
        <v>0</v>
      </c>
    </row>
    <row r="19">
      <c r="A19" s="4"/>
      <c r="B19" s="4"/>
      <c r="C19" s="7" t="str">
        <f t="shared" si="1"/>
        <v/>
      </c>
      <c r="D19" s="4" t="str">
        <f t="shared" si="9"/>
        <v/>
      </c>
      <c r="E19" s="4" t="str">
        <f t="array" ref="E19">XLOOKUP(A19,'Dados Funil'!$A:$A,'Dados Funil'!$K:$K,"")</f>
        <v/>
      </c>
      <c r="F19" s="4" t="str">
        <f t="array" ref="F19">XLOOKUP(A19,'Dados Funil'!$A:$A,'Dados Funil'!$L:$L,"")</f>
        <v/>
      </c>
      <c r="G19" s="4"/>
      <c r="H19" s="4"/>
      <c r="I19" s="7" t="str">
        <f t="shared" si="2"/>
        <v/>
      </c>
      <c r="J19" s="4" t="str">
        <f t="shared" si="10"/>
        <v/>
      </c>
      <c r="K19" s="4" t="str">
        <f t="array" ref="K19">XLOOKUP(G19,'Dados Funil'!A:A,'Dados Funil'!O:O,"")</f>
        <v/>
      </c>
      <c r="L19" s="4"/>
      <c r="M19" s="4"/>
      <c r="N19" s="7" t="str">
        <f t="shared" si="3"/>
        <v/>
      </c>
      <c r="O19" s="4" t="str">
        <f t="shared" si="11"/>
        <v/>
      </c>
      <c r="P19" s="4" t="str">
        <f t="array" ref="P19">XLOOKUP(L19,'Dados Funil'!A:A,'Dados Funil'!AM:AM,"")</f>
        <v/>
      </c>
      <c r="Q19" s="4" t="str">
        <f t="array" ref="Q19">XLOOKUP(L19,'Dados Funil'!A:A,'Dados Funil'!AN:AN,"")</f>
        <v/>
      </c>
      <c r="R19" s="4"/>
      <c r="S19" s="4"/>
      <c r="T19" s="7" t="str">
        <f t="shared" si="4"/>
        <v/>
      </c>
      <c r="U19" s="4" t="str">
        <f t="shared" si="12"/>
        <v/>
      </c>
      <c r="V19" s="4" t="str">
        <f t="array" ref="V19">XLOOKUP(R19,'Dados Funil'!$A:$A,'Dados Funil'!$K:$K,"")</f>
        <v/>
      </c>
      <c r="W19" s="4" t="str">
        <f t="array" ref="W19">XLOOKUP(R19,'Dados Funil'!$A:$A,'Dados Funil'!$L:$L,"")</f>
        <v/>
      </c>
      <c r="X19" s="4"/>
      <c r="Y19" s="4"/>
      <c r="Z19" s="7" t="str">
        <f t="shared" si="5"/>
        <v/>
      </c>
      <c r="AA19" s="4" t="str">
        <f t="shared" si="13"/>
        <v/>
      </c>
      <c r="AB19" s="4" t="str">
        <f t="array" ref="AB19">XLOOKUP(X19,'Dados Funil'!A:A,'Dados Funil'!O:O,"")</f>
        <v/>
      </c>
      <c r="AE19" s="7" t="str">
        <f t="shared" si="6"/>
        <v/>
      </c>
      <c r="AG19" s="4" t="str">
        <f t="array" ref="AG19">XLOOKUP(AC19,'Dados Funil'!A:A,'Dados Funil'!AM:AM,"")</f>
        <v/>
      </c>
      <c r="AH19" s="4" t="str">
        <f t="array" ref="AH19">XLOOKUP(AC19,'Dados Funil'!A:A,'Dados Funil'!AN:AN,"")</f>
        <v/>
      </c>
      <c r="AM19" s="9">
        <f t="shared" si="7"/>
        <v>0</v>
      </c>
      <c r="AR19" s="9">
        <f t="shared" si="8"/>
        <v>0</v>
      </c>
    </row>
    <row r="20">
      <c r="A20" s="4"/>
      <c r="B20" s="4"/>
      <c r="C20" s="7" t="str">
        <f t="shared" si="1"/>
        <v/>
      </c>
      <c r="D20" s="4" t="str">
        <f t="shared" si="9"/>
        <v/>
      </c>
      <c r="E20" s="4" t="str">
        <f t="array" ref="E20">XLOOKUP(A20,'Dados Funil'!$A:$A,'Dados Funil'!$K:$K,"")</f>
        <v/>
      </c>
      <c r="F20" s="4" t="str">
        <f t="array" ref="F20">XLOOKUP(A20,'Dados Funil'!$A:$A,'Dados Funil'!$L:$L,"")</f>
        <v/>
      </c>
      <c r="G20" s="4"/>
      <c r="H20" s="4"/>
      <c r="I20" s="7" t="str">
        <f t="shared" si="2"/>
        <v/>
      </c>
      <c r="J20" s="4" t="str">
        <f t="shared" si="10"/>
        <v/>
      </c>
      <c r="K20" s="4" t="str">
        <f t="array" ref="K20">XLOOKUP(G20,'Dados Funil'!A:A,'Dados Funil'!O:O,"")</f>
        <v/>
      </c>
      <c r="L20" s="4"/>
      <c r="M20" s="4"/>
      <c r="N20" s="7" t="str">
        <f t="shared" si="3"/>
        <v/>
      </c>
      <c r="O20" s="4" t="str">
        <f t="shared" si="11"/>
        <v/>
      </c>
      <c r="P20" s="4" t="str">
        <f t="array" ref="P20">XLOOKUP(L20,'Dados Funil'!A:A,'Dados Funil'!AM:AM,"")</f>
        <v/>
      </c>
      <c r="Q20" s="4" t="str">
        <f t="array" ref="Q20">XLOOKUP(L20,'Dados Funil'!A:A,'Dados Funil'!AN:AN,"")</f>
        <v/>
      </c>
      <c r="R20" s="4"/>
      <c r="S20" s="4"/>
      <c r="T20" s="7" t="str">
        <f t="shared" si="4"/>
        <v/>
      </c>
      <c r="U20" s="4" t="str">
        <f t="shared" si="12"/>
        <v/>
      </c>
      <c r="V20" s="4" t="str">
        <f t="array" ref="V20">XLOOKUP(R20,'Dados Funil'!$A:$A,'Dados Funil'!$K:$K,"")</f>
        <v/>
      </c>
      <c r="W20" s="4" t="str">
        <f t="array" ref="W20">XLOOKUP(R20,'Dados Funil'!$A:$A,'Dados Funil'!$L:$L,"")</f>
        <v/>
      </c>
      <c r="X20" s="4"/>
      <c r="Y20" s="4"/>
      <c r="Z20" s="7" t="str">
        <f t="shared" si="5"/>
        <v/>
      </c>
      <c r="AA20" s="4" t="str">
        <f t="shared" si="13"/>
        <v/>
      </c>
      <c r="AB20" s="4" t="str">
        <f t="array" ref="AB20">XLOOKUP(X20,'Dados Funil'!A:A,'Dados Funil'!O:O,"")</f>
        <v/>
      </c>
      <c r="AE20" s="7" t="str">
        <f t="shared" si="6"/>
        <v/>
      </c>
      <c r="AG20" s="4" t="str">
        <f t="array" ref="AG20">XLOOKUP(AC20,'Dados Funil'!A:A,'Dados Funil'!AM:AM,"")</f>
        <v/>
      </c>
      <c r="AH20" s="4" t="str">
        <f t="array" ref="AH20">XLOOKUP(AC20,'Dados Funil'!A:A,'Dados Funil'!AN:AN,"")</f>
        <v/>
      </c>
      <c r="AM20" s="9">
        <f t="shared" si="7"/>
        <v>0</v>
      </c>
      <c r="AR20" s="9">
        <f t="shared" si="8"/>
        <v>0</v>
      </c>
    </row>
    <row r="21">
      <c r="A21" s="4"/>
      <c r="B21" s="4"/>
      <c r="C21" s="7" t="str">
        <f t="shared" si="1"/>
        <v/>
      </c>
      <c r="D21" s="4" t="str">
        <f t="shared" si="9"/>
        <v/>
      </c>
      <c r="E21" s="4" t="str">
        <f t="array" ref="E21">XLOOKUP(A21,'Dados Funil'!$A:$A,'Dados Funil'!$K:$K,"")</f>
        <v/>
      </c>
      <c r="F21" s="4" t="str">
        <f t="array" ref="F21">XLOOKUP(A21,'Dados Funil'!$A:$A,'Dados Funil'!$L:$L,"")</f>
        <v/>
      </c>
      <c r="G21" s="4"/>
      <c r="H21" s="4"/>
      <c r="I21" s="7" t="str">
        <f t="shared" si="2"/>
        <v/>
      </c>
      <c r="J21" s="4" t="str">
        <f t="shared" si="10"/>
        <v/>
      </c>
      <c r="K21" s="4" t="str">
        <f t="array" ref="K21">XLOOKUP(G21,'Dados Funil'!A:A,'Dados Funil'!O:O,"")</f>
        <v/>
      </c>
      <c r="L21" s="4"/>
      <c r="M21" s="4"/>
      <c r="N21" s="7" t="str">
        <f t="shared" si="3"/>
        <v/>
      </c>
      <c r="O21" s="4" t="str">
        <f t="shared" si="11"/>
        <v/>
      </c>
      <c r="P21" s="4" t="str">
        <f t="array" ref="P21">XLOOKUP(L21,'Dados Funil'!A:A,'Dados Funil'!AM:AM,"")</f>
        <v/>
      </c>
      <c r="Q21" s="4" t="str">
        <f t="array" ref="Q21">XLOOKUP(L21,'Dados Funil'!A:A,'Dados Funil'!AN:AN,"")</f>
        <v/>
      </c>
      <c r="R21" s="4"/>
      <c r="S21" s="4"/>
      <c r="T21" s="7" t="str">
        <f t="shared" si="4"/>
        <v/>
      </c>
      <c r="U21" s="4" t="str">
        <f t="shared" si="12"/>
        <v/>
      </c>
      <c r="V21" s="4" t="str">
        <f t="array" ref="V21">XLOOKUP(R21,'Dados Funil'!$A:$A,'Dados Funil'!$K:$K,"")</f>
        <v/>
      </c>
      <c r="W21" s="4" t="str">
        <f t="array" ref="W21">XLOOKUP(R21,'Dados Funil'!$A:$A,'Dados Funil'!$L:$L,"")</f>
        <v/>
      </c>
      <c r="X21" s="4"/>
      <c r="Y21" s="4"/>
      <c r="Z21" s="7" t="str">
        <f t="shared" si="5"/>
        <v/>
      </c>
      <c r="AA21" s="4" t="str">
        <f t="shared" si="13"/>
        <v/>
      </c>
      <c r="AB21" s="4" t="str">
        <f t="array" ref="AB21">XLOOKUP(X21,'Dados Funil'!A:A,'Dados Funil'!O:O,"")</f>
        <v/>
      </c>
      <c r="AE21" s="7" t="str">
        <f t="shared" si="6"/>
        <v/>
      </c>
      <c r="AG21" s="4" t="str">
        <f t="array" ref="AG21">XLOOKUP(AC21,'Dados Funil'!A:A,'Dados Funil'!AM:AM,"")</f>
        <v/>
      </c>
      <c r="AH21" s="4" t="str">
        <f t="array" ref="AH21">XLOOKUP(AC21,'Dados Funil'!A:A,'Dados Funil'!AN:AN,"")</f>
        <v/>
      </c>
      <c r="AM21" s="9">
        <f t="shared" si="7"/>
        <v>0</v>
      </c>
      <c r="AR21" s="9">
        <f t="shared" si="8"/>
        <v>0</v>
      </c>
    </row>
    <row r="22">
      <c r="A22" s="4"/>
      <c r="B22" s="4"/>
      <c r="C22" s="7" t="str">
        <f t="shared" si="1"/>
        <v/>
      </c>
      <c r="D22" s="4" t="str">
        <f t="shared" si="9"/>
        <v/>
      </c>
      <c r="E22" s="4" t="str">
        <f t="array" ref="E22">XLOOKUP(A22,'Dados Funil'!$A:$A,'Dados Funil'!$K:$K,"")</f>
        <v/>
      </c>
      <c r="F22" s="4" t="str">
        <f t="array" ref="F22">XLOOKUP(A22,'Dados Funil'!$A:$A,'Dados Funil'!$L:$L,"")</f>
        <v/>
      </c>
      <c r="G22" s="4"/>
      <c r="H22" s="4"/>
      <c r="I22" s="7" t="str">
        <f t="shared" si="2"/>
        <v/>
      </c>
      <c r="J22" s="4" t="str">
        <f t="shared" si="10"/>
        <v/>
      </c>
      <c r="K22" s="4" t="str">
        <f t="array" ref="K22">XLOOKUP(G22,'Dados Funil'!A:A,'Dados Funil'!O:O,"")</f>
        <v/>
      </c>
      <c r="L22" s="4"/>
      <c r="M22" s="4"/>
      <c r="N22" s="7" t="str">
        <f t="shared" si="3"/>
        <v/>
      </c>
      <c r="O22" s="4" t="str">
        <f t="shared" si="11"/>
        <v/>
      </c>
      <c r="P22" s="4" t="str">
        <f t="array" ref="P22">XLOOKUP(L22,'Dados Funil'!A:A,'Dados Funil'!AM:AM,"")</f>
        <v/>
      </c>
      <c r="Q22" s="4" t="str">
        <f t="array" ref="Q22">XLOOKUP(L22,'Dados Funil'!A:A,'Dados Funil'!AN:AN,"")</f>
        <v/>
      </c>
      <c r="R22" s="4"/>
      <c r="S22" s="4"/>
      <c r="T22" s="7" t="str">
        <f t="shared" si="4"/>
        <v/>
      </c>
      <c r="U22" s="4" t="str">
        <f t="shared" si="12"/>
        <v/>
      </c>
      <c r="V22" s="4" t="str">
        <f t="array" ref="V22">XLOOKUP(R22,'Dados Funil'!$A:$A,'Dados Funil'!$K:$K,"")</f>
        <v/>
      </c>
      <c r="W22" s="4" t="str">
        <f t="array" ref="W22">XLOOKUP(R22,'Dados Funil'!$A:$A,'Dados Funil'!$L:$L,"")</f>
        <v/>
      </c>
      <c r="X22" s="4"/>
      <c r="Y22" s="4"/>
      <c r="Z22" s="7" t="str">
        <f t="shared" si="5"/>
        <v/>
      </c>
      <c r="AA22" s="4" t="str">
        <f t="shared" si="13"/>
        <v/>
      </c>
      <c r="AB22" s="4" t="str">
        <f t="array" ref="AB22">XLOOKUP(X22,'Dados Funil'!A:A,'Dados Funil'!O:O,"")</f>
        <v/>
      </c>
      <c r="AE22" s="7" t="str">
        <f t="shared" si="6"/>
        <v/>
      </c>
      <c r="AG22" s="4" t="str">
        <f t="array" ref="AG22">XLOOKUP(AC22,'Dados Funil'!A:A,'Dados Funil'!AM:AM,"")</f>
        <v/>
      </c>
      <c r="AH22" s="4" t="str">
        <f t="array" ref="AH22">XLOOKUP(AC22,'Dados Funil'!A:A,'Dados Funil'!AN:AN,"")</f>
        <v/>
      </c>
      <c r="AM22" s="9">
        <f t="shared" si="7"/>
        <v>0</v>
      </c>
      <c r="AR22" s="9">
        <f t="shared" si="8"/>
        <v>0</v>
      </c>
    </row>
    <row r="23">
      <c r="A23" s="4"/>
      <c r="B23" s="4"/>
      <c r="C23" s="7" t="str">
        <f t="shared" si="1"/>
        <v/>
      </c>
      <c r="D23" s="4" t="str">
        <f t="shared" si="9"/>
        <v/>
      </c>
      <c r="E23" s="4" t="str">
        <f t="array" ref="E23">XLOOKUP(A23,'Dados Funil'!$A:$A,'Dados Funil'!$K:$K,"")</f>
        <v/>
      </c>
      <c r="F23" s="4" t="str">
        <f t="array" ref="F23">XLOOKUP(A23,'Dados Funil'!$A:$A,'Dados Funil'!$L:$L,"")</f>
        <v/>
      </c>
      <c r="G23" s="4"/>
      <c r="H23" s="4"/>
      <c r="I23" s="7" t="str">
        <f t="shared" si="2"/>
        <v/>
      </c>
      <c r="J23" s="4" t="str">
        <f t="shared" si="10"/>
        <v/>
      </c>
      <c r="K23" s="4" t="str">
        <f t="array" ref="K23">XLOOKUP(G23,'Dados Funil'!A:A,'Dados Funil'!O:O,"")</f>
        <v/>
      </c>
      <c r="L23" s="4"/>
      <c r="M23" s="4"/>
      <c r="N23" s="7" t="str">
        <f t="shared" si="3"/>
        <v/>
      </c>
      <c r="O23" s="4" t="str">
        <f t="shared" si="11"/>
        <v/>
      </c>
      <c r="P23" s="4" t="str">
        <f t="array" ref="P23">XLOOKUP(L23,'Dados Funil'!A:A,'Dados Funil'!AM:AM,"")</f>
        <v/>
      </c>
      <c r="Q23" s="4" t="str">
        <f t="array" ref="Q23">XLOOKUP(L23,'Dados Funil'!A:A,'Dados Funil'!AN:AN,"")</f>
        <v/>
      </c>
      <c r="R23" s="4"/>
      <c r="S23" s="4"/>
      <c r="T23" s="7" t="str">
        <f t="shared" si="4"/>
        <v/>
      </c>
      <c r="U23" s="4" t="str">
        <f t="shared" si="12"/>
        <v/>
      </c>
      <c r="V23" s="4" t="str">
        <f t="array" ref="V23">XLOOKUP(R23,'Dados Funil'!$A:$A,'Dados Funil'!$K:$K,"")</f>
        <v/>
      </c>
      <c r="W23" s="4" t="str">
        <f t="array" ref="W23">XLOOKUP(R23,'Dados Funil'!$A:$A,'Dados Funil'!$L:$L,"")</f>
        <v/>
      </c>
      <c r="X23" s="4"/>
      <c r="Y23" s="4"/>
      <c r="Z23" s="7" t="str">
        <f t="shared" si="5"/>
        <v/>
      </c>
      <c r="AA23" s="4" t="str">
        <f t="shared" si="13"/>
        <v/>
      </c>
      <c r="AB23" s="4" t="str">
        <f t="array" ref="AB23">XLOOKUP(X23,'Dados Funil'!A:A,'Dados Funil'!O:O,"")</f>
        <v/>
      </c>
      <c r="AE23" s="7" t="str">
        <f t="shared" si="6"/>
        <v/>
      </c>
      <c r="AG23" s="4" t="str">
        <f t="array" ref="AG23">XLOOKUP(AC23,'Dados Funil'!A:A,'Dados Funil'!AM:AM,"")</f>
        <v/>
      </c>
      <c r="AH23" s="4" t="str">
        <f t="array" ref="AH23">XLOOKUP(AC23,'Dados Funil'!A:A,'Dados Funil'!AN:AN,"")</f>
        <v/>
      </c>
      <c r="AM23" s="9">
        <f t="shared" si="7"/>
        <v>0</v>
      </c>
      <c r="AR23" s="9">
        <f t="shared" si="8"/>
        <v>0</v>
      </c>
    </row>
    <row r="24">
      <c r="A24" s="4"/>
      <c r="B24" s="4"/>
      <c r="C24" s="7" t="str">
        <f t="shared" si="1"/>
        <v/>
      </c>
      <c r="D24" s="4" t="str">
        <f t="shared" si="9"/>
        <v/>
      </c>
      <c r="E24" s="4" t="str">
        <f t="array" ref="E24">XLOOKUP(A24,'Dados Funil'!$A:$A,'Dados Funil'!$K:$K,"")</f>
        <v/>
      </c>
      <c r="F24" s="4" t="str">
        <f t="array" ref="F24">XLOOKUP(A24,'Dados Funil'!$A:$A,'Dados Funil'!$L:$L,"")</f>
        <v/>
      </c>
      <c r="G24" s="4"/>
      <c r="H24" s="4"/>
      <c r="I24" s="7" t="str">
        <f t="shared" si="2"/>
        <v/>
      </c>
      <c r="J24" s="4" t="str">
        <f t="shared" si="10"/>
        <v/>
      </c>
      <c r="K24" s="4" t="str">
        <f t="array" ref="K24">XLOOKUP(G24,'Dados Funil'!A:A,'Dados Funil'!O:O,"")</f>
        <v/>
      </c>
      <c r="L24" s="4"/>
      <c r="M24" s="4"/>
      <c r="N24" s="7" t="str">
        <f t="shared" si="3"/>
        <v/>
      </c>
      <c r="O24" s="4" t="str">
        <f t="shared" si="11"/>
        <v/>
      </c>
      <c r="P24" s="4" t="str">
        <f t="array" ref="P24">XLOOKUP(L24,'Dados Funil'!A:A,'Dados Funil'!AM:AM,"")</f>
        <v/>
      </c>
      <c r="Q24" s="4" t="str">
        <f t="array" ref="Q24">XLOOKUP(L24,'Dados Funil'!A:A,'Dados Funil'!AN:AN,"")</f>
        <v/>
      </c>
      <c r="T24" s="7" t="str">
        <f t="shared" si="4"/>
        <v/>
      </c>
      <c r="U24" s="4" t="str">
        <f t="shared" si="12"/>
        <v/>
      </c>
      <c r="V24" s="4" t="str">
        <f t="array" ref="V24">XLOOKUP(R24,'Dados Funil'!$A:$A,'Dados Funil'!$K:$K,"")</f>
        <v/>
      </c>
      <c r="W24" s="4" t="str">
        <f t="array" ref="W24">XLOOKUP(R24,'Dados Funil'!$A:$A,'Dados Funil'!$L:$L,"")</f>
        <v/>
      </c>
      <c r="X24" s="4"/>
      <c r="Y24" s="4"/>
      <c r="Z24" s="7" t="str">
        <f t="shared" si="5"/>
        <v/>
      </c>
      <c r="AA24" s="4" t="str">
        <f t="shared" si="13"/>
        <v/>
      </c>
      <c r="AB24" s="4" t="str">
        <f t="array" ref="AB24">XLOOKUP(X24,'Dados Funil'!A:A,'Dados Funil'!O:O,"")</f>
        <v/>
      </c>
      <c r="AE24" s="7" t="str">
        <f t="shared" si="6"/>
        <v/>
      </c>
      <c r="AG24" s="4" t="str">
        <f t="array" ref="AG24">XLOOKUP(AC24,'Dados Funil'!A:A,'Dados Funil'!AM:AM,"")</f>
        <v/>
      </c>
      <c r="AH24" s="4" t="str">
        <f t="array" ref="AH24">XLOOKUP(AC24,'Dados Funil'!A:A,'Dados Funil'!AN:AN,"")</f>
        <v/>
      </c>
      <c r="AM24" s="9">
        <f t="shared" si="7"/>
        <v>0</v>
      </c>
      <c r="AR24" s="9">
        <f t="shared" si="8"/>
        <v>0</v>
      </c>
    </row>
    <row r="25">
      <c r="A25" s="4"/>
      <c r="B25" s="4"/>
      <c r="C25" s="7" t="str">
        <f t="shared" si="1"/>
        <v/>
      </c>
      <c r="D25" s="4" t="str">
        <f t="shared" si="9"/>
        <v/>
      </c>
      <c r="E25" s="4" t="str">
        <f t="array" ref="E25">XLOOKUP(A25,'Dados Funil'!$A:$A,'Dados Funil'!$K:$K,"")</f>
        <v/>
      </c>
      <c r="F25" s="4" t="str">
        <f t="array" ref="F25">XLOOKUP(A25,'Dados Funil'!$A:$A,'Dados Funil'!$L:$L,"")</f>
        <v/>
      </c>
      <c r="G25" s="4"/>
      <c r="H25" s="4"/>
      <c r="I25" s="7" t="str">
        <f t="shared" si="2"/>
        <v/>
      </c>
      <c r="J25" s="4" t="str">
        <f t="shared" si="10"/>
        <v/>
      </c>
      <c r="K25" s="4" t="str">
        <f t="array" ref="K25">XLOOKUP(G25,'Dados Funil'!A:A,'Dados Funil'!O:O,"")</f>
        <v/>
      </c>
      <c r="L25" s="4"/>
      <c r="M25" s="4"/>
      <c r="N25" s="7" t="str">
        <f t="shared" si="3"/>
        <v/>
      </c>
      <c r="O25" s="4" t="str">
        <f t="shared" si="11"/>
        <v/>
      </c>
      <c r="P25" s="4" t="str">
        <f t="array" ref="P25">XLOOKUP(L25,'Dados Funil'!A:A,'Dados Funil'!AM:AM,"")</f>
        <v/>
      </c>
      <c r="Q25" s="4" t="str">
        <f t="array" ref="Q25">XLOOKUP(L25,'Dados Funil'!A:A,'Dados Funil'!AN:AN,"")</f>
        <v/>
      </c>
      <c r="T25" s="7" t="str">
        <f t="shared" si="4"/>
        <v/>
      </c>
      <c r="U25" s="4" t="str">
        <f t="shared" si="12"/>
        <v/>
      </c>
      <c r="V25" s="4" t="str">
        <f t="array" ref="V25">XLOOKUP(R25,'Dados Funil'!$A:$A,'Dados Funil'!$K:$K,"")</f>
        <v/>
      </c>
      <c r="W25" s="4" t="str">
        <f t="array" ref="W25">XLOOKUP(R25,'Dados Funil'!$A:$A,'Dados Funil'!$L:$L,"")</f>
        <v/>
      </c>
      <c r="X25" s="4"/>
      <c r="Y25" s="4"/>
      <c r="Z25" s="7" t="str">
        <f t="shared" si="5"/>
        <v/>
      </c>
      <c r="AA25" s="4" t="str">
        <f t="shared" si="13"/>
        <v/>
      </c>
      <c r="AB25" s="4" t="str">
        <f t="array" ref="AB25">XLOOKUP(X25,'Dados Funil'!A:A,'Dados Funil'!O:O,"")</f>
        <v/>
      </c>
      <c r="AE25" s="7" t="str">
        <f t="shared" si="6"/>
        <v/>
      </c>
      <c r="AG25" s="4" t="str">
        <f t="array" ref="AG25">XLOOKUP(AC25,'Dados Funil'!A:A,'Dados Funil'!AM:AM,"")</f>
        <v/>
      </c>
      <c r="AH25" s="4" t="str">
        <f t="array" ref="AH25">XLOOKUP(AC25,'Dados Funil'!A:A,'Dados Funil'!AN:AN,"")</f>
        <v/>
      </c>
      <c r="AM25" s="9">
        <f t="shared" si="7"/>
        <v>0</v>
      </c>
      <c r="AR25" s="9">
        <f t="shared" si="8"/>
        <v>0</v>
      </c>
    </row>
    <row r="26">
      <c r="A26" s="4"/>
      <c r="B26" s="4"/>
      <c r="C26" s="7" t="str">
        <f t="shared" si="1"/>
        <v/>
      </c>
      <c r="D26" s="4" t="str">
        <f t="shared" si="9"/>
        <v/>
      </c>
      <c r="E26" s="4" t="str">
        <f t="array" ref="E26">XLOOKUP(A26,'Dados Funil'!$A:$A,'Dados Funil'!$K:$K,"")</f>
        <v/>
      </c>
      <c r="F26" s="4" t="str">
        <f t="array" ref="F26">XLOOKUP(A26,'Dados Funil'!$A:$A,'Dados Funil'!$L:$L,"")</f>
        <v/>
      </c>
      <c r="G26" s="4"/>
      <c r="H26" s="4"/>
      <c r="I26" s="7" t="str">
        <f t="shared" si="2"/>
        <v/>
      </c>
      <c r="J26" s="4" t="str">
        <f t="shared" si="10"/>
        <v/>
      </c>
      <c r="K26" s="4" t="str">
        <f t="array" ref="K26">XLOOKUP(G26,'Dados Funil'!A:A,'Dados Funil'!O:O,"")</f>
        <v/>
      </c>
      <c r="L26" s="4"/>
      <c r="M26" s="4"/>
      <c r="N26" s="7" t="str">
        <f t="shared" si="3"/>
        <v/>
      </c>
      <c r="O26" s="4" t="str">
        <f t="shared" si="11"/>
        <v/>
      </c>
      <c r="P26" s="4" t="str">
        <f t="array" ref="P26">XLOOKUP(L26,'Dados Funil'!A:A,'Dados Funil'!AM:AM,"")</f>
        <v/>
      </c>
      <c r="Q26" s="4" t="str">
        <f t="array" ref="Q26">XLOOKUP(L26,'Dados Funil'!A:A,'Dados Funil'!AN:AN,"")</f>
        <v/>
      </c>
      <c r="T26" s="7" t="str">
        <f t="shared" si="4"/>
        <v/>
      </c>
      <c r="U26" s="4" t="str">
        <f t="shared" si="12"/>
        <v/>
      </c>
      <c r="V26" s="4" t="str">
        <f t="array" ref="V26">XLOOKUP(R26,'Dados Funil'!$A:$A,'Dados Funil'!$K:$K,"")</f>
        <v/>
      </c>
      <c r="W26" s="4" t="str">
        <f t="array" ref="W26">XLOOKUP(R26,'Dados Funil'!$A:$A,'Dados Funil'!$L:$L,"")</f>
        <v/>
      </c>
      <c r="X26" s="4"/>
      <c r="Y26" s="4"/>
      <c r="Z26" s="7" t="str">
        <f t="shared" si="5"/>
        <v/>
      </c>
      <c r="AA26" s="4" t="str">
        <f t="shared" si="13"/>
        <v/>
      </c>
      <c r="AB26" s="4" t="str">
        <f t="array" ref="AB26">XLOOKUP(X26,'Dados Funil'!A:A,'Dados Funil'!O:O,"")</f>
        <v/>
      </c>
      <c r="AE26" s="7" t="str">
        <f t="shared" si="6"/>
        <v/>
      </c>
      <c r="AG26" s="4" t="str">
        <f t="array" ref="AG26">XLOOKUP(AC26,'Dados Funil'!A:A,'Dados Funil'!AM:AM,"")</f>
        <v/>
      </c>
      <c r="AH26" s="4" t="str">
        <f t="array" ref="AH26">XLOOKUP(AC26,'Dados Funil'!A:A,'Dados Funil'!AN:AN,"")</f>
        <v/>
      </c>
      <c r="AM26" s="9">
        <f t="shared" si="7"/>
        <v>0</v>
      </c>
      <c r="AR26" s="9">
        <f t="shared" si="8"/>
        <v>0</v>
      </c>
    </row>
    <row r="27">
      <c r="A27" s="4"/>
      <c r="B27" s="4"/>
      <c r="C27" s="7" t="str">
        <f t="shared" si="1"/>
        <v/>
      </c>
      <c r="D27" s="4" t="str">
        <f t="shared" si="9"/>
        <v/>
      </c>
      <c r="E27" s="4" t="str">
        <f t="array" ref="E27">XLOOKUP(A27,'Dados Funil'!$A:$A,'Dados Funil'!$K:$K,"")</f>
        <v/>
      </c>
      <c r="F27" s="4" t="str">
        <f t="array" ref="F27">XLOOKUP(A27,'Dados Funil'!$A:$A,'Dados Funil'!$L:$L,"")</f>
        <v/>
      </c>
      <c r="G27" s="4"/>
      <c r="H27" s="4"/>
      <c r="I27" s="7" t="str">
        <f t="shared" si="2"/>
        <v/>
      </c>
      <c r="J27" s="4" t="str">
        <f t="shared" si="10"/>
        <v/>
      </c>
      <c r="K27" s="4" t="str">
        <f t="array" ref="K27">XLOOKUP(G27,'Dados Funil'!A:A,'Dados Funil'!O:O,"")</f>
        <v/>
      </c>
      <c r="L27" s="4"/>
      <c r="M27" s="4"/>
      <c r="N27" s="7" t="str">
        <f t="shared" si="3"/>
        <v/>
      </c>
      <c r="O27" s="4" t="str">
        <f t="shared" si="11"/>
        <v/>
      </c>
      <c r="P27" s="4" t="str">
        <f t="array" ref="P27">XLOOKUP(L27,'Dados Funil'!A:A,'Dados Funil'!AM:AM,"")</f>
        <v/>
      </c>
      <c r="Q27" s="4" t="str">
        <f t="array" ref="Q27">XLOOKUP(L27,'Dados Funil'!A:A,'Dados Funil'!AN:AN,"")</f>
        <v/>
      </c>
      <c r="T27" s="7" t="str">
        <f t="shared" si="4"/>
        <v/>
      </c>
      <c r="U27" s="4" t="str">
        <f t="shared" si="12"/>
        <v/>
      </c>
      <c r="V27" s="4" t="str">
        <f t="array" ref="V27">XLOOKUP(R27,'Dados Funil'!$A:$A,'Dados Funil'!$K:$K,"")</f>
        <v/>
      </c>
      <c r="W27" s="4" t="str">
        <f t="array" ref="W27">XLOOKUP(R27,'Dados Funil'!$A:$A,'Dados Funil'!$L:$L,"")</f>
        <v/>
      </c>
      <c r="X27" s="4"/>
      <c r="Y27" s="4"/>
      <c r="Z27" s="7" t="str">
        <f t="shared" si="5"/>
        <v/>
      </c>
      <c r="AA27" s="4" t="str">
        <f t="shared" si="13"/>
        <v/>
      </c>
      <c r="AB27" s="4" t="str">
        <f t="array" ref="AB27">XLOOKUP(X27,'Dados Funil'!A:A,'Dados Funil'!O:O,"")</f>
        <v/>
      </c>
      <c r="AE27" s="7" t="str">
        <f t="shared" si="6"/>
        <v/>
      </c>
      <c r="AG27" s="4" t="str">
        <f t="array" ref="AG27">XLOOKUP(AC27,'Dados Funil'!A:A,'Dados Funil'!AM:AM,"")</f>
        <v/>
      </c>
      <c r="AH27" s="4" t="str">
        <f t="array" ref="AH27">XLOOKUP(AC27,'Dados Funil'!A:A,'Dados Funil'!AN:AN,"")</f>
        <v/>
      </c>
      <c r="AM27" s="9">
        <f t="shared" si="7"/>
        <v>0</v>
      </c>
      <c r="AR27" s="9">
        <f t="shared" si="8"/>
        <v>0</v>
      </c>
    </row>
    <row r="28">
      <c r="A28" s="4"/>
      <c r="B28" s="4"/>
      <c r="C28" s="7" t="str">
        <f t="shared" si="1"/>
        <v/>
      </c>
      <c r="D28" s="4" t="str">
        <f t="shared" si="9"/>
        <v/>
      </c>
      <c r="E28" s="4" t="str">
        <f t="array" ref="E28">XLOOKUP(A28,'Dados Funil'!$A:$A,'Dados Funil'!$K:$K,"")</f>
        <v/>
      </c>
      <c r="F28" s="4" t="str">
        <f t="array" ref="F28">XLOOKUP(A28,'Dados Funil'!$A:$A,'Dados Funil'!$L:$L,"")</f>
        <v/>
      </c>
      <c r="G28" s="4"/>
      <c r="H28" s="4"/>
      <c r="I28" s="7" t="str">
        <f t="shared" si="2"/>
        <v/>
      </c>
      <c r="J28" s="4" t="str">
        <f t="shared" si="10"/>
        <v/>
      </c>
      <c r="K28" s="4" t="str">
        <f t="array" ref="K28">XLOOKUP(G28,'Dados Funil'!A:A,'Dados Funil'!O:O,"")</f>
        <v/>
      </c>
      <c r="L28" s="4"/>
      <c r="M28" s="4"/>
      <c r="N28" s="7" t="str">
        <f t="shared" si="3"/>
        <v/>
      </c>
      <c r="O28" s="4" t="str">
        <f t="shared" si="11"/>
        <v/>
      </c>
      <c r="P28" s="4" t="str">
        <f t="array" ref="P28">XLOOKUP(L28,'Dados Funil'!A:A,'Dados Funil'!AM:AM,"")</f>
        <v/>
      </c>
      <c r="Q28" s="4" t="str">
        <f t="array" ref="Q28">XLOOKUP(L28,'Dados Funil'!A:A,'Dados Funil'!AN:AN,"")</f>
        <v/>
      </c>
      <c r="T28" s="7" t="str">
        <f t="shared" si="4"/>
        <v/>
      </c>
      <c r="U28" s="4" t="str">
        <f t="shared" si="12"/>
        <v/>
      </c>
      <c r="V28" s="4" t="str">
        <f t="array" ref="V28">XLOOKUP(R28,'Dados Funil'!$A:$A,'Dados Funil'!$K:$K,"")</f>
        <v/>
      </c>
      <c r="W28" s="4" t="str">
        <f t="array" ref="W28">XLOOKUP(R28,'Dados Funil'!$A:$A,'Dados Funil'!$L:$L,"")</f>
        <v/>
      </c>
      <c r="X28" s="4"/>
      <c r="Y28" s="4"/>
      <c r="Z28" s="7" t="str">
        <f t="shared" si="5"/>
        <v/>
      </c>
      <c r="AA28" s="4" t="str">
        <f t="shared" si="13"/>
        <v/>
      </c>
      <c r="AB28" s="4" t="str">
        <f t="array" ref="AB28">XLOOKUP(X28,'Dados Funil'!A:A,'Dados Funil'!O:O,"")</f>
        <v/>
      </c>
      <c r="AE28" s="7" t="str">
        <f t="shared" si="6"/>
        <v/>
      </c>
      <c r="AG28" s="4" t="str">
        <f t="array" ref="AG28">XLOOKUP(AC28,'Dados Funil'!A:A,'Dados Funil'!AM:AM,"")</f>
        <v/>
      </c>
      <c r="AH28" s="4" t="str">
        <f t="array" ref="AH28">XLOOKUP(AC28,'Dados Funil'!A:A,'Dados Funil'!AN:AN,"")</f>
        <v/>
      </c>
      <c r="AM28" s="9">
        <f t="shared" si="7"/>
        <v>0</v>
      </c>
      <c r="AR28" s="9">
        <f t="shared" si="8"/>
        <v>0</v>
      </c>
    </row>
    <row r="29">
      <c r="A29" s="4"/>
      <c r="B29" s="4"/>
      <c r="C29" s="7" t="str">
        <f t="shared" si="1"/>
        <v/>
      </c>
      <c r="D29" s="4" t="str">
        <f t="shared" si="9"/>
        <v/>
      </c>
      <c r="E29" s="4" t="str">
        <f t="array" ref="E29">XLOOKUP(A29,'Dados Funil'!$A:$A,'Dados Funil'!$K:$K,"")</f>
        <v/>
      </c>
      <c r="F29" s="4" t="str">
        <f t="array" ref="F29">XLOOKUP(A29,'Dados Funil'!$A:$A,'Dados Funil'!$L:$L,"")</f>
        <v/>
      </c>
      <c r="G29" s="4"/>
      <c r="H29" s="4"/>
      <c r="I29" s="7" t="str">
        <f t="shared" si="2"/>
        <v/>
      </c>
      <c r="J29" s="4" t="str">
        <f t="shared" si="10"/>
        <v/>
      </c>
      <c r="K29" s="4" t="str">
        <f t="array" ref="K29">XLOOKUP(G29,'Dados Funil'!A:A,'Dados Funil'!O:O,"")</f>
        <v/>
      </c>
      <c r="L29" s="4"/>
      <c r="M29" s="4"/>
      <c r="N29" s="7" t="str">
        <f t="shared" si="3"/>
        <v/>
      </c>
      <c r="O29" s="4" t="str">
        <f t="shared" si="11"/>
        <v/>
      </c>
      <c r="P29" s="4" t="str">
        <f t="array" ref="P29">XLOOKUP(L29,'Dados Funil'!A:A,'Dados Funil'!AM:AM,"")</f>
        <v/>
      </c>
      <c r="Q29" s="4" t="str">
        <f t="array" ref="Q29">XLOOKUP(L29,'Dados Funil'!A:A,'Dados Funil'!AN:AN,"")</f>
        <v/>
      </c>
      <c r="T29" s="7" t="str">
        <f t="shared" si="4"/>
        <v/>
      </c>
      <c r="U29" s="4" t="str">
        <f t="shared" si="12"/>
        <v/>
      </c>
      <c r="V29" s="4" t="str">
        <f t="array" ref="V29">XLOOKUP(R29,'Dados Funil'!$A:$A,'Dados Funil'!$K:$K,"")</f>
        <v/>
      </c>
      <c r="W29" s="4" t="str">
        <f t="array" ref="W29">XLOOKUP(R29,'Dados Funil'!$A:$A,'Dados Funil'!$L:$L,"")</f>
        <v/>
      </c>
      <c r="X29" s="4"/>
      <c r="Y29" s="4"/>
      <c r="Z29" s="7" t="str">
        <f t="shared" si="5"/>
        <v/>
      </c>
      <c r="AA29" s="4" t="str">
        <f t="shared" si="13"/>
        <v/>
      </c>
      <c r="AB29" s="4" t="str">
        <f t="array" ref="AB29">XLOOKUP(X29,'Dados Funil'!A:A,'Dados Funil'!O:O,"")</f>
        <v/>
      </c>
      <c r="AE29" s="7" t="str">
        <f t="shared" si="6"/>
        <v/>
      </c>
      <c r="AG29" s="4" t="str">
        <f t="array" ref="AG29">XLOOKUP(AC29,'Dados Funil'!A:A,'Dados Funil'!AM:AM,"")</f>
        <v/>
      </c>
      <c r="AH29" s="4" t="str">
        <f t="array" ref="AH29">XLOOKUP(AC29,'Dados Funil'!A:A,'Dados Funil'!AN:AN,"")</f>
        <v/>
      </c>
      <c r="AM29" s="9">
        <f t="shared" si="7"/>
        <v>0</v>
      </c>
      <c r="AR29" s="9">
        <f t="shared" si="8"/>
        <v>0</v>
      </c>
    </row>
    <row r="30">
      <c r="A30" s="4"/>
      <c r="B30" s="4"/>
      <c r="C30" s="7" t="str">
        <f t="shared" si="1"/>
        <v/>
      </c>
      <c r="D30" s="4" t="str">
        <f t="shared" si="9"/>
        <v/>
      </c>
      <c r="E30" s="4" t="str">
        <f t="array" ref="E30">XLOOKUP(A30,'Dados Funil'!$A:$A,'Dados Funil'!$K:$K,"")</f>
        <v/>
      </c>
      <c r="F30" s="4" t="str">
        <f t="array" ref="F30">XLOOKUP(A30,'Dados Funil'!$A:$A,'Dados Funil'!$L:$L,"")</f>
        <v/>
      </c>
      <c r="G30" s="4"/>
      <c r="H30" s="4"/>
      <c r="I30" s="7" t="str">
        <f t="shared" si="2"/>
        <v/>
      </c>
      <c r="J30" s="4" t="str">
        <f t="shared" si="10"/>
        <v/>
      </c>
      <c r="K30" s="4" t="str">
        <f t="array" ref="K30">XLOOKUP(G30,'Dados Funil'!A:A,'Dados Funil'!O:O,"")</f>
        <v/>
      </c>
      <c r="L30" s="4"/>
      <c r="M30" s="4"/>
      <c r="N30" s="7" t="str">
        <f t="shared" si="3"/>
        <v/>
      </c>
      <c r="O30" s="4" t="str">
        <f t="shared" si="11"/>
        <v/>
      </c>
      <c r="P30" s="4" t="str">
        <f t="array" ref="P30">XLOOKUP(L30,'Dados Funil'!A:A,'Dados Funil'!AM:AM,"")</f>
        <v/>
      </c>
      <c r="Q30" s="4" t="str">
        <f t="array" ref="Q30">XLOOKUP(L30,'Dados Funil'!A:A,'Dados Funil'!AN:AN,"")</f>
        <v/>
      </c>
      <c r="T30" s="7" t="str">
        <f t="shared" si="4"/>
        <v/>
      </c>
      <c r="U30" s="4" t="str">
        <f t="shared" si="12"/>
        <v/>
      </c>
      <c r="V30" s="4" t="str">
        <f t="array" ref="V30">XLOOKUP(R30,'Dados Funil'!$A:$A,'Dados Funil'!$K:$K,"")</f>
        <v/>
      </c>
      <c r="W30" s="4" t="str">
        <f t="array" ref="W30">XLOOKUP(R30,'Dados Funil'!$A:$A,'Dados Funil'!$L:$L,"")</f>
        <v/>
      </c>
      <c r="X30" s="4"/>
      <c r="Y30" s="4"/>
      <c r="Z30" s="7" t="str">
        <f t="shared" si="5"/>
        <v/>
      </c>
      <c r="AA30" s="4" t="str">
        <f t="shared" si="13"/>
        <v/>
      </c>
      <c r="AB30" s="4" t="str">
        <f t="array" ref="AB30">XLOOKUP(X30,'Dados Funil'!A:A,'Dados Funil'!O:O,"")</f>
        <v/>
      </c>
      <c r="AE30" s="7" t="str">
        <f t="shared" si="6"/>
        <v/>
      </c>
      <c r="AG30" s="4" t="str">
        <f t="array" ref="AG30">XLOOKUP(AC30,'Dados Funil'!A:A,'Dados Funil'!AM:AM,"")</f>
        <v/>
      </c>
      <c r="AH30" s="4" t="str">
        <f t="array" ref="AH30">XLOOKUP(AC30,'Dados Funil'!A:A,'Dados Funil'!AN:AN,"")</f>
        <v/>
      </c>
      <c r="AM30" s="9">
        <f t="shared" si="7"/>
        <v>0</v>
      </c>
      <c r="AR30" s="9">
        <f t="shared" si="8"/>
        <v>0</v>
      </c>
    </row>
    <row r="31">
      <c r="A31" s="4"/>
      <c r="B31" s="4"/>
      <c r="C31" s="7" t="str">
        <f t="shared" si="1"/>
        <v/>
      </c>
      <c r="D31" s="4" t="str">
        <f t="shared" si="9"/>
        <v/>
      </c>
      <c r="E31" s="4" t="str">
        <f t="array" ref="E31">XLOOKUP(A31,'Dados Funil'!$A:$A,'Dados Funil'!$K:$K,"")</f>
        <v/>
      </c>
      <c r="F31" s="4" t="str">
        <f t="array" ref="F31">XLOOKUP(A31,'Dados Funil'!$A:$A,'Dados Funil'!$L:$L,"")</f>
        <v/>
      </c>
      <c r="G31" s="4"/>
      <c r="H31" s="4"/>
      <c r="I31" s="7" t="str">
        <f t="shared" si="2"/>
        <v/>
      </c>
      <c r="J31" s="4" t="str">
        <f t="shared" si="10"/>
        <v/>
      </c>
      <c r="K31" s="4" t="str">
        <f t="array" ref="K31">XLOOKUP(G31,'Dados Funil'!A:A,'Dados Funil'!O:O,"")</f>
        <v/>
      </c>
      <c r="L31" s="4"/>
      <c r="M31" s="4"/>
      <c r="N31" s="7" t="str">
        <f t="shared" si="3"/>
        <v/>
      </c>
      <c r="O31" s="4" t="str">
        <f t="shared" si="11"/>
        <v/>
      </c>
      <c r="P31" s="4" t="str">
        <f t="array" ref="P31">XLOOKUP(L31,'Dados Funil'!A:A,'Dados Funil'!AM:AM,"")</f>
        <v/>
      </c>
      <c r="Q31" s="4" t="str">
        <f t="array" ref="Q31">XLOOKUP(L31,'Dados Funil'!A:A,'Dados Funil'!AN:AN,"")</f>
        <v/>
      </c>
      <c r="T31" s="7" t="str">
        <f t="shared" si="4"/>
        <v/>
      </c>
      <c r="U31" s="4" t="str">
        <f t="shared" si="12"/>
        <v/>
      </c>
      <c r="V31" s="4" t="str">
        <f t="array" ref="V31">XLOOKUP(R31,'Dados Funil'!$A:$A,'Dados Funil'!$K:$K,"")</f>
        <v/>
      </c>
      <c r="W31" s="4" t="str">
        <f t="array" ref="W31">XLOOKUP(R31,'Dados Funil'!$A:$A,'Dados Funil'!$L:$L,"")</f>
        <v/>
      </c>
      <c r="X31" s="4"/>
      <c r="Y31" s="4"/>
      <c r="Z31" s="7" t="str">
        <f t="shared" si="5"/>
        <v/>
      </c>
      <c r="AA31" s="4" t="str">
        <f t="shared" si="13"/>
        <v/>
      </c>
      <c r="AB31" s="4" t="str">
        <f t="array" ref="AB31">XLOOKUP(X31,'Dados Funil'!A:A,'Dados Funil'!O:O,"")</f>
        <v/>
      </c>
      <c r="AE31" s="7" t="str">
        <f t="shared" si="6"/>
        <v/>
      </c>
      <c r="AG31" s="4" t="str">
        <f t="array" ref="AG31">XLOOKUP(AC31,'Dados Funil'!A:A,'Dados Funil'!AM:AM,"")</f>
        <v/>
      </c>
      <c r="AH31" s="4" t="str">
        <f t="array" ref="AH31">XLOOKUP(AC31,'Dados Funil'!A:A,'Dados Funil'!AN:AN,"")</f>
        <v/>
      </c>
      <c r="AM31" s="9">
        <f t="shared" si="7"/>
        <v>0</v>
      </c>
      <c r="AR31" s="9">
        <f t="shared" si="8"/>
        <v>0</v>
      </c>
    </row>
    <row r="32">
      <c r="A32" s="4"/>
      <c r="B32" s="4"/>
      <c r="C32" s="7" t="str">
        <f t="shared" si="1"/>
        <v/>
      </c>
      <c r="D32" s="4" t="str">
        <f t="shared" si="9"/>
        <v/>
      </c>
      <c r="E32" s="4" t="str">
        <f t="array" ref="E32">XLOOKUP(A32,'Dados Funil'!$A:$A,'Dados Funil'!$K:$K,"")</f>
        <v/>
      </c>
      <c r="F32" s="4" t="str">
        <f t="array" ref="F32">XLOOKUP(A32,'Dados Funil'!$A:$A,'Dados Funil'!$L:$L,"")</f>
        <v/>
      </c>
      <c r="G32" s="4"/>
      <c r="H32" s="4"/>
      <c r="I32" s="7" t="str">
        <f t="shared" si="2"/>
        <v/>
      </c>
      <c r="J32" s="4" t="str">
        <f t="shared" si="10"/>
        <v/>
      </c>
      <c r="K32" s="4" t="str">
        <f t="array" ref="K32">XLOOKUP(G32,'Dados Funil'!A:A,'Dados Funil'!O:O,"")</f>
        <v/>
      </c>
      <c r="L32" s="4"/>
      <c r="M32" s="4"/>
      <c r="N32" s="7" t="str">
        <f t="shared" si="3"/>
        <v/>
      </c>
      <c r="O32" s="4" t="str">
        <f t="shared" si="11"/>
        <v/>
      </c>
      <c r="P32" s="4" t="str">
        <f t="array" ref="P32">XLOOKUP(L32,'Dados Funil'!A:A,'Dados Funil'!AM:AM,"")</f>
        <v/>
      </c>
      <c r="Q32" s="4" t="str">
        <f t="array" ref="Q32">XLOOKUP(L32,'Dados Funil'!A:A,'Dados Funil'!AN:AN,"")</f>
        <v/>
      </c>
      <c r="T32" s="7" t="str">
        <f t="shared" si="4"/>
        <v/>
      </c>
      <c r="U32" s="4" t="str">
        <f t="shared" si="12"/>
        <v/>
      </c>
      <c r="V32" s="4" t="str">
        <f t="array" ref="V32">XLOOKUP(R32,'Dados Funil'!$A:$A,'Dados Funil'!$K:$K,"")</f>
        <v/>
      </c>
      <c r="W32" s="4" t="str">
        <f t="array" ref="W32">XLOOKUP(R32,'Dados Funil'!$A:$A,'Dados Funil'!$L:$L,"")</f>
        <v/>
      </c>
      <c r="X32" s="4"/>
      <c r="Y32" s="4"/>
      <c r="Z32" s="7" t="str">
        <f t="shared" si="5"/>
        <v/>
      </c>
      <c r="AA32" s="4" t="str">
        <f t="shared" si="13"/>
        <v/>
      </c>
      <c r="AB32" s="4" t="str">
        <f t="array" ref="AB32">XLOOKUP(X32,'Dados Funil'!A:A,'Dados Funil'!O:O,"")</f>
        <v/>
      </c>
      <c r="AE32" s="7" t="str">
        <f t="shared" si="6"/>
        <v/>
      </c>
      <c r="AG32" s="4" t="str">
        <f t="array" ref="AG32">XLOOKUP(AC32,'Dados Funil'!A:A,'Dados Funil'!AM:AM,"")</f>
        <v/>
      </c>
      <c r="AH32" s="4" t="str">
        <f t="array" ref="AH32">XLOOKUP(AC32,'Dados Funil'!A:A,'Dados Funil'!AN:AN,"")</f>
        <v/>
      </c>
      <c r="AM32" s="9">
        <f t="shared" si="7"/>
        <v>0</v>
      </c>
      <c r="AR32" s="9">
        <f t="shared" si="8"/>
        <v>0</v>
      </c>
    </row>
    <row r="33">
      <c r="A33" s="4"/>
      <c r="B33" s="4"/>
      <c r="C33" s="7" t="str">
        <f t="shared" si="1"/>
        <v/>
      </c>
      <c r="D33" s="4" t="str">
        <f t="shared" si="9"/>
        <v/>
      </c>
      <c r="E33" s="4" t="str">
        <f t="array" ref="E33">XLOOKUP(A33,'Dados Funil'!$A:$A,'Dados Funil'!$K:$K,"")</f>
        <v/>
      </c>
      <c r="F33" s="4" t="str">
        <f t="array" ref="F33">XLOOKUP(A33,'Dados Funil'!$A:$A,'Dados Funil'!$L:$L,"")</f>
        <v/>
      </c>
      <c r="G33" s="4"/>
      <c r="H33" s="4"/>
      <c r="I33" s="7" t="str">
        <f t="shared" si="2"/>
        <v/>
      </c>
      <c r="J33" s="4" t="str">
        <f t="shared" si="10"/>
        <v/>
      </c>
      <c r="K33" s="4" t="str">
        <f t="array" ref="K33">XLOOKUP(G33,'Dados Funil'!A:A,'Dados Funil'!O:O,"")</f>
        <v/>
      </c>
      <c r="L33" s="4"/>
      <c r="M33" s="4"/>
      <c r="N33" s="7" t="str">
        <f t="shared" si="3"/>
        <v/>
      </c>
      <c r="O33" s="4" t="str">
        <f t="shared" si="11"/>
        <v/>
      </c>
      <c r="P33" s="4" t="str">
        <f t="array" ref="P33">XLOOKUP(L33,'Dados Funil'!A:A,'Dados Funil'!AM:AM,"")</f>
        <v/>
      </c>
      <c r="Q33" s="4" t="str">
        <f t="array" ref="Q33">XLOOKUP(L33,'Dados Funil'!A:A,'Dados Funil'!AN:AN,"")</f>
        <v/>
      </c>
      <c r="T33" s="7" t="str">
        <f t="shared" si="4"/>
        <v/>
      </c>
      <c r="U33" s="4" t="str">
        <f t="shared" si="12"/>
        <v/>
      </c>
      <c r="V33" s="4" t="str">
        <f t="array" ref="V33">XLOOKUP(R33,'Dados Funil'!$A:$A,'Dados Funil'!$K:$K,"")</f>
        <v/>
      </c>
      <c r="W33" s="4" t="str">
        <f t="array" ref="W33">XLOOKUP(R33,'Dados Funil'!$A:$A,'Dados Funil'!$L:$L,"")</f>
        <v/>
      </c>
      <c r="X33" s="4"/>
      <c r="Y33" s="4"/>
      <c r="Z33" s="7" t="str">
        <f t="shared" si="5"/>
        <v/>
      </c>
      <c r="AA33" s="4" t="str">
        <f t="shared" si="13"/>
        <v/>
      </c>
      <c r="AB33" s="4" t="str">
        <f t="array" ref="AB33">XLOOKUP(X33,'Dados Funil'!A:A,'Dados Funil'!O:O,"")</f>
        <v/>
      </c>
      <c r="AE33" s="7" t="str">
        <f t="shared" si="6"/>
        <v/>
      </c>
      <c r="AG33" s="4" t="str">
        <f t="array" ref="AG33">XLOOKUP(AC33,'Dados Funil'!A:A,'Dados Funil'!AM:AM,"")</f>
        <v/>
      </c>
      <c r="AH33" s="4" t="str">
        <f t="array" ref="AH33">XLOOKUP(AC33,'Dados Funil'!A:A,'Dados Funil'!AN:AN,"")</f>
        <v/>
      </c>
      <c r="AM33" s="9">
        <f t="shared" si="7"/>
        <v>0</v>
      </c>
      <c r="AR33" s="9">
        <f t="shared" si="8"/>
        <v>0</v>
      </c>
    </row>
    <row r="34">
      <c r="A34" s="4"/>
      <c r="B34" s="4"/>
      <c r="C34" s="7" t="str">
        <f t="shared" si="1"/>
        <v/>
      </c>
      <c r="D34" s="4" t="str">
        <f t="shared" si="9"/>
        <v/>
      </c>
      <c r="E34" s="4" t="str">
        <f t="array" ref="E34">XLOOKUP(A34,'Dados Funil'!$A:$A,'Dados Funil'!$K:$K,"")</f>
        <v/>
      </c>
      <c r="F34" s="4" t="str">
        <f t="array" ref="F34">XLOOKUP(A34,'Dados Funil'!$A:$A,'Dados Funil'!$L:$L,"")</f>
        <v/>
      </c>
      <c r="G34" s="4"/>
      <c r="H34" s="4"/>
      <c r="I34" s="7" t="str">
        <f t="shared" si="2"/>
        <v/>
      </c>
      <c r="J34" s="4" t="str">
        <f t="shared" si="10"/>
        <v/>
      </c>
      <c r="K34" s="4" t="str">
        <f t="array" ref="K34">XLOOKUP(G34,'Dados Funil'!A:A,'Dados Funil'!O:O,"")</f>
        <v/>
      </c>
      <c r="L34" s="4"/>
      <c r="M34" s="4"/>
      <c r="N34" s="7" t="str">
        <f t="shared" si="3"/>
        <v/>
      </c>
      <c r="O34" s="4" t="str">
        <f t="shared" si="11"/>
        <v/>
      </c>
      <c r="P34" s="4" t="str">
        <f t="array" ref="P34">XLOOKUP(L34,'Dados Funil'!A:A,'Dados Funil'!AM:AM,"")</f>
        <v/>
      </c>
      <c r="Q34" s="4" t="str">
        <f t="array" ref="Q34">XLOOKUP(L34,'Dados Funil'!A:A,'Dados Funil'!AN:AN,"")</f>
        <v/>
      </c>
      <c r="T34" s="7" t="str">
        <f t="shared" si="4"/>
        <v/>
      </c>
      <c r="U34" s="4" t="str">
        <f t="shared" si="12"/>
        <v/>
      </c>
      <c r="V34" s="4" t="str">
        <f t="array" ref="V34">XLOOKUP(R34,'Dados Funil'!$A:$A,'Dados Funil'!$K:$K,"")</f>
        <v/>
      </c>
      <c r="W34" s="4" t="str">
        <f t="array" ref="W34">XLOOKUP(R34,'Dados Funil'!$A:$A,'Dados Funil'!$L:$L,"")</f>
        <v/>
      </c>
      <c r="X34" s="4"/>
      <c r="Y34" s="4"/>
      <c r="Z34" s="7" t="str">
        <f t="shared" si="5"/>
        <v/>
      </c>
      <c r="AA34" s="4" t="str">
        <f t="shared" si="13"/>
        <v/>
      </c>
      <c r="AB34" s="4" t="str">
        <f t="array" ref="AB34">XLOOKUP(X34,'Dados Funil'!A:A,'Dados Funil'!O:O,"")</f>
        <v/>
      </c>
      <c r="AE34" s="7" t="str">
        <f t="shared" si="6"/>
        <v/>
      </c>
      <c r="AG34" s="4" t="str">
        <f t="array" ref="AG34">XLOOKUP(AC34,'Dados Funil'!A:A,'Dados Funil'!AM:AM,"")</f>
        <v/>
      </c>
      <c r="AH34" s="4" t="str">
        <f t="array" ref="AH34">XLOOKUP(AC34,'Dados Funil'!A:A,'Dados Funil'!AN:AN,"")</f>
        <v/>
      </c>
      <c r="AM34" s="9">
        <f t="shared" si="7"/>
        <v>0</v>
      </c>
      <c r="AR34" s="9">
        <f t="shared" si="8"/>
        <v>0</v>
      </c>
    </row>
    <row r="35">
      <c r="A35" s="4"/>
      <c r="B35" s="4"/>
      <c r="C35" s="7" t="str">
        <f t="shared" si="1"/>
        <v/>
      </c>
      <c r="D35" s="4" t="str">
        <f t="shared" si="9"/>
        <v/>
      </c>
      <c r="E35" s="4" t="str">
        <f t="array" ref="E35">XLOOKUP(A35,'Dados Funil'!$A:$A,'Dados Funil'!$K:$K,"")</f>
        <v/>
      </c>
      <c r="F35" s="4" t="str">
        <f t="array" ref="F35">XLOOKUP(A35,'Dados Funil'!$A:$A,'Dados Funil'!$L:$L,"")</f>
        <v/>
      </c>
      <c r="G35" s="4"/>
      <c r="H35" s="4"/>
      <c r="I35" s="7" t="str">
        <f t="shared" si="2"/>
        <v/>
      </c>
      <c r="J35" s="4" t="str">
        <f t="shared" si="10"/>
        <v/>
      </c>
      <c r="K35" s="4" t="str">
        <f t="array" ref="K35">XLOOKUP(G35,'Dados Funil'!A:A,'Dados Funil'!O:O,"")</f>
        <v/>
      </c>
      <c r="L35" s="4"/>
      <c r="M35" s="4"/>
      <c r="N35" s="7" t="str">
        <f t="shared" si="3"/>
        <v/>
      </c>
      <c r="O35" s="4" t="str">
        <f t="shared" si="11"/>
        <v/>
      </c>
      <c r="P35" s="4" t="str">
        <f t="array" ref="P35">XLOOKUP(L35,'Dados Funil'!A:A,'Dados Funil'!AM:AM,"")</f>
        <v/>
      </c>
      <c r="Q35" s="4" t="str">
        <f t="array" ref="Q35">XLOOKUP(L35,'Dados Funil'!A:A,'Dados Funil'!AN:AN,"")</f>
        <v/>
      </c>
      <c r="T35" s="7" t="str">
        <f t="shared" si="4"/>
        <v/>
      </c>
      <c r="U35" s="4" t="str">
        <f t="shared" si="12"/>
        <v/>
      </c>
      <c r="V35" s="4" t="str">
        <f t="array" ref="V35">XLOOKUP(R35,'Dados Funil'!$A:$A,'Dados Funil'!$K:$K,"")</f>
        <v/>
      </c>
      <c r="W35" s="4" t="str">
        <f t="array" ref="W35">XLOOKUP(R35,'Dados Funil'!$A:$A,'Dados Funil'!$L:$L,"")</f>
        <v/>
      </c>
      <c r="X35" s="4"/>
      <c r="Y35" s="4"/>
      <c r="Z35" s="7" t="str">
        <f t="shared" si="5"/>
        <v/>
      </c>
      <c r="AA35" s="4" t="str">
        <f t="shared" si="13"/>
        <v/>
      </c>
      <c r="AB35" s="4" t="str">
        <f t="array" ref="AB35">XLOOKUP(X35,'Dados Funil'!A:A,'Dados Funil'!O:O,"")</f>
        <v/>
      </c>
      <c r="AE35" s="7" t="str">
        <f t="shared" si="6"/>
        <v/>
      </c>
      <c r="AG35" s="4" t="str">
        <f t="array" ref="AG35">XLOOKUP(AC35,'Dados Funil'!A:A,'Dados Funil'!AM:AM,"")</f>
        <v/>
      </c>
      <c r="AH35" s="4" t="str">
        <f t="array" ref="AH35">XLOOKUP(AC35,'Dados Funil'!A:A,'Dados Funil'!AN:AN,"")</f>
        <v/>
      </c>
      <c r="AM35" s="9">
        <f t="shared" si="7"/>
        <v>0</v>
      </c>
      <c r="AR35" s="9">
        <f t="shared" si="8"/>
        <v>0</v>
      </c>
    </row>
    <row r="36">
      <c r="A36" s="4"/>
      <c r="B36" s="4"/>
      <c r="C36" s="7" t="str">
        <f t="shared" si="1"/>
        <v/>
      </c>
      <c r="D36" s="4" t="str">
        <f t="shared" si="9"/>
        <v/>
      </c>
      <c r="E36" s="4" t="str">
        <f t="array" ref="E36">XLOOKUP(A36,'Dados Funil'!$A:$A,'Dados Funil'!$K:$K,"")</f>
        <v/>
      </c>
      <c r="F36" s="4" t="str">
        <f t="array" ref="F36">XLOOKUP(A36,'Dados Funil'!$A:$A,'Dados Funil'!$L:$L,"")</f>
        <v/>
      </c>
      <c r="G36" s="4"/>
      <c r="H36" s="4"/>
      <c r="I36" s="7" t="str">
        <f t="shared" si="2"/>
        <v/>
      </c>
      <c r="J36" s="4" t="str">
        <f t="shared" si="10"/>
        <v/>
      </c>
      <c r="K36" s="4" t="str">
        <f t="array" ref="K36">XLOOKUP(G36,'Dados Funil'!A:A,'Dados Funil'!O:O,"")</f>
        <v/>
      </c>
      <c r="L36" s="4"/>
      <c r="M36" s="4"/>
      <c r="N36" s="7" t="str">
        <f t="shared" si="3"/>
        <v/>
      </c>
      <c r="O36" s="4" t="str">
        <f t="shared" si="11"/>
        <v/>
      </c>
      <c r="P36" s="4" t="str">
        <f t="array" ref="P36">XLOOKUP(L36,'Dados Funil'!A:A,'Dados Funil'!AM:AM,"")</f>
        <v/>
      </c>
      <c r="Q36" s="4" t="str">
        <f t="array" ref="Q36">XLOOKUP(L36,'Dados Funil'!A:A,'Dados Funil'!AN:AN,"")</f>
        <v/>
      </c>
      <c r="T36" s="7" t="str">
        <f t="shared" si="4"/>
        <v/>
      </c>
      <c r="U36" s="4" t="str">
        <f t="shared" si="12"/>
        <v/>
      </c>
      <c r="V36" s="4" t="str">
        <f t="array" ref="V36">XLOOKUP(R36,'Dados Funil'!$A:$A,'Dados Funil'!$K:$K,"")</f>
        <v/>
      </c>
      <c r="W36" s="4" t="str">
        <f t="array" ref="W36">XLOOKUP(R36,'Dados Funil'!$A:$A,'Dados Funil'!$L:$L,"")</f>
        <v/>
      </c>
      <c r="X36" s="4"/>
      <c r="Y36" s="4"/>
      <c r="Z36" s="7" t="str">
        <f t="shared" si="5"/>
        <v/>
      </c>
      <c r="AA36" s="4" t="str">
        <f t="shared" si="13"/>
        <v/>
      </c>
      <c r="AB36" s="4" t="str">
        <f t="array" ref="AB36">XLOOKUP(X36,'Dados Funil'!A:A,'Dados Funil'!O:O,"")</f>
        <v/>
      </c>
      <c r="AE36" s="7" t="str">
        <f t="shared" si="6"/>
        <v/>
      </c>
      <c r="AG36" s="4" t="str">
        <f t="array" ref="AG36">XLOOKUP(AC36,'Dados Funil'!A:A,'Dados Funil'!AM:AM,"")</f>
        <v/>
      </c>
      <c r="AH36" s="4" t="str">
        <f t="array" ref="AH36">XLOOKUP(AC36,'Dados Funil'!A:A,'Dados Funil'!AN:AN,"")</f>
        <v/>
      </c>
    </row>
    <row r="37">
      <c r="A37" s="4"/>
      <c r="B37" s="4"/>
      <c r="C37" s="7" t="str">
        <f t="shared" si="1"/>
        <v/>
      </c>
      <c r="D37" s="4" t="str">
        <f t="shared" si="9"/>
        <v/>
      </c>
      <c r="E37" s="4" t="str">
        <f t="array" ref="E37">XLOOKUP(A37,'Dados Funil'!$A:$A,'Dados Funil'!$K:$K,"")</f>
        <v/>
      </c>
      <c r="F37" s="4" t="str">
        <f t="array" ref="F37">XLOOKUP(A37,'Dados Funil'!$A:$A,'Dados Funil'!$L:$L,"")</f>
        <v/>
      </c>
      <c r="G37" s="4"/>
      <c r="H37" s="4"/>
      <c r="I37" s="7" t="str">
        <f t="shared" si="2"/>
        <v/>
      </c>
      <c r="J37" s="4" t="str">
        <f t="shared" si="10"/>
        <v/>
      </c>
      <c r="K37" s="4" t="str">
        <f t="array" ref="K37">XLOOKUP(G37,'Dados Funil'!A:A,'Dados Funil'!O:O,"")</f>
        <v/>
      </c>
      <c r="L37" s="4"/>
      <c r="M37" s="4"/>
      <c r="N37" s="7" t="str">
        <f t="shared" si="3"/>
        <v/>
      </c>
      <c r="O37" s="4" t="str">
        <f t="shared" si="11"/>
        <v/>
      </c>
      <c r="P37" s="4" t="str">
        <f t="array" ref="P37">XLOOKUP(L37,'Dados Funil'!A:A,'Dados Funil'!AM:AM,"")</f>
        <v/>
      </c>
      <c r="Q37" s="4" t="str">
        <f t="array" ref="Q37">XLOOKUP(L37,'Dados Funil'!A:A,'Dados Funil'!AN:AN,"")</f>
        <v/>
      </c>
      <c r="T37" s="7" t="str">
        <f t="shared" si="4"/>
        <v/>
      </c>
      <c r="U37" s="4" t="str">
        <f t="shared" si="12"/>
        <v/>
      </c>
      <c r="V37" s="4" t="str">
        <f t="array" ref="V37">XLOOKUP(R37,'Dados Funil'!$A:$A,'Dados Funil'!$K:$K,"")</f>
        <v/>
      </c>
      <c r="W37" s="4" t="str">
        <f t="array" ref="W37">XLOOKUP(R37,'Dados Funil'!$A:$A,'Dados Funil'!$L:$L,"")</f>
        <v/>
      </c>
      <c r="X37" s="4"/>
      <c r="Y37" s="4"/>
      <c r="Z37" s="7" t="str">
        <f t="shared" si="5"/>
        <v/>
      </c>
      <c r="AA37" s="4" t="str">
        <f t="shared" si="13"/>
        <v/>
      </c>
      <c r="AB37" s="4" t="str">
        <f t="array" ref="AB37">XLOOKUP(X37,'Dados Funil'!A:A,'Dados Funil'!O:O,"")</f>
        <v/>
      </c>
      <c r="AE37" s="7" t="str">
        <f t="shared" si="6"/>
        <v/>
      </c>
      <c r="AG37" s="4" t="str">
        <f t="array" ref="AG37">XLOOKUP(AC37,'Dados Funil'!A:A,'Dados Funil'!AM:AM,"")</f>
        <v/>
      </c>
      <c r="AH37" s="4" t="str">
        <f t="array" ref="AH37">XLOOKUP(AC37,'Dados Funil'!A:A,'Dados Funil'!AN:AN,"")</f>
        <v/>
      </c>
    </row>
    <row r="38">
      <c r="A38" s="4"/>
      <c r="B38" s="4"/>
      <c r="C38" s="7" t="str">
        <f t="shared" si="1"/>
        <v/>
      </c>
      <c r="D38" s="4" t="str">
        <f t="shared" si="9"/>
        <v/>
      </c>
      <c r="E38" s="4" t="str">
        <f t="array" ref="E38">XLOOKUP(A38,'Dados Funil'!$A:$A,'Dados Funil'!$K:$K,"")</f>
        <v/>
      </c>
      <c r="F38" s="4" t="str">
        <f t="array" ref="F38">XLOOKUP(A38,'Dados Funil'!$A:$A,'Dados Funil'!$L:$L,"")</f>
        <v/>
      </c>
      <c r="G38" s="4"/>
      <c r="H38" s="4"/>
      <c r="I38" s="7" t="str">
        <f t="shared" si="2"/>
        <v/>
      </c>
      <c r="J38" s="4" t="str">
        <f t="shared" si="10"/>
        <v/>
      </c>
      <c r="K38" s="4" t="str">
        <f t="array" ref="K38">XLOOKUP(G38,'Dados Funil'!A:A,'Dados Funil'!O:O,"")</f>
        <v/>
      </c>
      <c r="L38" s="4"/>
      <c r="M38" s="4"/>
      <c r="N38" s="7" t="str">
        <f t="shared" si="3"/>
        <v/>
      </c>
      <c r="O38" s="4" t="str">
        <f t="shared" si="11"/>
        <v/>
      </c>
      <c r="P38" s="4" t="str">
        <f t="array" ref="P38">XLOOKUP(L38,'Dados Funil'!A:A,'Dados Funil'!AM:AM,"")</f>
        <v/>
      </c>
      <c r="Q38" s="4" t="str">
        <f t="array" ref="Q38">XLOOKUP(L38,'Dados Funil'!A:A,'Dados Funil'!AN:AN,"")</f>
        <v/>
      </c>
      <c r="T38" s="7" t="str">
        <f t="shared" si="4"/>
        <v/>
      </c>
      <c r="U38" s="4" t="str">
        <f t="shared" si="12"/>
        <v/>
      </c>
      <c r="V38" s="4" t="str">
        <f t="array" ref="V38">XLOOKUP(R38,'Dados Funil'!$A:$A,'Dados Funil'!$K:$K,"")</f>
        <v/>
      </c>
      <c r="W38" s="4" t="str">
        <f t="array" ref="W38">XLOOKUP(R38,'Dados Funil'!$A:$A,'Dados Funil'!$L:$L,"")</f>
        <v/>
      </c>
      <c r="X38" s="4"/>
      <c r="Y38" s="4"/>
      <c r="Z38" s="7" t="str">
        <f t="shared" si="5"/>
        <v/>
      </c>
      <c r="AA38" s="4" t="str">
        <f t="shared" si="13"/>
        <v/>
      </c>
      <c r="AB38" s="4" t="str">
        <f t="array" ref="AB38">XLOOKUP(X38,'Dados Funil'!A:A,'Dados Funil'!O:O,"")</f>
        <v/>
      </c>
      <c r="AE38" s="7" t="str">
        <f t="shared" si="6"/>
        <v/>
      </c>
      <c r="AG38" s="4" t="str">
        <f t="array" ref="AG38">XLOOKUP(AC38,'Dados Funil'!A:A,'Dados Funil'!AM:AM,"")</f>
        <v/>
      </c>
      <c r="AH38" s="4" t="str">
        <f t="array" ref="AH38">XLOOKUP(AC38,'Dados Funil'!A:A,'Dados Funil'!AN:AN,"")</f>
        <v/>
      </c>
    </row>
    <row r="39">
      <c r="A39" s="4"/>
      <c r="B39" s="4"/>
      <c r="C39" s="7" t="str">
        <f t="shared" si="1"/>
        <v/>
      </c>
      <c r="D39" s="4" t="str">
        <f t="shared" si="9"/>
        <v/>
      </c>
      <c r="E39" s="4" t="str">
        <f t="array" ref="E39">XLOOKUP(A39,'Dados Funil'!$A:$A,'Dados Funil'!$K:$K,"")</f>
        <v/>
      </c>
      <c r="F39" s="4" t="str">
        <f t="array" ref="F39">XLOOKUP(A39,'Dados Funil'!$A:$A,'Dados Funil'!$L:$L,"")</f>
        <v/>
      </c>
      <c r="G39" s="4"/>
      <c r="H39" s="4"/>
      <c r="I39" s="7" t="str">
        <f t="shared" si="2"/>
        <v/>
      </c>
      <c r="J39" s="4" t="str">
        <f t="shared" si="10"/>
        <v/>
      </c>
      <c r="K39" s="4" t="str">
        <f t="array" ref="K39">XLOOKUP(G39,'Dados Funil'!A:A,'Dados Funil'!O:O,"")</f>
        <v/>
      </c>
      <c r="L39" s="4"/>
      <c r="M39" s="4"/>
      <c r="N39" s="7" t="str">
        <f t="shared" si="3"/>
        <v/>
      </c>
      <c r="O39" s="4" t="str">
        <f t="shared" si="11"/>
        <v/>
      </c>
      <c r="P39" s="4" t="str">
        <f t="array" ref="P39">XLOOKUP(L39,'Dados Funil'!A:A,'Dados Funil'!AM:AM,"")</f>
        <v/>
      </c>
      <c r="Q39" s="4" t="str">
        <f t="array" ref="Q39">XLOOKUP(L39,'Dados Funil'!A:A,'Dados Funil'!AN:AN,"")</f>
        <v/>
      </c>
      <c r="T39" s="7" t="str">
        <f t="shared" si="4"/>
        <v/>
      </c>
      <c r="U39" s="4" t="str">
        <f t="shared" si="12"/>
        <v/>
      </c>
      <c r="V39" s="4" t="str">
        <f t="array" ref="V39">XLOOKUP(R39,'Dados Funil'!$A:$A,'Dados Funil'!$K:$K,"")</f>
        <v/>
      </c>
      <c r="W39" s="4" t="str">
        <f t="array" ref="W39">XLOOKUP(R39,'Dados Funil'!$A:$A,'Dados Funil'!$L:$L,"")</f>
        <v/>
      </c>
      <c r="X39" s="4"/>
      <c r="Y39" s="4"/>
      <c r="Z39" s="7" t="str">
        <f t="shared" si="5"/>
        <v/>
      </c>
      <c r="AA39" s="4" t="str">
        <f t="shared" si="13"/>
        <v/>
      </c>
      <c r="AB39" s="4" t="str">
        <f t="array" ref="AB39">XLOOKUP(X39,'Dados Funil'!A:A,'Dados Funil'!O:O,"")</f>
        <v/>
      </c>
      <c r="AE39" s="7" t="str">
        <f t="shared" si="6"/>
        <v/>
      </c>
      <c r="AG39" s="4" t="str">
        <f t="array" ref="AG39">XLOOKUP(AC39,'Dados Funil'!A:A,'Dados Funil'!AM:AM,"")</f>
        <v/>
      </c>
      <c r="AH39" s="4" t="str">
        <f t="array" ref="AH39">XLOOKUP(AC39,'Dados Funil'!A:A,'Dados Funil'!AN:AN,"")</f>
        <v/>
      </c>
    </row>
    <row r="40">
      <c r="A40" s="4"/>
      <c r="B40" s="4"/>
      <c r="C40" s="7" t="str">
        <f t="shared" si="1"/>
        <v/>
      </c>
      <c r="D40" s="4" t="str">
        <f t="shared" si="9"/>
        <v/>
      </c>
      <c r="E40" s="4" t="str">
        <f t="array" ref="E40">XLOOKUP(A40,'Dados Funil'!$A:$A,'Dados Funil'!$K:$K,"")</f>
        <v/>
      </c>
      <c r="F40" s="4" t="str">
        <f t="array" ref="F40">XLOOKUP(A40,'Dados Funil'!$A:$A,'Dados Funil'!$L:$L,"")</f>
        <v/>
      </c>
      <c r="G40" s="4"/>
      <c r="H40" s="4"/>
      <c r="I40" s="7" t="str">
        <f t="shared" si="2"/>
        <v/>
      </c>
      <c r="J40" s="4" t="str">
        <f t="shared" si="10"/>
        <v/>
      </c>
      <c r="K40" s="4" t="str">
        <f t="array" ref="K40">XLOOKUP(G40,'Dados Funil'!A:A,'Dados Funil'!O:O,"")</f>
        <v/>
      </c>
      <c r="L40" s="4"/>
      <c r="M40" s="4"/>
      <c r="N40" s="7" t="str">
        <f t="shared" si="3"/>
        <v/>
      </c>
      <c r="O40" s="4" t="str">
        <f t="shared" si="11"/>
        <v/>
      </c>
      <c r="P40" s="4" t="str">
        <f t="array" ref="P40">XLOOKUP(L40,'Dados Funil'!A:A,'Dados Funil'!AM:AM,"")</f>
        <v/>
      </c>
      <c r="Q40" s="4" t="str">
        <f t="array" ref="Q40">XLOOKUP(L40,'Dados Funil'!A:A,'Dados Funil'!AN:AN,"")</f>
        <v/>
      </c>
      <c r="T40" s="7" t="str">
        <f t="shared" si="4"/>
        <v/>
      </c>
      <c r="U40" s="4" t="str">
        <f t="shared" si="12"/>
        <v/>
      </c>
      <c r="V40" s="4" t="str">
        <f t="array" ref="V40">XLOOKUP(R40,'Dados Funil'!$A:$A,'Dados Funil'!$K:$K,"")</f>
        <v/>
      </c>
      <c r="W40" s="4" t="str">
        <f t="array" ref="W40">XLOOKUP(R40,'Dados Funil'!$A:$A,'Dados Funil'!$L:$L,"")</f>
        <v/>
      </c>
      <c r="X40" s="4"/>
      <c r="Y40" s="4"/>
      <c r="Z40" s="7" t="str">
        <f t="shared" si="5"/>
        <v/>
      </c>
      <c r="AA40" s="4" t="str">
        <f t="shared" si="13"/>
        <v/>
      </c>
      <c r="AB40" s="4" t="str">
        <f t="array" ref="AB40">XLOOKUP(X40,'Dados Funil'!A:A,'Dados Funil'!O:O,"")</f>
        <v/>
      </c>
      <c r="AE40" s="7" t="str">
        <f t="shared" si="6"/>
        <v/>
      </c>
      <c r="AG40" s="4" t="str">
        <f t="array" ref="AG40">XLOOKUP(AC40,'Dados Funil'!A:A,'Dados Funil'!AM:AM,"")</f>
        <v/>
      </c>
      <c r="AH40" s="4" t="str">
        <f t="array" ref="AH40">XLOOKUP(AC40,'Dados Funil'!A:A,'Dados Funil'!AN:AN,"")</f>
        <v/>
      </c>
    </row>
    <row r="41">
      <c r="A41" s="4"/>
      <c r="B41" s="4"/>
      <c r="C41" s="7" t="str">
        <f t="shared" si="1"/>
        <v/>
      </c>
      <c r="D41" s="4" t="str">
        <f t="shared" si="9"/>
        <v/>
      </c>
      <c r="E41" s="4" t="str">
        <f t="array" ref="E41">XLOOKUP(A41,'Dados Funil'!$A:$A,'Dados Funil'!$K:$K,"")</f>
        <v/>
      </c>
      <c r="F41" s="4" t="str">
        <f t="array" ref="F41">XLOOKUP(A41,'Dados Funil'!$A:$A,'Dados Funil'!$L:$L,"")</f>
        <v/>
      </c>
      <c r="G41" s="4"/>
      <c r="H41" s="4"/>
      <c r="I41" s="7" t="str">
        <f t="shared" si="2"/>
        <v/>
      </c>
      <c r="J41" s="4" t="str">
        <f t="shared" si="10"/>
        <v/>
      </c>
      <c r="K41" s="4" t="str">
        <f t="array" ref="K41">XLOOKUP(G41,'Dados Funil'!A:A,'Dados Funil'!O:O,"")</f>
        <v/>
      </c>
      <c r="L41" s="4"/>
      <c r="M41" s="4"/>
      <c r="N41" s="7" t="str">
        <f t="shared" si="3"/>
        <v/>
      </c>
      <c r="O41" s="4" t="str">
        <f t="shared" si="11"/>
        <v/>
      </c>
      <c r="P41" s="4" t="str">
        <f t="array" ref="P41">XLOOKUP(L41,'Dados Funil'!A:A,'Dados Funil'!AM:AM,"")</f>
        <v/>
      </c>
      <c r="Q41" s="4" t="str">
        <f t="array" ref="Q41">XLOOKUP(L41,'Dados Funil'!A:A,'Dados Funil'!AN:AN,"")</f>
        <v/>
      </c>
      <c r="T41" s="7" t="str">
        <f t="shared" si="4"/>
        <v/>
      </c>
      <c r="U41" s="4" t="str">
        <f t="shared" si="12"/>
        <v/>
      </c>
      <c r="V41" s="4" t="str">
        <f t="array" ref="V41">XLOOKUP(R41,'Dados Funil'!$A:$A,'Dados Funil'!$K:$K,"")</f>
        <v/>
      </c>
      <c r="W41" s="4" t="str">
        <f t="array" ref="W41">XLOOKUP(R41,'Dados Funil'!$A:$A,'Dados Funil'!$L:$L,"")</f>
        <v/>
      </c>
      <c r="X41" s="4"/>
      <c r="Y41" s="4"/>
      <c r="Z41" s="7" t="str">
        <f t="shared" si="5"/>
        <v/>
      </c>
      <c r="AA41" s="4" t="str">
        <f t="shared" si="13"/>
        <v/>
      </c>
      <c r="AB41" s="4" t="str">
        <f t="array" ref="AB41">XLOOKUP(X41,'Dados Funil'!A:A,'Dados Funil'!O:O,"")</f>
        <v/>
      </c>
      <c r="AE41" s="7" t="str">
        <f t="shared" si="6"/>
        <v/>
      </c>
      <c r="AG41" s="4" t="str">
        <f t="array" ref="AG41">XLOOKUP(AC41,'Dados Funil'!A:A,'Dados Funil'!AM:AM,"")</f>
        <v/>
      </c>
      <c r="AH41" s="4" t="str">
        <f t="array" ref="AH41">XLOOKUP(AC41,'Dados Funil'!A:A,'Dados Funil'!AN:AN,"")</f>
        <v/>
      </c>
    </row>
    <row r="42">
      <c r="A42" s="4"/>
      <c r="B42" s="4"/>
      <c r="C42" s="7" t="str">
        <f t="shared" si="1"/>
        <v/>
      </c>
      <c r="D42" s="4" t="str">
        <f t="shared" si="9"/>
        <v/>
      </c>
      <c r="E42" s="4" t="str">
        <f t="array" ref="E42">XLOOKUP(A42,'Dados Funil'!$A:$A,'Dados Funil'!$K:$K,"")</f>
        <v/>
      </c>
      <c r="F42" s="4" t="str">
        <f t="array" ref="F42">XLOOKUP(A42,'Dados Funil'!$A:$A,'Dados Funil'!$L:$L,"")</f>
        <v/>
      </c>
      <c r="G42" s="4"/>
      <c r="H42" s="4"/>
      <c r="I42" s="7" t="str">
        <f t="shared" si="2"/>
        <v/>
      </c>
      <c r="J42" s="4" t="str">
        <f t="shared" si="10"/>
        <v/>
      </c>
      <c r="K42" s="4" t="str">
        <f t="array" ref="K42">XLOOKUP(G42,'Dados Funil'!A:A,'Dados Funil'!O:O,"")</f>
        <v/>
      </c>
      <c r="L42" s="4"/>
      <c r="M42" s="4"/>
      <c r="N42" s="7" t="str">
        <f t="shared" si="3"/>
        <v/>
      </c>
      <c r="O42" s="4" t="str">
        <f t="shared" si="11"/>
        <v/>
      </c>
      <c r="P42" s="4" t="str">
        <f t="array" ref="P42">XLOOKUP(L42,'Dados Funil'!A:A,'Dados Funil'!AM:AM,"")</f>
        <v/>
      </c>
      <c r="Q42" s="4" t="str">
        <f t="array" ref="Q42">XLOOKUP(L42,'Dados Funil'!A:A,'Dados Funil'!AN:AN,"")</f>
        <v/>
      </c>
      <c r="T42" s="7" t="str">
        <f t="shared" si="4"/>
        <v/>
      </c>
      <c r="U42" s="4" t="str">
        <f t="shared" si="12"/>
        <v/>
      </c>
      <c r="V42" s="4" t="str">
        <f t="array" ref="V42">XLOOKUP(R42,'Dados Funil'!$A:$A,'Dados Funil'!$K:$K,"")</f>
        <v/>
      </c>
      <c r="W42" s="4" t="str">
        <f t="array" ref="W42">XLOOKUP(R42,'Dados Funil'!$A:$A,'Dados Funil'!$L:$L,"")</f>
        <v/>
      </c>
      <c r="X42" s="4"/>
      <c r="Y42" s="4"/>
      <c r="Z42" s="7" t="str">
        <f t="shared" si="5"/>
        <v/>
      </c>
      <c r="AA42" s="4" t="str">
        <f t="shared" si="13"/>
        <v/>
      </c>
      <c r="AB42" s="4" t="str">
        <f t="array" ref="AB42">XLOOKUP(X42,'Dados Funil'!A:A,'Dados Funil'!O:O,"")</f>
        <v/>
      </c>
      <c r="AE42" s="7" t="str">
        <f t="shared" si="6"/>
        <v/>
      </c>
      <c r="AG42" s="4" t="str">
        <f t="array" ref="AG42">XLOOKUP(AC42,'Dados Funil'!A:A,'Dados Funil'!AM:AM,"")</f>
        <v/>
      </c>
      <c r="AH42" s="4" t="str">
        <f t="array" ref="AH42">XLOOKUP(AC42,'Dados Funil'!A:A,'Dados Funil'!AN:AN,"")</f>
        <v/>
      </c>
    </row>
    <row r="43">
      <c r="A43" s="4"/>
      <c r="B43" s="4"/>
      <c r="C43" s="7" t="str">
        <f t="shared" si="1"/>
        <v/>
      </c>
      <c r="D43" s="4" t="str">
        <f t="shared" si="9"/>
        <v/>
      </c>
      <c r="E43" s="4" t="str">
        <f t="array" ref="E43">XLOOKUP(A43,'Dados Funil'!$A:$A,'Dados Funil'!$K:$K,"")</f>
        <v/>
      </c>
      <c r="F43" s="4" t="str">
        <f t="array" ref="F43">XLOOKUP(A43,'Dados Funil'!$A:$A,'Dados Funil'!$L:$L,"")</f>
        <v/>
      </c>
      <c r="G43" s="4"/>
      <c r="H43" s="4"/>
      <c r="I43" s="7" t="str">
        <f t="shared" si="2"/>
        <v/>
      </c>
      <c r="J43" s="4" t="str">
        <f t="shared" si="10"/>
        <v/>
      </c>
      <c r="K43" s="4" t="str">
        <f t="array" ref="K43">XLOOKUP(G43,'Dados Funil'!A:A,'Dados Funil'!O:O,"")</f>
        <v/>
      </c>
      <c r="L43" s="4"/>
      <c r="M43" s="4"/>
      <c r="N43" s="7" t="str">
        <f t="shared" si="3"/>
        <v/>
      </c>
      <c r="O43" s="4" t="str">
        <f t="shared" si="11"/>
        <v/>
      </c>
      <c r="P43" s="4" t="str">
        <f t="array" ref="P43">XLOOKUP(L43,'Dados Funil'!A:A,'Dados Funil'!AM:AM,"")</f>
        <v/>
      </c>
      <c r="Q43" s="4" t="str">
        <f t="array" ref="Q43">XLOOKUP(L43,'Dados Funil'!A:A,'Dados Funil'!AN:AN,"")</f>
        <v/>
      </c>
      <c r="T43" s="7" t="str">
        <f t="shared" si="4"/>
        <v/>
      </c>
      <c r="U43" s="4" t="str">
        <f t="shared" si="12"/>
        <v/>
      </c>
      <c r="V43" s="4" t="str">
        <f t="array" ref="V43">XLOOKUP(R43,'Dados Funil'!$A:$A,'Dados Funil'!$K:$K,"")</f>
        <v/>
      </c>
      <c r="W43" s="4" t="str">
        <f t="array" ref="W43">XLOOKUP(R43,'Dados Funil'!$A:$A,'Dados Funil'!$L:$L,"")</f>
        <v/>
      </c>
      <c r="X43" s="4"/>
      <c r="Y43" s="4"/>
      <c r="Z43" s="7" t="str">
        <f t="shared" si="5"/>
        <v/>
      </c>
      <c r="AA43" s="4" t="str">
        <f t="shared" si="13"/>
        <v/>
      </c>
      <c r="AB43" s="4" t="str">
        <f t="array" ref="AB43">XLOOKUP(X43,'Dados Funil'!A:A,'Dados Funil'!O:O,"")</f>
        <v/>
      </c>
      <c r="AE43" s="7" t="str">
        <f t="shared" si="6"/>
        <v/>
      </c>
      <c r="AG43" s="4" t="str">
        <f t="array" ref="AG43">XLOOKUP(AC43,'Dados Funil'!A:A,'Dados Funil'!AM:AM,"")</f>
        <v/>
      </c>
      <c r="AH43" s="4" t="str">
        <f t="array" ref="AH43">XLOOKUP(AC43,'Dados Funil'!A:A,'Dados Funil'!AN:AN,"")</f>
        <v/>
      </c>
    </row>
    <row r="44">
      <c r="A44" s="4"/>
      <c r="B44" s="4"/>
      <c r="C44" s="7" t="str">
        <f t="shared" si="1"/>
        <v/>
      </c>
      <c r="D44" s="4" t="str">
        <f t="shared" si="9"/>
        <v/>
      </c>
      <c r="E44" s="4" t="str">
        <f t="array" ref="E44">XLOOKUP(A44,'Dados Funil'!$A:$A,'Dados Funil'!$K:$K,"")</f>
        <v/>
      </c>
      <c r="F44" s="4" t="str">
        <f t="array" ref="F44">XLOOKUP(A44,'Dados Funil'!$A:$A,'Dados Funil'!$L:$L,"")</f>
        <v/>
      </c>
      <c r="G44" s="4"/>
      <c r="H44" s="4"/>
      <c r="I44" s="7" t="str">
        <f t="shared" si="2"/>
        <v/>
      </c>
      <c r="J44" s="4" t="str">
        <f t="shared" si="10"/>
        <v/>
      </c>
      <c r="K44" s="4" t="str">
        <f t="array" ref="K44">XLOOKUP(G44,'Dados Funil'!A:A,'Dados Funil'!O:O,"")</f>
        <v/>
      </c>
      <c r="L44" s="4"/>
      <c r="M44" s="4"/>
      <c r="N44" s="7" t="str">
        <f t="shared" si="3"/>
        <v/>
      </c>
      <c r="O44" s="4" t="str">
        <f t="shared" si="11"/>
        <v/>
      </c>
      <c r="P44" s="4" t="str">
        <f t="array" ref="P44">XLOOKUP(L44,'Dados Funil'!A:A,'Dados Funil'!AM:AM,"")</f>
        <v/>
      </c>
      <c r="Q44" s="4" t="str">
        <f t="array" ref="Q44">XLOOKUP(L44,'Dados Funil'!A:A,'Dados Funil'!AN:AN,"")</f>
        <v/>
      </c>
      <c r="T44" s="7" t="str">
        <f t="shared" si="4"/>
        <v/>
      </c>
      <c r="U44" s="4" t="str">
        <f t="shared" si="12"/>
        <v/>
      </c>
      <c r="V44" s="4" t="str">
        <f t="array" ref="V44">XLOOKUP(R44,'Dados Funil'!$A:$A,'Dados Funil'!$K:$K,"")</f>
        <v/>
      </c>
      <c r="W44" s="4" t="str">
        <f t="array" ref="W44">XLOOKUP(R44,'Dados Funil'!$A:$A,'Dados Funil'!$L:$L,"")</f>
        <v/>
      </c>
      <c r="X44" s="4"/>
      <c r="Y44" s="4"/>
      <c r="Z44" s="7" t="str">
        <f t="shared" si="5"/>
        <v/>
      </c>
      <c r="AA44" s="4" t="str">
        <f t="shared" si="13"/>
        <v/>
      </c>
      <c r="AB44" s="4" t="str">
        <f t="array" ref="AB44">XLOOKUP(X44,'Dados Funil'!A:A,'Dados Funil'!O:O,"")</f>
        <v/>
      </c>
      <c r="AE44" s="7" t="str">
        <f t="shared" si="6"/>
        <v/>
      </c>
      <c r="AG44" s="4" t="str">
        <f t="array" ref="AG44">XLOOKUP(AC44,'Dados Funil'!A:A,'Dados Funil'!AM:AM,"")</f>
        <v/>
      </c>
      <c r="AH44" s="4" t="str">
        <f t="array" ref="AH44">XLOOKUP(AC44,'Dados Funil'!A:A,'Dados Funil'!AN:AN,"")</f>
        <v/>
      </c>
    </row>
    <row r="45">
      <c r="A45" s="4"/>
      <c r="B45" s="4"/>
      <c r="C45" s="7" t="str">
        <f t="shared" si="1"/>
        <v/>
      </c>
      <c r="D45" s="4" t="str">
        <f t="shared" si="9"/>
        <v/>
      </c>
      <c r="E45" s="4" t="str">
        <f t="array" ref="E45">XLOOKUP(A45,'Dados Funil'!$A:$A,'Dados Funil'!$K:$K,"")</f>
        <v/>
      </c>
      <c r="F45" s="4" t="str">
        <f t="array" ref="F45">XLOOKUP(A45,'Dados Funil'!$A:$A,'Dados Funil'!$L:$L,"")</f>
        <v/>
      </c>
      <c r="G45" s="4"/>
      <c r="H45" s="4"/>
      <c r="I45" s="7" t="str">
        <f t="shared" si="2"/>
        <v/>
      </c>
      <c r="J45" s="4" t="str">
        <f t="shared" si="10"/>
        <v/>
      </c>
      <c r="K45" s="4" t="str">
        <f t="array" ref="K45">XLOOKUP(G45,'Dados Funil'!A:A,'Dados Funil'!O:O,"")</f>
        <v/>
      </c>
      <c r="L45" s="4"/>
      <c r="M45" s="4"/>
      <c r="N45" s="7" t="str">
        <f t="shared" si="3"/>
        <v/>
      </c>
      <c r="O45" s="4" t="str">
        <f t="shared" si="11"/>
        <v/>
      </c>
      <c r="P45" s="4" t="str">
        <f t="array" ref="P45">XLOOKUP(L45,'Dados Funil'!A:A,'Dados Funil'!AM:AM,"")</f>
        <v/>
      </c>
      <c r="Q45" s="4" t="str">
        <f t="array" ref="Q45">XLOOKUP(L45,'Dados Funil'!A:A,'Dados Funil'!AN:AN,"")</f>
        <v/>
      </c>
      <c r="T45" s="7" t="str">
        <f t="shared" si="4"/>
        <v/>
      </c>
      <c r="U45" s="4" t="str">
        <f t="shared" si="12"/>
        <v/>
      </c>
      <c r="V45" s="4" t="str">
        <f t="array" ref="V45">XLOOKUP(R45,'Dados Funil'!$A:$A,'Dados Funil'!$K:$K,"")</f>
        <v/>
      </c>
      <c r="W45" s="4" t="str">
        <f t="array" ref="W45">XLOOKUP(R45,'Dados Funil'!$A:$A,'Dados Funil'!$L:$L,"")</f>
        <v/>
      </c>
      <c r="X45" s="4"/>
      <c r="Y45" s="4"/>
      <c r="Z45" s="7" t="str">
        <f t="shared" si="5"/>
        <v/>
      </c>
      <c r="AA45" s="4" t="str">
        <f t="shared" si="13"/>
        <v/>
      </c>
      <c r="AB45" s="4" t="str">
        <f t="array" ref="AB45">XLOOKUP(X45,'Dados Funil'!A:A,'Dados Funil'!O:O,"")</f>
        <v/>
      </c>
      <c r="AE45" s="7" t="str">
        <f t="shared" si="6"/>
        <v/>
      </c>
      <c r="AG45" s="4" t="str">
        <f t="array" ref="AG45">XLOOKUP(AC45,'Dados Funil'!A:A,'Dados Funil'!AM:AM,"")</f>
        <v/>
      </c>
      <c r="AH45" s="4" t="str">
        <f t="array" ref="AH45">XLOOKUP(AC45,'Dados Funil'!A:A,'Dados Funil'!AN:AN,"")</f>
        <v/>
      </c>
    </row>
    <row r="46">
      <c r="A46" s="4"/>
      <c r="B46" s="4"/>
      <c r="C46" s="7" t="str">
        <f t="shared" si="1"/>
        <v/>
      </c>
      <c r="D46" s="4" t="str">
        <f t="shared" si="9"/>
        <v/>
      </c>
      <c r="E46" s="4" t="str">
        <f t="array" ref="E46">XLOOKUP(A46,'Dados Funil'!$A:$A,'Dados Funil'!$K:$K,"")</f>
        <v/>
      </c>
      <c r="F46" s="4" t="str">
        <f t="array" ref="F46">XLOOKUP(A46,'Dados Funil'!$A:$A,'Dados Funil'!$L:$L,"")</f>
        <v/>
      </c>
      <c r="G46" s="4"/>
      <c r="H46" s="4"/>
      <c r="I46" s="7" t="str">
        <f t="shared" si="2"/>
        <v/>
      </c>
      <c r="J46" s="4" t="str">
        <f t="shared" si="10"/>
        <v/>
      </c>
      <c r="K46" s="4" t="str">
        <f t="array" ref="K46">XLOOKUP(G46,'Dados Funil'!A:A,'Dados Funil'!O:O,"")</f>
        <v/>
      </c>
      <c r="L46" s="4"/>
      <c r="M46" s="4"/>
      <c r="N46" s="7" t="str">
        <f t="shared" si="3"/>
        <v/>
      </c>
      <c r="O46" s="4" t="str">
        <f t="shared" si="11"/>
        <v/>
      </c>
      <c r="P46" s="4" t="str">
        <f t="array" ref="P46">XLOOKUP(L46,'Dados Funil'!A:A,'Dados Funil'!AM:AM,"")</f>
        <v/>
      </c>
      <c r="Q46" s="4" t="str">
        <f t="array" ref="Q46">XLOOKUP(L46,'Dados Funil'!A:A,'Dados Funil'!AN:AN,"")</f>
        <v/>
      </c>
      <c r="T46" s="7" t="str">
        <f t="shared" si="4"/>
        <v/>
      </c>
      <c r="U46" s="4" t="str">
        <f t="shared" si="12"/>
        <v/>
      </c>
      <c r="V46" s="4" t="str">
        <f t="array" ref="V46">XLOOKUP(R46,'Dados Funil'!$A:$A,'Dados Funil'!$K:$K,"")</f>
        <v/>
      </c>
      <c r="W46" s="4" t="str">
        <f t="array" ref="W46">XLOOKUP(R46,'Dados Funil'!$A:$A,'Dados Funil'!$L:$L,"")</f>
        <v/>
      </c>
      <c r="X46" s="4"/>
      <c r="Y46" s="4"/>
      <c r="Z46" s="7" t="str">
        <f t="shared" si="5"/>
        <v/>
      </c>
      <c r="AA46" s="4" t="str">
        <f t="shared" si="13"/>
        <v/>
      </c>
      <c r="AB46" s="4" t="str">
        <f t="array" ref="AB46">XLOOKUP(X46,'Dados Funil'!A:A,'Dados Funil'!O:O,"")</f>
        <v/>
      </c>
      <c r="AE46" s="7" t="str">
        <f t="shared" si="6"/>
        <v/>
      </c>
      <c r="AG46" s="4" t="str">
        <f t="array" ref="AG46">XLOOKUP(AC46,'Dados Funil'!A:A,'Dados Funil'!AM:AM,"")</f>
        <v/>
      </c>
      <c r="AH46" s="4" t="str">
        <f t="array" ref="AH46">XLOOKUP(AC46,'Dados Funil'!A:A,'Dados Funil'!AN:AN,"")</f>
        <v/>
      </c>
    </row>
    <row r="47">
      <c r="A47" s="4"/>
      <c r="B47" s="4"/>
      <c r="C47" s="7" t="str">
        <f t="shared" si="1"/>
        <v/>
      </c>
      <c r="D47" s="4" t="str">
        <f t="shared" si="9"/>
        <v/>
      </c>
      <c r="E47" s="4" t="str">
        <f t="array" ref="E47">XLOOKUP(A47,'Dados Funil'!$A:$A,'Dados Funil'!$K:$K,"")</f>
        <v/>
      </c>
      <c r="F47" s="4" t="str">
        <f t="array" ref="F47">XLOOKUP(A47,'Dados Funil'!$A:$A,'Dados Funil'!$L:$L,"")</f>
        <v/>
      </c>
      <c r="G47" s="4"/>
      <c r="H47" s="4"/>
      <c r="I47" s="7" t="str">
        <f t="shared" si="2"/>
        <v/>
      </c>
      <c r="J47" s="4" t="str">
        <f t="shared" si="10"/>
        <v/>
      </c>
      <c r="K47" s="4" t="str">
        <f t="array" ref="K47">XLOOKUP(G47,'Dados Funil'!A:A,'Dados Funil'!O:O,"")</f>
        <v/>
      </c>
      <c r="L47" s="4"/>
      <c r="M47" s="4"/>
      <c r="N47" s="7" t="str">
        <f t="shared" si="3"/>
        <v/>
      </c>
      <c r="O47" s="4" t="str">
        <f t="shared" si="11"/>
        <v/>
      </c>
      <c r="P47" s="4" t="str">
        <f t="array" ref="P47">XLOOKUP(L47,'Dados Funil'!A:A,'Dados Funil'!AM:AM,"")</f>
        <v/>
      </c>
      <c r="Q47" s="4" t="str">
        <f t="array" ref="Q47">XLOOKUP(L47,'Dados Funil'!A:A,'Dados Funil'!AN:AN,"")</f>
        <v/>
      </c>
      <c r="T47" s="7" t="str">
        <f t="shared" si="4"/>
        <v/>
      </c>
      <c r="U47" s="4" t="str">
        <f t="shared" si="12"/>
        <v/>
      </c>
      <c r="V47" s="4" t="str">
        <f t="array" ref="V47">XLOOKUP(R47,'Dados Funil'!$A:$A,'Dados Funil'!$K:$K,"")</f>
        <v/>
      </c>
      <c r="W47" s="4" t="str">
        <f t="array" ref="W47">XLOOKUP(R47,'Dados Funil'!$A:$A,'Dados Funil'!$L:$L,"")</f>
        <v/>
      </c>
      <c r="X47" s="4"/>
      <c r="Y47" s="4"/>
      <c r="Z47" s="7" t="str">
        <f t="shared" si="5"/>
        <v/>
      </c>
      <c r="AA47" s="4" t="str">
        <f t="shared" si="13"/>
        <v/>
      </c>
      <c r="AB47" s="4" t="str">
        <f t="array" ref="AB47">XLOOKUP(X47,'Dados Funil'!A:A,'Dados Funil'!O:O,"")</f>
        <v/>
      </c>
      <c r="AE47" s="7" t="str">
        <f t="shared" si="6"/>
        <v/>
      </c>
      <c r="AG47" s="4" t="str">
        <f t="array" ref="AG47">XLOOKUP(AC47,'Dados Funil'!A:A,'Dados Funil'!AM:AM,"")</f>
        <v/>
      </c>
      <c r="AH47" s="4" t="str">
        <f t="array" ref="AH47">XLOOKUP(AC47,'Dados Funil'!A:A,'Dados Funil'!AN:AN,"")</f>
        <v/>
      </c>
    </row>
    <row r="48">
      <c r="A48" s="4"/>
      <c r="B48" s="4"/>
      <c r="C48" s="7" t="str">
        <f t="shared" si="1"/>
        <v/>
      </c>
      <c r="D48" s="4" t="str">
        <f t="shared" si="9"/>
        <v/>
      </c>
      <c r="E48" s="4" t="str">
        <f t="array" ref="E48">XLOOKUP(A48,'Dados Funil'!$A:$A,'Dados Funil'!$K:$K,"")</f>
        <v/>
      </c>
      <c r="F48" s="4" t="str">
        <f t="array" ref="F48">XLOOKUP(A48,'Dados Funil'!$A:$A,'Dados Funil'!$L:$L,"")</f>
        <v/>
      </c>
      <c r="G48" s="4"/>
      <c r="H48" s="4"/>
      <c r="I48" s="7" t="str">
        <f t="shared" si="2"/>
        <v/>
      </c>
      <c r="J48" s="4" t="str">
        <f t="shared" si="10"/>
        <v/>
      </c>
      <c r="K48" s="4" t="str">
        <f t="array" ref="K48">XLOOKUP(G48,'Dados Funil'!A:A,'Dados Funil'!O:O,"")</f>
        <v/>
      </c>
      <c r="L48" s="4"/>
      <c r="M48" s="4"/>
      <c r="N48" s="7" t="str">
        <f t="shared" si="3"/>
        <v/>
      </c>
      <c r="O48" s="4" t="str">
        <f t="shared" si="11"/>
        <v/>
      </c>
      <c r="P48" s="4" t="str">
        <f t="array" ref="P48">XLOOKUP(L48,'Dados Funil'!A:A,'Dados Funil'!AM:AM,"")</f>
        <v/>
      </c>
      <c r="Q48" s="4" t="str">
        <f t="array" ref="Q48">XLOOKUP(L48,'Dados Funil'!A:A,'Dados Funil'!AN:AN,"")</f>
        <v/>
      </c>
      <c r="T48" s="7" t="str">
        <f t="shared" si="4"/>
        <v/>
      </c>
      <c r="U48" s="4" t="str">
        <f t="shared" si="12"/>
        <v/>
      </c>
      <c r="V48" s="4" t="str">
        <f t="array" ref="V48">XLOOKUP(R48,'Dados Funil'!$A:$A,'Dados Funil'!$K:$K,"")</f>
        <v/>
      </c>
      <c r="W48" s="4" t="str">
        <f t="array" ref="W48">XLOOKUP(R48,'Dados Funil'!$A:$A,'Dados Funil'!$L:$L,"")</f>
        <v/>
      </c>
      <c r="X48" s="4"/>
      <c r="Y48" s="4"/>
      <c r="Z48" s="7" t="str">
        <f t="shared" si="5"/>
        <v/>
      </c>
      <c r="AA48" s="4" t="str">
        <f t="shared" si="13"/>
        <v/>
      </c>
      <c r="AB48" s="4" t="str">
        <f t="array" ref="AB48">XLOOKUP(X48,'Dados Funil'!A:A,'Dados Funil'!O:O,"")</f>
        <v/>
      </c>
      <c r="AE48" s="7" t="str">
        <f t="shared" si="6"/>
        <v/>
      </c>
      <c r="AG48" s="4" t="str">
        <f t="array" ref="AG48">XLOOKUP(AC48,'Dados Funil'!A:A,'Dados Funil'!AM:AM,"")</f>
        <v/>
      </c>
      <c r="AH48" s="4" t="str">
        <f t="array" ref="AH48">XLOOKUP(AC48,'Dados Funil'!A:A,'Dados Funil'!AN:AN,"")</f>
        <v/>
      </c>
    </row>
    <row r="49">
      <c r="A49" s="4"/>
      <c r="B49" s="4"/>
      <c r="C49" s="7" t="str">
        <f t="shared" si="1"/>
        <v/>
      </c>
      <c r="D49" s="4" t="str">
        <f t="shared" si="9"/>
        <v/>
      </c>
      <c r="E49" s="4" t="str">
        <f t="array" ref="E49">XLOOKUP(A49,'Dados Funil'!$A:$A,'Dados Funil'!$K:$K,"")</f>
        <v/>
      </c>
      <c r="F49" s="4" t="str">
        <f t="array" ref="F49">XLOOKUP(A49,'Dados Funil'!$A:$A,'Dados Funil'!$L:$L,"")</f>
        <v/>
      </c>
      <c r="G49" s="4"/>
      <c r="H49" s="4"/>
      <c r="I49" s="7" t="str">
        <f t="shared" si="2"/>
        <v/>
      </c>
      <c r="J49" s="4" t="str">
        <f t="shared" si="10"/>
        <v/>
      </c>
      <c r="K49" s="4" t="str">
        <f t="array" ref="K49">XLOOKUP(G49,'Dados Funil'!A:A,'Dados Funil'!O:O,"")</f>
        <v/>
      </c>
      <c r="L49" s="4"/>
      <c r="M49" s="4"/>
      <c r="N49" s="7" t="str">
        <f t="shared" si="3"/>
        <v/>
      </c>
      <c r="O49" s="4" t="str">
        <f t="shared" si="11"/>
        <v/>
      </c>
      <c r="P49" s="4" t="str">
        <f t="array" ref="P49">XLOOKUP(L49,'Dados Funil'!A:A,'Dados Funil'!AM:AM,"")</f>
        <v/>
      </c>
      <c r="Q49" s="4" t="str">
        <f t="array" ref="Q49">XLOOKUP(L49,'Dados Funil'!A:A,'Dados Funil'!AN:AN,"")</f>
        <v/>
      </c>
      <c r="T49" s="7" t="str">
        <f t="shared" si="4"/>
        <v/>
      </c>
      <c r="U49" s="4" t="str">
        <f t="shared" si="12"/>
        <v/>
      </c>
      <c r="V49" s="4" t="str">
        <f t="array" ref="V49">XLOOKUP(R49,'Dados Funil'!$A:$A,'Dados Funil'!$K:$K,"")</f>
        <v/>
      </c>
      <c r="W49" s="4" t="str">
        <f t="array" ref="W49">XLOOKUP(R49,'Dados Funil'!$A:$A,'Dados Funil'!$L:$L,"")</f>
        <v/>
      </c>
      <c r="X49" s="4"/>
      <c r="Y49" s="4"/>
      <c r="Z49" s="7" t="str">
        <f t="shared" si="5"/>
        <v/>
      </c>
      <c r="AA49" s="4" t="str">
        <f t="shared" si="13"/>
        <v/>
      </c>
      <c r="AB49" s="4" t="str">
        <f t="array" ref="AB49">XLOOKUP(X49,'Dados Funil'!A:A,'Dados Funil'!O:O,"")</f>
        <v/>
      </c>
      <c r="AE49" s="7" t="str">
        <f t="shared" si="6"/>
        <v/>
      </c>
      <c r="AG49" s="4" t="str">
        <f t="array" ref="AG49">XLOOKUP(AC49,'Dados Funil'!A:A,'Dados Funil'!AM:AM,"")</f>
        <v/>
      </c>
      <c r="AH49" s="4" t="str">
        <f t="array" ref="AH49">XLOOKUP(AC49,'Dados Funil'!A:A,'Dados Funil'!AN:AN,"")</f>
        <v/>
      </c>
    </row>
    <row r="50">
      <c r="A50" s="4"/>
      <c r="B50" s="4"/>
      <c r="C50" s="7" t="str">
        <f t="shared" si="1"/>
        <v/>
      </c>
      <c r="D50" s="4" t="str">
        <f t="shared" si="9"/>
        <v/>
      </c>
      <c r="E50" s="4" t="str">
        <f t="array" ref="E50">XLOOKUP(A50,'Dados Funil'!$A:$A,'Dados Funil'!$K:$K,"")</f>
        <v/>
      </c>
      <c r="F50" s="4" t="str">
        <f t="array" ref="F50">XLOOKUP(A50,'Dados Funil'!$A:$A,'Dados Funil'!$L:$L,"")</f>
        <v/>
      </c>
      <c r="G50" s="4"/>
      <c r="H50" s="4"/>
      <c r="I50" s="7" t="str">
        <f t="shared" si="2"/>
        <v/>
      </c>
      <c r="J50" s="4" t="str">
        <f t="shared" si="10"/>
        <v/>
      </c>
      <c r="K50" s="4" t="str">
        <f t="array" ref="K50">XLOOKUP(G50,'Dados Funil'!A:A,'Dados Funil'!O:O,"")</f>
        <v/>
      </c>
      <c r="L50" s="4"/>
      <c r="M50" s="4"/>
      <c r="N50" s="7" t="str">
        <f t="shared" si="3"/>
        <v/>
      </c>
      <c r="O50" s="4" t="str">
        <f t="shared" si="11"/>
        <v/>
      </c>
      <c r="P50" s="4" t="str">
        <f t="array" ref="P50">XLOOKUP(L50,'Dados Funil'!A:A,'Dados Funil'!AM:AM,"")</f>
        <v/>
      </c>
      <c r="Q50" s="4" t="str">
        <f t="array" ref="Q50">XLOOKUP(L50,'Dados Funil'!A:A,'Dados Funil'!AN:AN,"")</f>
        <v/>
      </c>
      <c r="T50" s="7" t="str">
        <f t="shared" si="4"/>
        <v/>
      </c>
      <c r="U50" s="4" t="str">
        <f t="shared" si="12"/>
        <v/>
      </c>
      <c r="V50" s="4" t="str">
        <f t="array" ref="V50">XLOOKUP(R50,'Dados Funil'!$A:$A,'Dados Funil'!$K:$K,"")</f>
        <v/>
      </c>
      <c r="W50" s="4" t="str">
        <f t="array" ref="W50">XLOOKUP(R50,'Dados Funil'!$A:$A,'Dados Funil'!$L:$L,"")</f>
        <v/>
      </c>
      <c r="X50" s="4"/>
      <c r="Y50" s="4"/>
      <c r="Z50" s="7" t="str">
        <f t="shared" si="5"/>
        <v/>
      </c>
      <c r="AA50" s="4" t="str">
        <f t="shared" si="13"/>
        <v/>
      </c>
      <c r="AB50" s="4" t="str">
        <f t="array" ref="AB50">XLOOKUP(X50,'Dados Funil'!A:A,'Dados Funil'!O:O,"")</f>
        <v/>
      </c>
      <c r="AE50" s="7" t="str">
        <f t="shared" si="6"/>
        <v/>
      </c>
      <c r="AG50" s="4" t="str">
        <f t="array" ref="AG50">XLOOKUP(AC50,'Dados Funil'!A:A,'Dados Funil'!AM:AM,"")</f>
        <v/>
      </c>
      <c r="AH50" s="4" t="str">
        <f t="array" ref="AH50">XLOOKUP(AC50,'Dados Funil'!A:A,'Dados Funil'!AN:AN,"")</f>
        <v/>
      </c>
    </row>
    <row r="51">
      <c r="A51" s="4"/>
      <c r="B51" s="4"/>
      <c r="C51" s="7" t="str">
        <f t="shared" si="1"/>
        <v/>
      </c>
      <c r="D51" s="4" t="str">
        <f t="shared" si="9"/>
        <v/>
      </c>
      <c r="E51" s="4" t="str">
        <f t="array" ref="E51">XLOOKUP(A51,'Dados Funil'!$A:$A,'Dados Funil'!$K:$K,"")</f>
        <v/>
      </c>
      <c r="F51" s="4" t="str">
        <f t="array" ref="F51">XLOOKUP(A51,'Dados Funil'!$A:$A,'Dados Funil'!$L:$L,"")</f>
        <v/>
      </c>
      <c r="G51" s="4"/>
      <c r="H51" s="4"/>
      <c r="I51" s="7" t="str">
        <f t="shared" si="2"/>
        <v/>
      </c>
      <c r="J51" s="4" t="str">
        <f t="shared" si="10"/>
        <v/>
      </c>
      <c r="K51" s="4" t="str">
        <f t="array" ref="K51">XLOOKUP(G51,'Dados Funil'!A:A,'Dados Funil'!O:O,"")</f>
        <v/>
      </c>
      <c r="L51" s="4"/>
      <c r="M51" s="4"/>
      <c r="N51" s="7" t="str">
        <f t="shared" si="3"/>
        <v/>
      </c>
      <c r="O51" s="4" t="str">
        <f t="shared" si="11"/>
        <v/>
      </c>
      <c r="P51" s="4" t="str">
        <f t="array" ref="P51">XLOOKUP(L51,'Dados Funil'!A:A,'Dados Funil'!AM:AM,"")</f>
        <v/>
      </c>
      <c r="Q51" s="4" t="str">
        <f t="array" ref="Q51">XLOOKUP(L51,'Dados Funil'!A:A,'Dados Funil'!AN:AN,"")</f>
        <v/>
      </c>
      <c r="T51" s="7" t="str">
        <f t="shared" si="4"/>
        <v/>
      </c>
      <c r="U51" s="4" t="str">
        <f t="shared" si="12"/>
        <v/>
      </c>
      <c r="V51" s="4" t="str">
        <f t="array" ref="V51">XLOOKUP(R51,'Dados Funil'!$A:$A,'Dados Funil'!$K:$K,"")</f>
        <v/>
      </c>
      <c r="W51" s="4" t="str">
        <f t="array" ref="W51">XLOOKUP(R51,'Dados Funil'!$A:$A,'Dados Funil'!$L:$L,"")</f>
        <v/>
      </c>
      <c r="X51" s="4"/>
      <c r="Y51" s="4"/>
      <c r="Z51" s="7" t="str">
        <f t="shared" si="5"/>
        <v/>
      </c>
      <c r="AA51" s="4" t="str">
        <f t="shared" si="13"/>
        <v/>
      </c>
      <c r="AB51" s="4" t="str">
        <f t="array" ref="AB51">XLOOKUP(X51,'Dados Funil'!A:A,'Dados Funil'!O:O,"")</f>
        <v/>
      </c>
      <c r="AE51" s="7" t="str">
        <f t="shared" si="6"/>
        <v/>
      </c>
      <c r="AG51" s="4" t="str">
        <f t="array" ref="AG51">XLOOKUP(AC51,'Dados Funil'!A:A,'Dados Funil'!AM:AM,"")</f>
        <v/>
      </c>
      <c r="AH51" s="4" t="str">
        <f t="array" ref="AH51">XLOOKUP(AC51,'Dados Funil'!A:A,'Dados Funil'!AN:AN,"")</f>
        <v/>
      </c>
    </row>
    <row r="52">
      <c r="A52" s="4"/>
      <c r="B52" s="4"/>
      <c r="C52" s="7" t="str">
        <f t="shared" si="1"/>
        <v/>
      </c>
      <c r="D52" s="4" t="str">
        <f t="shared" si="9"/>
        <v/>
      </c>
      <c r="E52" s="4" t="str">
        <f t="array" ref="E52">XLOOKUP(A52,'Dados Funil'!$A:$A,'Dados Funil'!$K:$K,"")</f>
        <v/>
      </c>
      <c r="F52" s="4" t="str">
        <f t="array" ref="F52">XLOOKUP(A52,'Dados Funil'!$A:$A,'Dados Funil'!$L:$L,"")</f>
        <v/>
      </c>
      <c r="G52" s="4"/>
      <c r="H52" s="4"/>
      <c r="I52" s="7" t="str">
        <f t="shared" si="2"/>
        <v/>
      </c>
      <c r="J52" s="4" t="str">
        <f t="shared" si="10"/>
        <v/>
      </c>
      <c r="K52" s="4" t="str">
        <f t="array" ref="K52">XLOOKUP(G52,'Dados Funil'!A:A,'Dados Funil'!O:O,"")</f>
        <v/>
      </c>
      <c r="L52" s="4"/>
      <c r="M52" s="4"/>
      <c r="N52" s="7" t="str">
        <f t="shared" si="3"/>
        <v/>
      </c>
      <c r="O52" s="4" t="str">
        <f t="shared" si="11"/>
        <v/>
      </c>
      <c r="P52" s="4" t="str">
        <f t="array" ref="P52">XLOOKUP(L52,'Dados Funil'!A:A,'Dados Funil'!AM:AM,"")</f>
        <v/>
      </c>
      <c r="Q52" s="4" t="str">
        <f t="array" ref="Q52">XLOOKUP(L52,'Dados Funil'!A:A,'Dados Funil'!AN:AN,"")</f>
        <v/>
      </c>
      <c r="T52" s="7" t="str">
        <f t="shared" si="4"/>
        <v/>
      </c>
      <c r="U52" s="4" t="str">
        <f t="shared" si="12"/>
        <v/>
      </c>
      <c r="V52" s="4" t="str">
        <f t="array" ref="V52">XLOOKUP(R52,'Dados Funil'!$A:$A,'Dados Funil'!$K:$K,"")</f>
        <v/>
      </c>
      <c r="W52" s="4" t="str">
        <f t="array" ref="W52">XLOOKUP(R52,'Dados Funil'!$A:$A,'Dados Funil'!$L:$L,"")</f>
        <v/>
      </c>
      <c r="X52" s="4"/>
      <c r="Y52" s="4"/>
      <c r="Z52" s="7" t="str">
        <f t="shared" si="5"/>
        <v/>
      </c>
      <c r="AA52" s="4" t="str">
        <f t="shared" si="13"/>
        <v/>
      </c>
      <c r="AB52" s="4" t="str">
        <f t="array" ref="AB52">XLOOKUP(X52,'Dados Funil'!A:A,'Dados Funil'!O:O,"")</f>
        <v/>
      </c>
      <c r="AE52" s="7" t="str">
        <f t="shared" si="6"/>
        <v/>
      </c>
      <c r="AG52" s="4" t="str">
        <f t="array" ref="AG52">XLOOKUP(AC52,'Dados Funil'!A:A,'Dados Funil'!AM:AM,"")</f>
        <v/>
      </c>
      <c r="AH52" s="4" t="str">
        <f t="array" ref="AH52">XLOOKUP(AC52,'Dados Funil'!A:A,'Dados Funil'!AN:AN,"")</f>
        <v/>
      </c>
    </row>
    <row r="53">
      <c r="A53" s="4"/>
      <c r="B53" s="4"/>
      <c r="C53" s="7" t="str">
        <f t="shared" si="1"/>
        <v/>
      </c>
      <c r="D53" s="4" t="str">
        <f t="shared" si="9"/>
        <v/>
      </c>
      <c r="E53" s="4" t="str">
        <f t="array" ref="E53">XLOOKUP(A53,'Dados Funil'!$A:$A,'Dados Funil'!$K:$K,"")</f>
        <v/>
      </c>
      <c r="F53" s="4" t="str">
        <f t="array" ref="F53">XLOOKUP(A53,'Dados Funil'!$A:$A,'Dados Funil'!$L:$L,"")</f>
        <v/>
      </c>
      <c r="G53" s="4"/>
      <c r="H53" s="4"/>
      <c r="I53" s="7" t="str">
        <f t="shared" si="2"/>
        <v/>
      </c>
      <c r="J53" s="4" t="str">
        <f t="shared" si="10"/>
        <v/>
      </c>
      <c r="K53" s="4" t="str">
        <f t="array" ref="K53">XLOOKUP(G53,'Dados Funil'!A:A,'Dados Funil'!O:O,"")</f>
        <v/>
      </c>
      <c r="L53" s="4"/>
      <c r="M53" s="4"/>
      <c r="N53" s="7" t="str">
        <f t="shared" si="3"/>
        <v/>
      </c>
      <c r="O53" s="4" t="str">
        <f t="shared" si="11"/>
        <v/>
      </c>
      <c r="P53" s="4" t="str">
        <f t="array" ref="P53">XLOOKUP(L53,'Dados Funil'!A:A,'Dados Funil'!AM:AM,"")</f>
        <v/>
      </c>
      <c r="Q53" s="4" t="str">
        <f t="array" ref="Q53">XLOOKUP(L53,'Dados Funil'!A:A,'Dados Funil'!AN:AN,"")</f>
        <v/>
      </c>
      <c r="T53" s="7" t="str">
        <f t="shared" si="4"/>
        <v/>
      </c>
      <c r="U53" s="4" t="str">
        <f t="shared" si="12"/>
        <v/>
      </c>
      <c r="V53" s="4" t="str">
        <f t="array" ref="V53">XLOOKUP(R53,'Dados Funil'!$A:$A,'Dados Funil'!$K:$K,"")</f>
        <v/>
      </c>
      <c r="W53" s="4" t="str">
        <f t="array" ref="W53">XLOOKUP(R53,'Dados Funil'!$A:$A,'Dados Funil'!$L:$L,"")</f>
        <v/>
      </c>
      <c r="X53" s="4"/>
      <c r="Y53" s="4"/>
      <c r="Z53" s="7" t="str">
        <f t="shared" si="5"/>
        <v/>
      </c>
      <c r="AA53" s="4" t="str">
        <f t="shared" si="13"/>
        <v/>
      </c>
      <c r="AB53" s="4" t="str">
        <f t="array" ref="AB53">XLOOKUP(X53,'Dados Funil'!A:A,'Dados Funil'!O:O,"")</f>
        <v/>
      </c>
      <c r="AE53" s="7" t="str">
        <f t="shared" si="6"/>
        <v/>
      </c>
      <c r="AG53" s="4" t="str">
        <f t="array" ref="AG53">XLOOKUP(AC53,'Dados Funil'!A:A,'Dados Funil'!AM:AM,"")</f>
        <v/>
      </c>
      <c r="AH53" s="4" t="str">
        <f t="array" ref="AH53">XLOOKUP(AC53,'Dados Funil'!A:A,'Dados Funil'!AN:AN,"")</f>
        <v/>
      </c>
    </row>
    <row r="54">
      <c r="A54" s="4"/>
      <c r="B54" s="4"/>
      <c r="C54" s="7" t="str">
        <f t="shared" si="1"/>
        <v/>
      </c>
      <c r="D54" s="4" t="str">
        <f t="shared" si="9"/>
        <v/>
      </c>
      <c r="E54" s="4" t="str">
        <f t="array" ref="E54">XLOOKUP(A54,'Dados Funil'!$A:$A,'Dados Funil'!$K:$K,"")</f>
        <v/>
      </c>
      <c r="F54" s="4" t="str">
        <f t="array" ref="F54">XLOOKUP(A54,'Dados Funil'!$A:$A,'Dados Funil'!$L:$L,"")</f>
        <v/>
      </c>
      <c r="G54" s="4"/>
      <c r="H54" s="4"/>
      <c r="I54" s="7" t="str">
        <f t="shared" si="2"/>
        <v/>
      </c>
      <c r="J54" s="4" t="str">
        <f t="shared" si="10"/>
        <v/>
      </c>
      <c r="K54" s="4" t="str">
        <f t="array" ref="K54">XLOOKUP(G54,'Dados Funil'!A:A,'Dados Funil'!O:O,"")</f>
        <v/>
      </c>
      <c r="L54" s="4"/>
      <c r="M54" s="4"/>
      <c r="N54" s="7" t="str">
        <f t="shared" si="3"/>
        <v/>
      </c>
      <c r="O54" s="4" t="str">
        <f t="shared" si="11"/>
        <v/>
      </c>
      <c r="P54" s="4" t="str">
        <f t="array" ref="P54">XLOOKUP(L54,'Dados Funil'!A:A,'Dados Funil'!AM:AM,"")</f>
        <v/>
      </c>
      <c r="Q54" s="4" t="str">
        <f t="array" ref="Q54">XLOOKUP(L54,'Dados Funil'!A:A,'Dados Funil'!AN:AN,"")</f>
        <v/>
      </c>
      <c r="T54" s="7" t="str">
        <f t="shared" si="4"/>
        <v/>
      </c>
      <c r="U54" s="4" t="str">
        <f t="shared" si="12"/>
        <v/>
      </c>
      <c r="V54" s="4" t="str">
        <f t="array" ref="V54">XLOOKUP(R54,'Dados Funil'!$A:$A,'Dados Funil'!$K:$K,"")</f>
        <v/>
      </c>
      <c r="W54" s="4" t="str">
        <f t="array" ref="W54">XLOOKUP(R54,'Dados Funil'!$A:$A,'Dados Funil'!$L:$L,"")</f>
        <v/>
      </c>
      <c r="X54" s="4"/>
      <c r="Y54" s="4"/>
      <c r="Z54" s="7" t="str">
        <f t="shared" si="5"/>
        <v/>
      </c>
      <c r="AA54" s="4" t="str">
        <f t="shared" si="13"/>
        <v/>
      </c>
      <c r="AB54" s="4" t="str">
        <f t="array" ref="AB54">XLOOKUP(X54,'Dados Funil'!A:A,'Dados Funil'!O:O,"")</f>
        <v/>
      </c>
      <c r="AE54" s="7" t="str">
        <f t="shared" si="6"/>
        <v/>
      </c>
      <c r="AG54" s="4" t="str">
        <f t="array" ref="AG54">XLOOKUP(AC54,'Dados Funil'!A:A,'Dados Funil'!AM:AM,"")</f>
        <v/>
      </c>
      <c r="AH54" s="4" t="str">
        <f t="array" ref="AH54">XLOOKUP(AC54,'Dados Funil'!A:A,'Dados Funil'!AN:AN,"")</f>
        <v/>
      </c>
    </row>
    <row r="55">
      <c r="A55" s="4"/>
      <c r="B55" s="4"/>
      <c r="C55" s="7" t="str">
        <f t="shared" si="1"/>
        <v/>
      </c>
      <c r="D55" s="4" t="str">
        <f t="shared" si="9"/>
        <v/>
      </c>
      <c r="E55" s="4" t="str">
        <f t="array" ref="E55">XLOOKUP(A55,'Dados Funil'!$A:$A,'Dados Funil'!$K:$K,"")</f>
        <v/>
      </c>
      <c r="F55" s="4" t="str">
        <f t="array" ref="F55">XLOOKUP(A55,'Dados Funil'!$A:$A,'Dados Funil'!$L:$L,"")</f>
        <v/>
      </c>
      <c r="G55" s="4"/>
      <c r="H55" s="4"/>
      <c r="I55" s="7" t="str">
        <f t="shared" si="2"/>
        <v/>
      </c>
      <c r="J55" s="4" t="str">
        <f t="shared" si="10"/>
        <v/>
      </c>
      <c r="K55" s="4" t="str">
        <f t="array" ref="K55">XLOOKUP(G55,'Dados Funil'!A:A,'Dados Funil'!O:O,"")</f>
        <v/>
      </c>
      <c r="L55" s="4"/>
      <c r="M55" s="4"/>
      <c r="N55" s="7" t="str">
        <f t="shared" si="3"/>
        <v/>
      </c>
      <c r="O55" s="4" t="str">
        <f t="shared" si="11"/>
        <v/>
      </c>
      <c r="P55" s="4" t="str">
        <f t="array" ref="P55">XLOOKUP(L55,'Dados Funil'!A:A,'Dados Funil'!AM:AM,"")</f>
        <v/>
      </c>
      <c r="Q55" s="4" t="str">
        <f t="array" ref="Q55">XLOOKUP(L55,'Dados Funil'!A:A,'Dados Funil'!AN:AN,"")</f>
        <v/>
      </c>
      <c r="T55" s="7" t="str">
        <f t="shared" si="4"/>
        <v/>
      </c>
      <c r="U55" s="4" t="str">
        <f t="shared" si="12"/>
        <v/>
      </c>
      <c r="V55" s="4" t="str">
        <f t="array" ref="V55">XLOOKUP(R55,'Dados Funil'!$A:$A,'Dados Funil'!$K:$K,"")</f>
        <v/>
      </c>
      <c r="W55" s="4" t="str">
        <f t="array" ref="W55">XLOOKUP(R55,'Dados Funil'!$A:$A,'Dados Funil'!$L:$L,"")</f>
        <v/>
      </c>
      <c r="X55" s="4"/>
      <c r="Y55" s="4"/>
      <c r="Z55" s="7" t="str">
        <f t="shared" si="5"/>
        <v/>
      </c>
      <c r="AA55" s="4" t="str">
        <f t="shared" si="13"/>
        <v/>
      </c>
      <c r="AB55" s="4" t="str">
        <f t="array" ref="AB55">XLOOKUP(X55,'Dados Funil'!A:A,'Dados Funil'!O:O,"")</f>
        <v/>
      </c>
      <c r="AE55" s="7" t="str">
        <f t="shared" si="6"/>
        <v/>
      </c>
      <c r="AG55" s="4" t="str">
        <f t="array" ref="AG55">XLOOKUP(AC55,'Dados Funil'!A:A,'Dados Funil'!AM:AM,"")</f>
        <v/>
      </c>
      <c r="AH55" s="4" t="str">
        <f t="array" ref="AH55">XLOOKUP(AC55,'Dados Funil'!A:A,'Dados Funil'!AN:AN,"")</f>
        <v/>
      </c>
    </row>
    <row r="56">
      <c r="A56" s="4"/>
      <c r="B56" s="4"/>
      <c r="C56" s="7" t="str">
        <f t="shared" si="1"/>
        <v/>
      </c>
      <c r="D56" s="4" t="str">
        <f t="shared" si="9"/>
        <v/>
      </c>
      <c r="E56" s="4" t="str">
        <f t="array" ref="E56">XLOOKUP(A56,'Dados Funil'!$A:$A,'Dados Funil'!$K:$K,"")</f>
        <v/>
      </c>
      <c r="F56" s="4" t="str">
        <f t="array" ref="F56">XLOOKUP(A56,'Dados Funil'!$A:$A,'Dados Funil'!$L:$L,"")</f>
        <v/>
      </c>
      <c r="G56" s="4"/>
      <c r="H56" s="4"/>
      <c r="I56" s="7" t="str">
        <f t="shared" si="2"/>
        <v/>
      </c>
      <c r="J56" s="4" t="str">
        <f t="shared" si="10"/>
        <v/>
      </c>
      <c r="K56" s="4" t="str">
        <f t="array" ref="K56">XLOOKUP(G56,'Dados Funil'!A:A,'Dados Funil'!O:O,"")</f>
        <v/>
      </c>
      <c r="L56" s="4"/>
      <c r="M56" s="4"/>
      <c r="N56" s="7" t="str">
        <f t="shared" si="3"/>
        <v/>
      </c>
      <c r="O56" s="4" t="str">
        <f t="shared" si="11"/>
        <v/>
      </c>
      <c r="P56" s="4" t="str">
        <f t="array" ref="P56">XLOOKUP(L56,'Dados Funil'!A:A,'Dados Funil'!AM:AM,"")</f>
        <v/>
      </c>
      <c r="Q56" s="4" t="str">
        <f t="array" ref="Q56">XLOOKUP(L56,'Dados Funil'!A:A,'Dados Funil'!AN:AN,"")</f>
        <v/>
      </c>
      <c r="T56" s="7" t="str">
        <f t="shared" si="4"/>
        <v/>
      </c>
      <c r="U56" s="4" t="str">
        <f t="shared" si="12"/>
        <v/>
      </c>
      <c r="V56" s="4" t="str">
        <f t="array" ref="V56">XLOOKUP(R56,'Dados Funil'!$A:$A,'Dados Funil'!$K:$K,"")</f>
        <v/>
      </c>
      <c r="W56" s="4" t="str">
        <f t="array" ref="W56">XLOOKUP(R56,'Dados Funil'!$A:$A,'Dados Funil'!$L:$L,"")</f>
        <v/>
      </c>
      <c r="X56" s="4"/>
      <c r="Y56" s="4"/>
      <c r="Z56" s="7" t="str">
        <f t="shared" si="5"/>
        <v/>
      </c>
      <c r="AA56" s="4" t="str">
        <f t="shared" si="13"/>
        <v/>
      </c>
      <c r="AB56" s="4" t="str">
        <f t="array" ref="AB56">XLOOKUP(X56,'Dados Funil'!A:A,'Dados Funil'!O:O,"")</f>
        <v/>
      </c>
      <c r="AE56" s="7" t="str">
        <f t="shared" si="6"/>
        <v/>
      </c>
      <c r="AG56" s="4" t="str">
        <f t="array" ref="AG56">XLOOKUP(AC56,'Dados Funil'!A:A,'Dados Funil'!AM:AM,"")</f>
        <v/>
      </c>
      <c r="AH56" s="4" t="str">
        <f t="array" ref="AH56">XLOOKUP(AC56,'Dados Funil'!A:A,'Dados Funil'!AN:AN,"")</f>
        <v/>
      </c>
    </row>
    <row r="57">
      <c r="A57" s="4"/>
      <c r="B57" s="4"/>
      <c r="C57" s="7" t="str">
        <f t="shared" si="1"/>
        <v/>
      </c>
      <c r="D57" s="4" t="str">
        <f t="shared" si="9"/>
        <v/>
      </c>
      <c r="E57" s="4" t="str">
        <f t="array" ref="E57">XLOOKUP(A57,'Dados Funil'!$A:$A,'Dados Funil'!$K:$K,"")</f>
        <v/>
      </c>
      <c r="F57" s="4" t="str">
        <f t="array" ref="F57">XLOOKUP(A57,'Dados Funil'!$A:$A,'Dados Funil'!$L:$L,"")</f>
        <v/>
      </c>
      <c r="G57" s="4"/>
      <c r="H57" s="4"/>
      <c r="I57" s="7" t="str">
        <f t="shared" si="2"/>
        <v/>
      </c>
      <c r="J57" s="4" t="str">
        <f t="shared" si="10"/>
        <v/>
      </c>
      <c r="K57" s="4" t="str">
        <f t="array" ref="K57">XLOOKUP(G57,'Dados Funil'!A:A,'Dados Funil'!O:O,"")</f>
        <v/>
      </c>
      <c r="L57" s="4"/>
      <c r="M57" s="4"/>
      <c r="N57" s="7" t="str">
        <f t="shared" si="3"/>
        <v/>
      </c>
      <c r="O57" s="4" t="str">
        <f t="shared" si="11"/>
        <v/>
      </c>
      <c r="P57" s="4" t="str">
        <f t="array" ref="P57">XLOOKUP(L57,'Dados Funil'!A:A,'Dados Funil'!AM:AM,"")</f>
        <v/>
      </c>
      <c r="Q57" s="4" t="str">
        <f t="array" ref="Q57">XLOOKUP(L57,'Dados Funil'!A:A,'Dados Funil'!AN:AN,"")</f>
        <v/>
      </c>
      <c r="T57" s="7" t="str">
        <f t="shared" si="4"/>
        <v/>
      </c>
      <c r="U57" s="4" t="str">
        <f t="shared" si="12"/>
        <v/>
      </c>
      <c r="V57" s="4" t="str">
        <f t="array" ref="V57">XLOOKUP(R57,'Dados Funil'!$A:$A,'Dados Funil'!$K:$K,"")</f>
        <v/>
      </c>
      <c r="W57" s="4" t="str">
        <f t="array" ref="W57">XLOOKUP(R57,'Dados Funil'!$A:$A,'Dados Funil'!$L:$L,"")</f>
        <v/>
      </c>
      <c r="X57" s="4"/>
      <c r="Y57" s="4"/>
      <c r="Z57" s="7" t="str">
        <f t="shared" si="5"/>
        <v/>
      </c>
      <c r="AA57" s="4" t="str">
        <f t="shared" si="13"/>
        <v/>
      </c>
      <c r="AB57" s="4" t="str">
        <f t="array" ref="AB57">XLOOKUP(X57,'Dados Funil'!A:A,'Dados Funil'!O:O,"")</f>
        <v/>
      </c>
      <c r="AE57" s="7" t="str">
        <f t="shared" si="6"/>
        <v/>
      </c>
      <c r="AG57" s="4" t="str">
        <f t="array" ref="AG57">XLOOKUP(AC57,'Dados Funil'!A:A,'Dados Funil'!AM:AM,"")</f>
        <v/>
      </c>
      <c r="AH57" s="4" t="str">
        <f t="array" ref="AH57">XLOOKUP(AC57,'Dados Funil'!A:A,'Dados Funil'!AN:AN,"")</f>
        <v/>
      </c>
    </row>
    <row r="58">
      <c r="A58" s="4"/>
      <c r="B58" s="4"/>
      <c r="C58" s="7" t="str">
        <f t="shared" si="1"/>
        <v/>
      </c>
      <c r="D58" s="4" t="str">
        <f t="shared" si="9"/>
        <v/>
      </c>
      <c r="E58" s="4" t="str">
        <f t="array" ref="E58">XLOOKUP(A58,'Dados Funil'!$A:$A,'Dados Funil'!$K:$K,"")</f>
        <v/>
      </c>
      <c r="F58" s="4" t="str">
        <f t="array" ref="F58">XLOOKUP(A58,'Dados Funil'!$A:$A,'Dados Funil'!$L:$L,"")</f>
        <v/>
      </c>
      <c r="G58" s="4"/>
      <c r="H58" s="4"/>
      <c r="I58" s="7" t="str">
        <f t="shared" si="2"/>
        <v/>
      </c>
      <c r="J58" s="4" t="str">
        <f t="shared" si="10"/>
        <v/>
      </c>
      <c r="K58" s="4" t="str">
        <f t="array" ref="K58">XLOOKUP(G58,'Dados Funil'!A:A,'Dados Funil'!O:O,"")</f>
        <v/>
      </c>
      <c r="L58" s="4"/>
      <c r="M58" s="4"/>
      <c r="N58" s="7" t="str">
        <f t="shared" si="3"/>
        <v/>
      </c>
      <c r="O58" s="4" t="str">
        <f t="shared" si="11"/>
        <v/>
      </c>
      <c r="P58" s="4" t="str">
        <f t="array" ref="P58">XLOOKUP(L58,'Dados Funil'!A:A,'Dados Funil'!AM:AM,"")</f>
        <v/>
      </c>
      <c r="Q58" s="4" t="str">
        <f t="array" ref="Q58">XLOOKUP(L58,'Dados Funil'!A:A,'Dados Funil'!AN:AN,"")</f>
        <v/>
      </c>
      <c r="T58" s="7" t="str">
        <f t="shared" si="4"/>
        <v/>
      </c>
      <c r="U58" s="4" t="str">
        <f t="shared" si="12"/>
        <v/>
      </c>
      <c r="V58" s="4" t="str">
        <f t="array" ref="V58">XLOOKUP(R58,'Dados Funil'!$A:$A,'Dados Funil'!$K:$K,"")</f>
        <v/>
      </c>
      <c r="W58" s="4" t="str">
        <f t="array" ref="W58">XLOOKUP(R58,'Dados Funil'!$A:$A,'Dados Funil'!$L:$L,"")</f>
        <v/>
      </c>
      <c r="X58" s="4"/>
      <c r="Y58" s="4"/>
      <c r="Z58" s="7" t="str">
        <f t="shared" si="5"/>
        <v/>
      </c>
      <c r="AA58" s="4" t="str">
        <f t="shared" si="13"/>
        <v/>
      </c>
      <c r="AB58" s="4" t="str">
        <f t="array" ref="AB58">XLOOKUP(X58,'Dados Funil'!A:A,'Dados Funil'!O:O,"")</f>
        <v/>
      </c>
      <c r="AE58" s="7" t="str">
        <f t="shared" si="6"/>
        <v/>
      </c>
      <c r="AG58" s="4" t="str">
        <f t="array" ref="AG58">XLOOKUP(AC58,'Dados Funil'!A:A,'Dados Funil'!AM:AM,"")</f>
        <v/>
      </c>
      <c r="AH58" s="4" t="str">
        <f t="array" ref="AH58">XLOOKUP(AC58,'Dados Funil'!A:A,'Dados Funil'!AN:AN,"")</f>
        <v/>
      </c>
    </row>
    <row r="59">
      <c r="A59" s="4"/>
      <c r="B59" s="4"/>
      <c r="C59" s="7" t="str">
        <f t="shared" si="1"/>
        <v/>
      </c>
      <c r="D59" s="4" t="str">
        <f t="shared" si="9"/>
        <v/>
      </c>
      <c r="E59" s="4" t="str">
        <f t="array" ref="E59">XLOOKUP(A59,'Dados Funil'!$A:$A,'Dados Funil'!$K:$K,"")</f>
        <v/>
      </c>
      <c r="F59" s="4" t="str">
        <f t="array" ref="F59">XLOOKUP(A59,'Dados Funil'!$A:$A,'Dados Funil'!$L:$L,"")</f>
        <v/>
      </c>
      <c r="G59" s="4"/>
      <c r="H59" s="4"/>
      <c r="I59" s="7" t="str">
        <f t="shared" si="2"/>
        <v/>
      </c>
      <c r="J59" s="4" t="str">
        <f t="shared" si="10"/>
        <v/>
      </c>
      <c r="K59" s="4" t="str">
        <f t="array" ref="K59">XLOOKUP(G59,'Dados Funil'!A:A,'Dados Funil'!O:O,"")</f>
        <v/>
      </c>
      <c r="L59" s="4"/>
      <c r="M59" s="4"/>
      <c r="N59" s="7" t="str">
        <f t="shared" si="3"/>
        <v/>
      </c>
      <c r="O59" s="4" t="str">
        <f t="shared" si="11"/>
        <v/>
      </c>
      <c r="P59" s="4" t="str">
        <f t="array" ref="P59">XLOOKUP(L59,'Dados Funil'!A:A,'Dados Funil'!AM:AM,"")</f>
        <v/>
      </c>
      <c r="Q59" s="4" t="str">
        <f t="array" ref="Q59">XLOOKUP(L59,'Dados Funil'!A:A,'Dados Funil'!AN:AN,"")</f>
        <v/>
      </c>
      <c r="T59" s="7" t="str">
        <f t="shared" si="4"/>
        <v/>
      </c>
      <c r="U59" s="4" t="str">
        <f t="shared" si="12"/>
        <v/>
      </c>
      <c r="V59" s="4" t="str">
        <f t="array" ref="V59">XLOOKUP(R59,'Dados Funil'!$A:$A,'Dados Funil'!$K:$K,"")</f>
        <v/>
      </c>
      <c r="W59" s="4" t="str">
        <f t="array" ref="W59">XLOOKUP(R59,'Dados Funil'!$A:$A,'Dados Funil'!$L:$L,"")</f>
        <v/>
      </c>
      <c r="X59" s="4"/>
      <c r="Y59" s="4"/>
      <c r="Z59" s="7" t="str">
        <f t="shared" si="5"/>
        <v/>
      </c>
      <c r="AA59" s="4" t="str">
        <f t="shared" si="13"/>
        <v/>
      </c>
      <c r="AB59" s="4" t="str">
        <f t="array" ref="AB59">XLOOKUP(X59,'Dados Funil'!A:A,'Dados Funil'!O:O,"")</f>
        <v/>
      </c>
      <c r="AE59" s="7" t="str">
        <f t="shared" si="6"/>
        <v/>
      </c>
      <c r="AG59" s="4" t="str">
        <f t="array" ref="AG59">XLOOKUP(AC59,'Dados Funil'!A:A,'Dados Funil'!AM:AM,"")</f>
        <v/>
      </c>
      <c r="AH59" s="4" t="str">
        <f t="array" ref="AH59">XLOOKUP(AC59,'Dados Funil'!A:A,'Dados Funil'!AN:AN,"")</f>
        <v/>
      </c>
    </row>
    <row r="60">
      <c r="A60" s="4"/>
      <c r="B60" s="4"/>
      <c r="C60" s="7" t="str">
        <f t="shared" si="1"/>
        <v/>
      </c>
      <c r="D60" s="4" t="str">
        <f t="shared" si="9"/>
        <v/>
      </c>
      <c r="E60" s="4" t="str">
        <f t="array" ref="E60">XLOOKUP(A60,'Dados Funil'!$A:$A,'Dados Funil'!$K:$K,"")</f>
        <v/>
      </c>
      <c r="F60" s="4" t="str">
        <f t="array" ref="F60">XLOOKUP(A60,'Dados Funil'!$A:$A,'Dados Funil'!$L:$L,"")</f>
        <v/>
      </c>
      <c r="G60" s="4"/>
      <c r="H60" s="4"/>
      <c r="I60" s="7" t="str">
        <f t="shared" si="2"/>
        <v/>
      </c>
      <c r="J60" s="4" t="str">
        <f t="shared" si="10"/>
        <v/>
      </c>
      <c r="K60" s="4" t="str">
        <f t="array" ref="K60">XLOOKUP(G60,'Dados Funil'!A:A,'Dados Funil'!O:O,"")</f>
        <v/>
      </c>
      <c r="L60" s="4"/>
      <c r="M60" s="4"/>
      <c r="N60" s="7" t="str">
        <f t="shared" si="3"/>
        <v/>
      </c>
      <c r="O60" s="4" t="str">
        <f t="shared" si="11"/>
        <v/>
      </c>
      <c r="P60" s="4" t="str">
        <f t="array" ref="P60">XLOOKUP(L60,'Dados Funil'!A:A,'Dados Funil'!AM:AM,"")</f>
        <v/>
      </c>
      <c r="Q60" s="4" t="str">
        <f t="array" ref="Q60">XLOOKUP(L60,'Dados Funil'!A:A,'Dados Funil'!AN:AN,"")</f>
        <v/>
      </c>
      <c r="T60" s="7" t="str">
        <f t="shared" si="4"/>
        <v/>
      </c>
      <c r="U60" s="4" t="str">
        <f t="shared" si="12"/>
        <v/>
      </c>
      <c r="V60" s="4" t="str">
        <f t="array" ref="V60">XLOOKUP(R60,'Dados Funil'!$A:$A,'Dados Funil'!$K:$K,"")</f>
        <v/>
      </c>
      <c r="W60" s="4" t="str">
        <f t="array" ref="W60">XLOOKUP(R60,'Dados Funil'!$A:$A,'Dados Funil'!$L:$L,"")</f>
        <v/>
      </c>
      <c r="X60" s="4"/>
      <c r="Y60" s="4"/>
      <c r="Z60" s="7" t="str">
        <f t="shared" si="5"/>
        <v/>
      </c>
      <c r="AA60" s="4" t="str">
        <f t="shared" si="13"/>
        <v/>
      </c>
      <c r="AB60" s="4" t="str">
        <f t="array" ref="AB60">XLOOKUP(X60,'Dados Funil'!A:A,'Dados Funil'!O:O,"")</f>
        <v/>
      </c>
      <c r="AE60" s="7" t="str">
        <f t="shared" si="6"/>
        <v/>
      </c>
      <c r="AG60" s="4" t="str">
        <f t="array" ref="AG60">XLOOKUP(AC60,'Dados Funil'!A:A,'Dados Funil'!AM:AM,"")</f>
        <v/>
      </c>
      <c r="AH60" s="4" t="str">
        <f t="array" ref="AH60">XLOOKUP(AC60,'Dados Funil'!A:A,'Dados Funil'!AN:AN,"")</f>
        <v/>
      </c>
    </row>
    <row r="61">
      <c r="A61" s="4"/>
      <c r="B61" s="4"/>
      <c r="C61" s="7" t="str">
        <f t="shared" si="1"/>
        <v/>
      </c>
      <c r="D61" s="4" t="str">
        <f t="shared" si="9"/>
        <v/>
      </c>
      <c r="E61" s="4" t="str">
        <f t="array" ref="E61">XLOOKUP(A61,'Dados Funil'!$A:$A,'Dados Funil'!$K:$K,"")</f>
        <v/>
      </c>
      <c r="F61" s="4" t="str">
        <f t="array" ref="F61">XLOOKUP(A61,'Dados Funil'!$A:$A,'Dados Funil'!$L:$L,"")</f>
        <v/>
      </c>
      <c r="G61" s="4"/>
      <c r="H61" s="4"/>
      <c r="I61" s="7" t="str">
        <f t="shared" si="2"/>
        <v/>
      </c>
      <c r="J61" s="4" t="str">
        <f t="shared" si="10"/>
        <v/>
      </c>
      <c r="K61" s="4" t="str">
        <f t="array" ref="K61">XLOOKUP(G61,'Dados Funil'!A:A,'Dados Funil'!O:O,"")</f>
        <v/>
      </c>
      <c r="L61" s="4"/>
      <c r="M61" s="4"/>
      <c r="N61" s="7" t="str">
        <f t="shared" si="3"/>
        <v/>
      </c>
      <c r="O61" s="4" t="str">
        <f t="shared" si="11"/>
        <v/>
      </c>
      <c r="P61" s="4" t="str">
        <f t="array" ref="P61">XLOOKUP(L61,'Dados Funil'!A:A,'Dados Funil'!AM:AM,"")</f>
        <v/>
      </c>
      <c r="Q61" s="4" t="str">
        <f t="array" ref="Q61">XLOOKUP(L61,'Dados Funil'!A:A,'Dados Funil'!AN:AN,"")</f>
        <v/>
      </c>
      <c r="T61" s="7" t="str">
        <f t="shared" si="4"/>
        <v/>
      </c>
      <c r="U61" s="4" t="str">
        <f t="shared" si="12"/>
        <v/>
      </c>
      <c r="V61" s="4" t="str">
        <f t="array" ref="V61">XLOOKUP(R61,'Dados Funil'!$A:$A,'Dados Funil'!$K:$K,"")</f>
        <v/>
      </c>
      <c r="W61" s="4" t="str">
        <f t="array" ref="W61">XLOOKUP(R61,'Dados Funil'!$A:$A,'Dados Funil'!$L:$L,"")</f>
        <v/>
      </c>
      <c r="X61" s="4"/>
      <c r="Y61" s="4"/>
      <c r="Z61" s="7" t="str">
        <f t="shared" si="5"/>
        <v/>
      </c>
      <c r="AA61" s="4" t="str">
        <f t="shared" si="13"/>
        <v/>
      </c>
      <c r="AB61" s="4" t="str">
        <f t="array" ref="AB61">XLOOKUP(X61,'Dados Funil'!A:A,'Dados Funil'!O:O,"")</f>
        <v/>
      </c>
      <c r="AE61" s="7" t="str">
        <f t="shared" si="6"/>
        <v/>
      </c>
      <c r="AG61" s="4" t="str">
        <f t="array" ref="AG61">XLOOKUP(AC61,'Dados Funil'!A:A,'Dados Funil'!AM:AM,"")</f>
        <v/>
      </c>
      <c r="AH61" s="4" t="str">
        <f t="array" ref="AH61">XLOOKUP(AC61,'Dados Funil'!A:A,'Dados Funil'!AN:AN,"")</f>
        <v/>
      </c>
    </row>
    <row r="62">
      <c r="A62" s="4"/>
      <c r="B62" s="4"/>
      <c r="C62" s="7" t="str">
        <f t="shared" si="1"/>
        <v/>
      </c>
      <c r="D62" s="4" t="str">
        <f t="shared" si="9"/>
        <v/>
      </c>
      <c r="E62" s="4" t="str">
        <f t="array" ref="E62">XLOOKUP(A62,'Dados Funil'!$A:$A,'Dados Funil'!$K:$K,"")</f>
        <v/>
      </c>
      <c r="F62" s="4" t="str">
        <f t="array" ref="F62">XLOOKUP(A62,'Dados Funil'!$A:$A,'Dados Funil'!$L:$L,"")</f>
        <v/>
      </c>
      <c r="G62" s="4"/>
      <c r="H62" s="4"/>
      <c r="I62" s="7" t="str">
        <f t="shared" si="2"/>
        <v/>
      </c>
      <c r="J62" s="4" t="str">
        <f t="shared" si="10"/>
        <v/>
      </c>
      <c r="K62" s="4" t="str">
        <f t="array" ref="K62">XLOOKUP(G62,'Dados Funil'!A:A,'Dados Funil'!O:O,"")</f>
        <v/>
      </c>
      <c r="L62" s="4"/>
      <c r="M62" s="4"/>
      <c r="N62" s="7" t="str">
        <f t="shared" si="3"/>
        <v/>
      </c>
      <c r="O62" s="4" t="str">
        <f t="shared" si="11"/>
        <v/>
      </c>
      <c r="P62" s="4" t="str">
        <f t="array" ref="P62">XLOOKUP(L62,'Dados Funil'!A:A,'Dados Funil'!AM:AM,"")</f>
        <v/>
      </c>
      <c r="Q62" s="4" t="str">
        <f t="array" ref="Q62">XLOOKUP(L62,'Dados Funil'!A:A,'Dados Funil'!AN:AN,"")</f>
        <v/>
      </c>
      <c r="T62" s="7" t="str">
        <f t="shared" si="4"/>
        <v/>
      </c>
      <c r="U62" s="4" t="str">
        <f t="shared" si="12"/>
        <v/>
      </c>
      <c r="V62" s="4" t="str">
        <f t="array" ref="V62">XLOOKUP(R62,'Dados Funil'!$A:$A,'Dados Funil'!$K:$K,"")</f>
        <v/>
      </c>
      <c r="W62" s="4" t="str">
        <f t="array" ref="W62">XLOOKUP(R62,'Dados Funil'!$A:$A,'Dados Funil'!$L:$L,"")</f>
        <v/>
      </c>
      <c r="X62" s="4"/>
      <c r="Y62" s="4"/>
      <c r="Z62" s="7" t="str">
        <f t="shared" si="5"/>
        <v/>
      </c>
      <c r="AA62" s="4" t="str">
        <f t="shared" si="13"/>
        <v/>
      </c>
      <c r="AB62" s="4" t="str">
        <f t="array" ref="AB62">XLOOKUP(X62,'Dados Funil'!A:A,'Dados Funil'!O:O,"")</f>
        <v/>
      </c>
      <c r="AE62" s="7" t="str">
        <f t="shared" si="6"/>
        <v/>
      </c>
      <c r="AG62" s="4" t="str">
        <f t="array" ref="AG62">XLOOKUP(AC62,'Dados Funil'!A:A,'Dados Funil'!AM:AM,"")</f>
        <v/>
      </c>
      <c r="AH62" s="4" t="str">
        <f t="array" ref="AH62">XLOOKUP(AC62,'Dados Funil'!A:A,'Dados Funil'!AN:AN,"")</f>
        <v/>
      </c>
    </row>
    <row r="63">
      <c r="A63" s="4"/>
      <c r="B63" s="4"/>
      <c r="C63" s="7" t="str">
        <f t="shared" si="1"/>
        <v/>
      </c>
      <c r="D63" s="4" t="str">
        <f t="shared" si="9"/>
        <v/>
      </c>
      <c r="E63" s="4" t="str">
        <f t="array" ref="E63">XLOOKUP(A63,'Dados Funil'!$A:$A,'Dados Funil'!$K:$K,"")</f>
        <v/>
      </c>
      <c r="F63" s="4" t="str">
        <f t="array" ref="F63">XLOOKUP(A63,'Dados Funil'!$A:$A,'Dados Funil'!$L:$L,"")</f>
        <v/>
      </c>
      <c r="G63" s="4"/>
      <c r="H63" s="4"/>
      <c r="I63" s="7" t="str">
        <f t="shared" si="2"/>
        <v/>
      </c>
      <c r="J63" s="4" t="str">
        <f t="shared" si="10"/>
        <v/>
      </c>
      <c r="K63" s="4" t="str">
        <f t="array" ref="K63">XLOOKUP(G63,'Dados Funil'!A:A,'Dados Funil'!O:O,"")</f>
        <v/>
      </c>
      <c r="L63" s="4"/>
      <c r="M63" s="4"/>
      <c r="N63" s="7" t="str">
        <f t="shared" si="3"/>
        <v/>
      </c>
      <c r="O63" s="4" t="str">
        <f t="shared" si="11"/>
        <v/>
      </c>
      <c r="P63" s="4" t="str">
        <f t="array" ref="P63">XLOOKUP(L63,'Dados Funil'!A:A,'Dados Funil'!AM:AM,"")</f>
        <v/>
      </c>
      <c r="Q63" s="4" t="str">
        <f t="array" ref="Q63">XLOOKUP(L63,'Dados Funil'!A:A,'Dados Funil'!AN:AN,"")</f>
        <v/>
      </c>
      <c r="T63" s="7" t="str">
        <f t="shared" si="4"/>
        <v/>
      </c>
      <c r="U63" s="4" t="str">
        <f t="shared" si="12"/>
        <v/>
      </c>
      <c r="V63" s="4" t="str">
        <f t="array" ref="V63">XLOOKUP(R63,'Dados Funil'!$A:$A,'Dados Funil'!$K:$K,"")</f>
        <v/>
      </c>
      <c r="W63" s="4" t="str">
        <f t="array" ref="W63">XLOOKUP(R63,'Dados Funil'!$A:$A,'Dados Funil'!$L:$L,"")</f>
        <v/>
      </c>
      <c r="X63" s="4"/>
      <c r="Y63" s="4"/>
      <c r="Z63" s="7" t="str">
        <f t="shared" si="5"/>
        <v/>
      </c>
      <c r="AA63" s="4" t="str">
        <f t="shared" si="13"/>
        <v/>
      </c>
      <c r="AB63" s="4" t="str">
        <f t="array" ref="AB63">XLOOKUP(X63,'Dados Funil'!A:A,'Dados Funil'!O:O,"")</f>
        <v/>
      </c>
      <c r="AE63" s="7" t="str">
        <f t="shared" si="6"/>
        <v/>
      </c>
      <c r="AG63" s="4" t="str">
        <f t="array" ref="AG63">XLOOKUP(AC63,'Dados Funil'!A:A,'Dados Funil'!AM:AM,"")</f>
        <v/>
      </c>
      <c r="AH63" s="4" t="str">
        <f t="array" ref="AH63">XLOOKUP(AC63,'Dados Funil'!A:A,'Dados Funil'!AN:AN,"")</f>
        <v/>
      </c>
    </row>
    <row r="64">
      <c r="A64" s="4"/>
      <c r="B64" s="4"/>
      <c r="C64" s="7" t="str">
        <f t="shared" si="1"/>
        <v/>
      </c>
      <c r="D64" s="4" t="str">
        <f t="shared" si="9"/>
        <v/>
      </c>
      <c r="E64" s="4" t="str">
        <f t="array" ref="E64">XLOOKUP(A64,'Dados Funil'!$A:$A,'Dados Funil'!$K:$K,"")</f>
        <v/>
      </c>
      <c r="F64" s="4" t="str">
        <f t="array" ref="F64">XLOOKUP(A64,'Dados Funil'!$A:$A,'Dados Funil'!$L:$L,"")</f>
        <v/>
      </c>
      <c r="G64" s="4"/>
      <c r="H64" s="4"/>
      <c r="I64" s="7" t="str">
        <f t="shared" si="2"/>
        <v/>
      </c>
      <c r="J64" s="4" t="str">
        <f t="shared" si="10"/>
        <v/>
      </c>
      <c r="K64" s="4" t="str">
        <f t="array" ref="K64">XLOOKUP(G64,'Dados Funil'!A:A,'Dados Funil'!O:O,"")</f>
        <v/>
      </c>
      <c r="L64" s="4"/>
      <c r="M64" s="4"/>
      <c r="N64" s="7" t="str">
        <f t="shared" si="3"/>
        <v/>
      </c>
      <c r="O64" s="4" t="str">
        <f t="shared" si="11"/>
        <v/>
      </c>
      <c r="P64" s="4" t="str">
        <f t="array" ref="P64">XLOOKUP(L64,'Dados Funil'!A:A,'Dados Funil'!AM:AM,"")</f>
        <v/>
      </c>
      <c r="Q64" s="4" t="str">
        <f t="array" ref="Q64">XLOOKUP(L64,'Dados Funil'!A:A,'Dados Funil'!AN:AN,"")</f>
        <v/>
      </c>
      <c r="T64" s="7" t="str">
        <f t="shared" si="4"/>
        <v/>
      </c>
      <c r="U64" s="4" t="str">
        <f t="shared" si="12"/>
        <v/>
      </c>
      <c r="V64" s="4" t="str">
        <f t="array" ref="V64">XLOOKUP(R64,'Dados Funil'!$A:$A,'Dados Funil'!$K:$K,"")</f>
        <v/>
      </c>
      <c r="W64" s="4" t="str">
        <f t="array" ref="W64">XLOOKUP(R64,'Dados Funil'!$A:$A,'Dados Funil'!$L:$L,"")</f>
        <v/>
      </c>
      <c r="X64" s="4"/>
      <c r="Y64" s="4"/>
      <c r="Z64" s="7" t="str">
        <f t="shared" si="5"/>
        <v/>
      </c>
      <c r="AA64" s="4" t="str">
        <f t="shared" si="13"/>
        <v/>
      </c>
      <c r="AB64" s="4" t="str">
        <f t="array" ref="AB64">XLOOKUP(X64,'Dados Funil'!A:A,'Dados Funil'!O:O,"")</f>
        <v/>
      </c>
      <c r="AE64" s="7" t="str">
        <f t="shared" si="6"/>
        <v/>
      </c>
      <c r="AG64" s="4" t="str">
        <f t="array" ref="AG64">XLOOKUP(AC64,'Dados Funil'!A:A,'Dados Funil'!AM:AM,"")</f>
        <v/>
      </c>
      <c r="AH64" s="4" t="str">
        <f t="array" ref="AH64">XLOOKUP(AC64,'Dados Funil'!A:A,'Dados Funil'!AN:AN,"")</f>
        <v/>
      </c>
    </row>
    <row r="65">
      <c r="A65" s="4"/>
      <c r="B65" s="4"/>
      <c r="C65" s="7" t="str">
        <f t="shared" si="1"/>
        <v/>
      </c>
      <c r="D65" s="4" t="str">
        <f t="shared" si="9"/>
        <v/>
      </c>
      <c r="E65" s="4" t="str">
        <f t="array" ref="E65">XLOOKUP(A65,'Dados Funil'!$A:$A,'Dados Funil'!$K:$K,"")</f>
        <v/>
      </c>
      <c r="F65" s="4" t="str">
        <f t="array" ref="F65">XLOOKUP(A65,'Dados Funil'!$A:$A,'Dados Funil'!$L:$L,"")</f>
        <v/>
      </c>
      <c r="G65" s="4"/>
      <c r="H65" s="4"/>
      <c r="I65" s="7" t="str">
        <f t="shared" si="2"/>
        <v/>
      </c>
      <c r="J65" s="4" t="str">
        <f t="shared" si="10"/>
        <v/>
      </c>
      <c r="K65" s="4" t="str">
        <f t="array" ref="K65">XLOOKUP(G65,'Dados Funil'!A:A,'Dados Funil'!O:O,"")</f>
        <v/>
      </c>
      <c r="L65" s="4"/>
      <c r="M65" s="4"/>
      <c r="N65" s="7" t="str">
        <f t="shared" si="3"/>
        <v/>
      </c>
      <c r="O65" s="4" t="str">
        <f t="shared" si="11"/>
        <v/>
      </c>
      <c r="P65" s="4" t="str">
        <f t="array" ref="P65">XLOOKUP(L65,'Dados Funil'!A:A,'Dados Funil'!AM:AM,"")</f>
        <v/>
      </c>
      <c r="Q65" s="4" t="str">
        <f t="array" ref="Q65">XLOOKUP(L65,'Dados Funil'!A:A,'Dados Funil'!AN:AN,"")</f>
        <v/>
      </c>
      <c r="T65" s="7" t="str">
        <f t="shared" si="4"/>
        <v/>
      </c>
      <c r="U65" s="4" t="str">
        <f t="shared" si="12"/>
        <v/>
      </c>
      <c r="V65" s="4" t="str">
        <f t="array" ref="V65">XLOOKUP(R65,'Dados Funil'!$A:$A,'Dados Funil'!$K:$K,"")</f>
        <v/>
      </c>
      <c r="W65" s="4" t="str">
        <f t="array" ref="W65">XLOOKUP(R65,'Dados Funil'!$A:$A,'Dados Funil'!$L:$L,"")</f>
        <v/>
      </c>
      <c r="X65" s="4"/>
      <c r="Y65" s="4"/>
      <c r="Z65" s="7" t="str">
        <f t="shared" si="5"/>
        <v/>
      </c>
      <c r="AA65" s="4" t="str">
        <f t="shared" si="13"/>
        <v/>
      </c>
      <c r="AB65" s="4" t="str">
        <f t="array" ref="AB65">XLOOKUP(X65,'Dados Funil'!A:A,'Dados Funil'!O:O,"")</f>
        <v/>
      </c>
      <c r="AE65" s="7" t="str">
        <f t="shared" si="6"/>
        <v/>
      </c>
      <c r="AG65" s="4" t="str">
        <f t="array" ref="AG65">XLOOKUP(AC65,'Dados Funil'!A:A,'Dados Funil'!AM:AM,"")</f>
        <v/>
      </c>
      <c r="AH65" s="4" t="str">
        <f t="array" ref="AH65">XLOOKUP(AC65,'Dados Funil'!A:A,'Dados Funil'!AN:AN,"")</f>
        <v/>
      </c>
    </row>
    <row r="66">
      <c r="A66" s="4"/>
      <c r="B66" s="4"/>
      <c r="C66" s="7" t="str">
        <f t="shared" si="1"/>
        <v/>
      </c>
      <c r="D66" s="4" t="str">
        <f t="shared" si="9"/>
        <v/>
      </c>
      <c r="E66" s="4" t="str">
        <f t="array" ref="E66">XLOOKUP(A66,'Dados Funil'!$A:$A,'Dados Funil'!$K:$K,"")</f>
        <v/>
      </c>
      <c r="F66" s="4" t="str">
        <f t="array" ref="F66">XLOOKUP(A66,'Dados Funil'!$A:$A,'Dados Funil'!$L:$L,"")</f>
        <v/>
      </c>
      <c r="G66" s="4"/>
      <c r="H66" s="4"/>
      <c r="I66" s="7" t="str">
        <f t="shared" si="2"/>
        <v/>
      </c>
      <c r="J66" s="4" t="str">
        <f t="shared" si="10"/>
        <v/>
      </c>
      <c r="K66" s="4" t="str">
        <f t="array" ref="K66">XLOOKUP(G66,'Dados Funil'!A:A,'Dados Funil'!O:O,"")</f>
        <v/>
      </c>
      <c r="L66" s="4"/>
      <c r="M66" s="4"/>
      <c r="N66" s="7" t="str">
        <f t="shared" si="3"/>
        <v/>
      </c>
      <c r="O66" s="4" t="str">
        <f t="shared" si="11"/>
        <v/>
      </c>
      <c r="P66" s="4" t="str">
        <f t="array" ref="P66">XLOOKUP(L66,'Dados Funil'!A:A,'Dados Funil'!AM:AM,"")</f>
        <v/>
      </c>
      <c r="Q66" s="4" t="str">
        <f t="array" ref="Q66">XLOOKUP(L66,'Dados Funil'!A:A,'Dados Funil'!AN:AN,"")</f>
        <v/>
      </c>
      <c r="T66" s="7" t="str">
        <f t="shared" si="4"/>
        <v/>
      </c>
      <c r="U66" s="4" t="str">
        <f t="shared" si="12"/>
        <v/>
      </c>
      <c r="V66" s="4" t="str">
        <f t="array" ref="V66">XLOOKUP(R66,'Dados Funil'!$A:$A,'Dados Funil'!$K:$K,"")</f>
        <v/>
      </c>
      <c r="W66" s="4" t="str">
        <f t="array" ref="W66">XLOOKUP(R66,'Dados Funil'!$A:$A,'Dados Funil'!$L:$L,"")</f>
        <v/>
      </c>
      <c r="X66" s="4"/>
      <c r="Y66" s="4"/>
      <c r="Z66" s="7" t="str">
        <f t="shared" si="5"/>
        <v/>
      </c>
      <c r="AA66" s="4" t="str">
        <f t="shared" si="13"/>
        <v/>
      </c>
      <c r="AB66" s="4" t="str">
        <f t="array" ref="AB66">XLOOKUP(X66,'Dados Funil'!A:A,'Dados Funil'!O:O,"")</f>
        <v/>
      </c>
      <c r="AE66" s="7" t="str">
        <f t="shared" si="6"/>
        <v/>
      </c>
      <c r="AG66" s="4" t="str">
        <f t="array" ref="AG66">XLOOKUP(AC66,'Dados Funil'!A:A,'Dados Funil'!AM:AM,"")</f>
        <v/>
      </c>
      <c r="AH66" s="4" t="str">
        <f t="array" ref="AH66">XLOOKUP(AC66,'Dados Funil'!A:A,'Dados Funil'!AN:AN,"")</f>
        <v/>
      </c>
    </row>
    <row r="67">
      <c r="A67" s="4"/>
      <c r="B67" s="4"/>
      <c r="C67" s="7" t="str">
        <f t="shared" si="1"/>
        <v/>
      </c>
      <c r="D67" s="4" t="str">
        <f t="shared" si="9"/>
        <v/>
      </c>
      <c r="E67" s="4" t="str">
        <f t="array" ref="E67">XLOOKUP(A67,'Dados Funil'!$A:$A,'Dados Funil'!$K:$K,"")</f>
        <v/>
      </c>
      <c r="F67" s="4" t="str">
        <f t="array" ref="F67">XLOOKUP(A67,'Dados Funil'!$A:$A,'Dados Funil'!$L:$L,"")</f>
        <v/>
      </c>
      <c r="G67" s="4"/>
      <c r="H67" s="4"/>
      <c r="I67" s="7" t="str">
        <f t="shared" si="2"/>
        <v/>
      </c>
      <c r="J67" s="4" t="str">
        <f t="shared" si="10"/>
        <v/>
      </c>
      <c r="K67" s="4" t="str">
        <f t="array" ref="K67">XLOOKUP(G67,'Dados Funil'!A:A,'Dados Funil'!O:O,"")</f>
        <v/>
      </c>
      <c r="L67" s="4"/>
      <c r="M67" s="4"/>
      <c r="N67" s="7" t="str">
        <f t="shared" si="3"/>
        <v/>
      </c>
      <c r="O67" s="4" t="str">
        <f t="shared" si="11"/>
        <v/>
      </c>
      <c r="P67" s="4" t="str">
        <f t="array" ref="P67">XLOOKUP(L67,'Dados Funil'!A:A,'Dados Funil'!AM:AM,"")</f>
        <v/>
      </c>
      <c r="Q67" s="4" t="str">
        <f t="array" ref="Q67">XLOOKUP(L67,'Dados Funil'!A:A,'Dados Funil'!AN:AN,"")</f>
        <v/>
      </c>
      <c r="T67" s="7" t="str">
        <f t="shared" si="4"/>
        <v/>
      </c>
      <c r="U67" s="4" t="str">
        <f t="shared" si="12"/>
        <v/>
      </c>
      <c r="V67" s="4" t="str">
        <f t="array" ref="V67">XLOOKUP(R67,'Dados Funil'!$A:$A,'Dados Funil'!$K:$K,"")</f>
        <v/>
      </c>
      <c r="W67" s="4" t="str">
        <f t="array" ref="W67">XLOOKUP(R67,'Dados Funil'!$A:$A,'Dados Funil'!$L:$L,"")</f>
        <v/>
      </c>
      <c r="X67" s="4"/>
      <c r="Y67" s="4"/>
      <c r="Z67" s="7" t="str">
        <f t="shared" si="5"/>
        <v/>
      </c>
      <c r="AA67" s="4" t="str">
        <f t="shared" si="13"/>
        <v/>
      </c>
      <c r="AB67" s="4" t="str">
        <f t="array" ref="AB67">XLOOKUP(X67,'Dados Funil'!A:A,'Dados Funil'!O:O,"")</f>
        <v/>
      </c>
      <c r="AE67" s="7" t="str">
        <f t="shared" si="6"/>
        <v/>
      </c>
      <c r="AG67" s="4" t="str">
        <f t="array" ref="AG67">XLOOKUP(AC67,'Dados Funil'!A:A,'Dados Funil'!AM:AM,"")</f>
        <v/>
      </c>
      <c r="AH67" s="4" t="str">
        <f t="array" ref="AH67">XLOOKUP(AC67,'Dados Funil'!A:A,'Dados Funil'!AN:AN,"")</f>
        <v/>
      </c>
    </row>
    <row r="68">
      <c r="A68" s="4"/>
      <c r="B68" s="4"/>
      <c r="C68" s="7" t="str">
        <f t="shared" si="1"/>
        <v/>
      </c>
      <c r="D68" s="4" t="str">
        <f t="shared" si="9"/>
        <v/>
      </c>
      <c r="E68" s="4" t="str">
        <f t="array" ref="E68">XLOOKUP(A68,'Dados Funil'!$A:$A,'Dados Funil'!$K:$K,"")</f>
        <v/>
      </c>
      <c r="F68" s="4" t="str">
        <f t="array" ref="F68">XLOOKUP(A68,'Dados Funil'!$A:$A,'Dados Funil'!$L:$L,"")</f>
        <v/>
      </c>
      <c r="G68" s="4"/>
      <c r="H68" s="4"/>
      <c r="I68" s="7" t="str">
        <f t="shared" si="2"/>
        <v/>
      </c>
      <c r="J68" s="4" t="str">
        <f t="shared" si="10"/>
        <v/>
      </c>
      <c r="K68" s="4" t="str">
        <f t="array" ref="K68">XLOOKUP(G68,'Dados Funil'!A:A,'Dados Funil'!O:O,"")</f>
        <v/>
      </c>
      <c r="L68" s="4"/>
      <c r="M68" s="4"/>
      <c r="N68" s="7" t="str">
        <f t="shared" si="3"/>
        <v/>
      </c>
      <c r="O68" s="4" t="str">
        <f t="shared" si="11"/>
        <v/>
      </c>
      <c r="P68" s="4" t="str">
        <f t="array" ref="P68">XLOOKUP(L68,'Dados Funil'!A:A,'Dados Funil'!AM:AM,"")</f>
        <v/>
      </c>
      <c r="Q68" s="4" t="str">
        <f t="array" ref="Q68">XLOOKUP(L68,'Dados Funil'!A:A,'Dados Funil'!AN:AN,"")</f>
        <v/>
      </c>
      <c r="T68" s="7" t="str">
        <f t="shared" si="4"/>
        <v/>
      </c>
      <c r="U68" s="4" t="str">
        <f t="shared" si="12"/>
        <v/>
      </c>
      <c r="V68" s="4" t="str">
        <f t="array" ref="V68">XLOOKUP(R68,'Dados Funil'!$A:$A,'Dados Funil'!$K:$K,"")</f>
        <v/>
      </c>
      <c r="W68" s="4" t="str">
        <f t="array" ref="W68">XLOOKUP(R68,'Dados Funil'!$A:$A,'Dados Funil'!$L:$L,"")</f>
        <v/>
      </c>
      <c r="X68" s="4"/>
      <c r="Y68" s="4"/>
      <c r="Z68" s="7" t="str">
        <f t="shared" si="5"/>
        <v/>
      </c>
      <c r="AA68" s="4" t="str">
        <f t="shared" si="13"/>
        <v/>
      </c>
      <c r="AB68" s="4" t="str">
        <f t="array" ref="AB68">XLOOKUP(X68,'Dados Funil'!A:A,'Dados Funil'!O:O,"")</f>
        <v/>
      </c>
      <c r="AE68" s="7" t="str">
        <f t="shared" si="6"/>
        <v/>
      </c>
      <c r="AG68" s="4" t="str">
        <f t="array" ref="AG68">XLOOKUP(AC68,'Dados Funil'!A:A,'Dados Funil'!AM:AM,"")</f>
        <v/>
      </c>
      <c r="AH68" s="4" t="str">
        <f t="array" ref="AH68">XLOOKUP(AC68,'Dados Funil'!A:A,'Dados Funil'!AN:AN,"")</f>
        <v/>
      </c>
    </row>
    <row r="69">
      <c r="A69" s="4"/>
      <c r="B69" s="4"/>
      <c r="C69" s="7" t="str">
        <f t="shared" si="1"/>
        <v/>
      </c>
      <c r="D69" s="4" t="str">
        <f t="shared" si="9"/>
        <v/>
      </c>
      <c r="E69" s="4" t="str">
        <f t="array" ref="E69">XLOOKUP(A69,'Dados Funil'!$A:$A,'Dados Funil'!$K:$K,"")</f>
        <v/>
      </c>
      <c r="F69" s="4" t="str">
        <f t="array" ref="F69">XLOOKUP(A69,'Dados Funil'!$A:$A,'Dados Funil'!$L:$L,"")</f>
        <v/>
      </c>
      <c r="G69" s="4"/>
      <c r="H69" s="4"/>
      <c r="I69" s="7" t="str">
        <f t="shared" si="2"/>
        <v/>
      </c>
      <c r="J69" s="4" t="str">
        <f t="shared" si="10"/>
        <v/>
      </c>
      <c r="K69" s="4" t="str">
        <f t="array" ref="K69">XLOOKUP(G69,'Dados Funil'!A:A,'Dados Funil'!O:O,"")</f>
        <v/>
      </c>
      <c r="L69" s="4"/>
      <c r="M69" s="4"/>
      <c r="N69" s="7" t="str">
        <f t="shared" si="3"/>
        <v/>
      </c>
      <c r="O69" s="4" t="str">
        <f t="shared" si="11"/>
        <v/>
      </c>
      <c r="P69" s="4" t="str">
        <f t="array" ref="P69">XLOOKUP(L69,'Dados Funil'!A:A,'Dados Funil'!AM:AM,"")</f>
        <v/>
      </c>
      <c r="Q69" s="4" t="str">
        <f t="array" ref="Q69">XLOOKUP(L69,'Dados Funil'!A:A,'Dados Funil'!AN:AN,"")</f>
        <v/>
      </c>
      <c r="T69" s="7" t="str">
        <f t="shared" si="4"/>
        <v/>
      </c>
      <c r="U69" s="4" t="str">
        <f t="shared" si="12"/>
        <v/>
      </c>
      <c r="V69" s="4" t="str">
        <f t="array" ref="V69">XLOOKUP(R69,'Dados Funil'!$A:$A,'Dados Funil'!$K:$K,"")</f>
        <v/>
      </c>
      <c r="W69" s="4" t="str">
        <f t="array" ref="W69">XLOOKUP(R69,'Dados Funil'!$A:$A,'Dados Funil'!$L:$L,"")</f>
        <v/>
      </c>
      <c r="X69" s="4"/>
      <c r="Y69" s="4"/>
      <c r="Z69" s="7" t="str">
        <f t="shared" si="5"/>
        <v/>
      </c>
      <c r="AA69" s="4" t="str">
        <f t="shared" si="13"/>
        <v/>
      </c>
      <c r="AB69" s="4" t="str">
        <f t="array" ref="AB69">XLOOKUP(X69,'Dados Funil'!A:A,'Dados Funil'!O:O,"")</f>
        <v/>
      </c>
      <c r="AE69" s="7" t="str">
        <f t="shared" si="6"/>
        <v/>
      </c>
      <c r="AG69" s="4" t="str">
        <f t="array" ref="AG69">XLOOKUP(AC69,'Dados Funil'!A:A,'Dados Funil'!AM:AM,"")</f>
        <v/>
      </c>
      <c r="AH69" s="4" t="str">
        <f t="array" ref="AH69">XLOOKUP(AC69,'Dados Funil'!A:A,'Dados Funil'!AN:AN,"")</f>
        <v/>
      </c>
    </row>
    <row r="70">
      <c r="A70" s="4"/>
      <c r="B70" s="4"/>
      <c r="C70" s="7" t="str">
        <f t="shared" si="1"/>
        <v/>
      </c>
      <c r="D70" s="4" t="str">
        <f t="shared" si="9"/>
        <v/>
      </c>
      <c r="E70" s="4" t="str">
        <f t="array" ref="E70">XLOOKUP(A70,'Dados Funil'!$A:$A,'Dados Funil'!$K:$K,"")</f>
        <v/>
      </c>
      <c r="F70" s="4" t="str">
        <f t="array" ref="F70">XLOOKUP(A70,'Dados Funil'!$A:$A,'Dados Funil'!$L:$L,"")</f>
        <v/>
      </c>
      <c r="G70" s="4"/>
      <c r="H70" s="4"/>
      <c r="I70" s="7" t="str">
        <f t="shared" si="2"/>
        <v/>
      </c>
      <c r="J70" s="4" t="str">
        <f t="shared" si="10"/>
        <v/>
      </c>
      <c r="K70" s="4" t="str">
        <f t="array" ref="K70">XLOOKUP(G70,'Dados Funil'!A:A,'Dados Funil'!O:O,"")</f>
        <v/>
      </c>
      <c r="L70" s="4"/>
      <c r="M70" s="4"/>
      <c r="N70" s="7" t="str">
        <f t="shared" si="3"/>
        <v/>
      </c>
      <c r="O70" s="4" t="str">
        <f t="shared" si="11"/>
        <v/>
      </c>
      <c r="P70" s="4" t="str">
        <f t="array" ref="P70">XLOOKUP(L70,'Dados Funil'!A:A,'Dados Funil'!AM:AM,"")</f>
        <v/>
      </c>
      <c r="Q70" s="4" t="str">
        <f t="array" ref="Q70">XLOOKUP(L70,'Dados Funil'!A:A,'Dados Funil'!AN:AN,"")</f>
        <v/>
      </c>
      <c r="T70" s="7" t="str">
        <f t="shared" si="4"/>
        <v/>
      </c>
      <c r="U70" s="4" t="str">
        <f t="shared" si="12"/>
        <v/>
      </c>
      <c r="V70" s="4" t="str">
        <f t="array" ref="V70">XLOOKUP(R70,'Dados Funil'!$A:$A,'Dados Funil'!$K:$K,"")</f>
        <v/>
      </c>
      <c r="W70" s="4" t="str">
        <f t="array" ref="W70">XLOOKUP(R70,'Dados Funil'!$A:$A,'Dados Funil'!$L:$L,"")</f>
        <v/>
      </c>
      <c r="X70" s="4"/>
      <c r="Y70" s="4"/>
      <c r="Z70" s="7" t="str">
        <f t="shared" si="5"/>
        <v/>
      </c>
      <c r="AA70" s="4" t="str">
        <f t="shared" si="13"/>
        <v/>
      </c>
      <c r="AB70" s="4" t="str">
        <f t="array" ref="AB70">XLOOKUP(X70,'Dados Funil'!A:A,'Dados Funil'!O:O,"")</f>
        <v/>
      </c>
      <c r="AE70" s="7" t="str">
        <f t="shared" si="6"/>
        <v/>
      </c>
      <c r="AG70" s="4" t="str">
        <f t="array" ref="AG70">XLOOKUP(AC70,'Dados Funil'!A:A,'Dados Funil'!AM:AM,"")</f>
        <v/>
      </c>
      <c r="AH70" s="4" t="str">
        <f t="array" ref="AH70">XLOOKUP(AC70,'Dados Funil'!A:A,'Dados Funil'!AN:AN,"")</f>
        <v/>
      </c>
    </row>
    <row r="71">
      <c r="A71" s="4"/>
      <c r="B71" s="4"/>
      <c r="C71" s="7" t="str">
        <f t="shared" si="1"/>
        <v/>
      </c>
      <c r="D71" s="4" t="str">
        <f t="shared" si="9"/>
        <v/>
      </c>
      <c r="E71" s="4" t="str">
        <f t="array" ref="E71">XLOOKUP(A71,'Dados Funil'!$A:$A,'Dados Funil'!$K:$K,"")</f>
        <v/>
      </c>
      <c r="F71" s="4" t="str">
        <f t="array" ref="F71">XLOOKUP(A71,'Dados Funil'!$A:$A,'Dados Funil'!$L:$L,"")</f>
        <v/>
      </c>
      <c r="G71" s="4"/>
      <c r="H71" s="4"/>
      <c r="I71" s="7" t="str">
        <f t="shared" si="2"/>
        <v/>
      </c>
      <c r="J71" s="4" t="str">
        <f t="shared" si="10"/>
        <v/>
      </c>
      <c r="K71" s="4" t="str">
        <f t="array" ref="K71">XLOOKUP(G71,'Dados Funil'!A:A,'Dados Funil'!O:O,"")</f>
        <v/>
      </c>
      <c r="L71" s="4"/>
      <c r="M71" s="4"/>
      <c r="N71" s="7" t="str">
        <f t="shared" si="3"/>
        <v/>
      </c>
      <c r="O71" s="4" t="str">
        <f t="shared" si="11"/>
        <v/>
      </c>
      <c r="P71" s="4" t="str">
        <f t="array" ref="P71">XLOOKUP(L71,'Dados Funil'!A:A,'Dados Funil'!AM:AM,"")</f>
        <v/>
      </c>
      <c r="Q71" s="4" t="str">
        <f t="array" ref="Q71">XLOOKUP(L71,'Dados Funil'!A:A,'Dados Funil'!AN:AN,"")</f>
        <v/>
      </c>
      <c r="T71" s="7" t="str">
        <f t="shared" si="4"/>
        <v/>
      </c>
      <c r="U71" s="4" t="str">
        <f t="shared" si="12"/>
        <v/>
      </c>
      <c r="V71" s="4" t="str">
        <f t="array" ref="V71">XLOOKUP(R71,'Dados Funil'!$A:$A,'Dados Funil'!$K:$K,"")</f>
        <v/>
      </c>
      <c r="W71" s="4" t="str">
        <f t="array" ref="W71">XLOOKUP(R71,'Dados Funil'!$A:$A,'Dados Funil'!$L:$L,"")</f>
        <v/>
      </c>
      <c r="X71" s="4"/>
      <c r="Y71" s="4"/>
      <c r="Z71" s="7" t="str">
        <f t="shared" si="5"/>
        <v/>
      </c>
      <c r="AA71" s="4" t="str">
        <f t="shared" si="13"/>
        <v/>
      </c>
      <c r="AB71" s="4" t="str">
        <f t="array" ref="AB71">XLOOKUP(X71,'Dados Funil'!A:A,'Dados Funil'!O:O,"")</f>
        <v/>
      </c>
      <c r="AE71" s="7" t="str">
        <f t="shared" si="6"/>
        <v/>
      </c>
      <c r="AG71" s="4" t="str">
        <f t="array" ref="AG71">XLOOKUP(AC71,'Dados Funil'!A:A,'Dados Funil'!AM:AM,"")</f>
        <v/>
      </c>
      <c r="AH71" s="4" t="str">
        <f t="array" ref="AH71">XLOOKUP(AC71,'Dados Funil'!A:A,'Dados Funil'!AN:AN,"")</f>
        <v/>
      </c>
    </row>
    <row r="72">
      <c r="A72" s="4"/>
      <c r="B72" s="4"/>
      <c r="C72" s="7" t="str">
        <f t="shared" si="1"/>
        <v/>
      </c>
      <c r="D72" s="4" t="str">
        <f t="shared" si="9"/>
        <v/>
      </c>
      <c r="E72" s="4" t="str">
        <f t="array" ref="E72">XLOOKUP(A72,'Dados Funil'!$A:$A,'Dados Funil'!$K:$K,"")</f>
        <v/>
      </c>
      <c r="F72" s="4" t="str">
        <f t="array" ref="F72">XLOOKUP(A72,'Dados Funil'!$A:$A,'Dados Funil'!$L:$L,"")</f>
        <v/>
      </c>
      <c r="G72" s="4"/>
      <c r="H72" s="4"/>
      <c r="I72" s="7" t="str">
        <f t="shared" si="2"/>
        <v/>
      </c>
      <c r="J72" s="4" t="str">
        <f t="shared" si="10"/>
        <v/>
      </c>
      <c r="K72" s="4" t="str">
        <f t="array" ref="K72">XLOOKUP(G72,'Dados Funil'!A:A,'Dados Funil'!O:O,"")</f>
        <v/>
      </c>
      <c r="L72" s="4"/>
      <c r="M72" s="4"/>
      <c r="N72" s="7" t="str">
        <f t="shared" si="3"/>
        <v/>
      </c>
      <c r="O72" s="4" t="str">
        <f t="shared" si="11"/>
        <v/>
      </c>
      <c r="P72" s="4" t="str">
        <f t="array" ref="P72">XLOOKUP(L72,'Dados Funil'!A:A,'Dados Funil'!AM:AM,"")</f>
        <v/>
      </c>
      <c r="Q72" s="4" t="str">
        <f t="array" ref="Q72">XLOOKUP(L72,'Dados Funil'!A:A,'Dados Funil'!AN:AN,"")</f>
        <v/>
      </c>
      <c r="T72" s="7" t="str">
        <f t="shared" si="4"/>
        <v/>
      </c>
      <c r="U72" s="4" t="str">
        <f t="shared" si="12"/>
        <v/>
      </c>
      <c r="V72" s="4" t="str">
        <f t="array" ref="V72">XLOOKUP(R72,'Dados Funil'!$A:$A,'Dados Funil'!$K:$K,"")</f>
        <v/>
      </c>
      <c r="W72" s="4" t="str">
        <f t="array" ref="W72">XLOOKUP(R72,'Dados Funil'!$A:$A,'Dados Funil'!$L:$L,"")</f>
        <v/>
      </c>
      <c r="X72" s="4"/>
      <c r="Y72" s="4"/>
      <c r="Z72" s="7" t="str">
        <f t="shared" si="5"/>
        <v/>
      </c>
      <c r="AA72" s="4" t="str">
        <f t="shared" si="13"/>
        <v/>
      </c>
      <c r="AB72" s="4" t="str">
        <f t="array" ref="AB72">XLOOKUP(X72,'Dados Funil'!A:A,'Dados Funil'!O:O,"")</f>
        <v/>
      </c>
      <c r="AE72" s="7" t="str">
        <f t="shared" si="6"/>
        <v/>
      </c>
      <c r="AG72" s="4" t="str">
        <f t="array" ref="AG72">XLOOKUP(AC72,'Dados Funil'!A:A,'Dados Funil'!AM:AM,"")</f>
        <v/>
      </c>
      <c r="AH72" s="4" t="str">
        <f t="array" ref="AH72">XLOOKUP(AC72,'Dados Funil'!A:A,'Dados Funil'!AN:AN,"")</f>
        <v/>
      </c>
    </row>
    <row r="73">
      <c r="A73" s="4"/>
      <c r="B73" s="4"/>
      <c r="C73" s="7" t="str">
        <f t="shared" si="1"/>
        <v/>
      </c>
      <c r="D73" s="4" t="str">
        <f t="shared" si="9"/>
        <v/>
      </c>
      <c r="E73" s="4" t="str">
        <f t="array" ref="E73">XLOOKUP(A73,'Dados Funil'!$A:$A,'Dados Funil'!$K:$K,"")</f>
        <v/>
      </c>
      <c r="F73" s="4" t="str">
        <f t="array" ref="F73">XLOOKUP(A73,'Dados Funil'!$A:$A,'Dados Funil'!$L:$L,"")</f>
        <v/>
      </c>
      <c r="G73" s="4"/>
      <c r="H73" s="4"/>
      <c r="I73" s="7" t="str">
        <f t="shared" si="2"/>
        <v/>
      </c>
      <c r="J73" s="4" t="str">
        <f t="shared" si="10"/>
        <v/>
      </c>
      <c r="K73" s="4" t="str">
        <f t="array" ref="K73">XLOOKUP(G73,'Dados Funil'!A:A,'Dados Funil'!O:O,"")</f>
        <v/>
      </c>
      <c r="L73" s="4"/>
      <c r="M73" s="4"/>
      <c r="N73" s="7" t="str">
        <f t="shared" si="3"/>
        <v/>
      </c>
      <c r="O73" s="4" t="str">
        <f t="shared" si="11"/>
        <v/>
      </c>
      <c r="P73" s="4" t="str">
        <f t="array" ref="P73">XLOOKUP(L73,'Dados Funil'!A:A,'Dados Funil'!AM:AM,"")</f>
        <v/>
      </c>
      <c r="Q73" s="4" t="str">
        <f t="array" ref="Q73">XLOOKUP(L73,'Dados Funil'!A:A,'Dados Funil'!AN:AN,"")</f>
        <v/>
      </c>
      <c r="T73" s="7" t="str">
        <f t="shared" si="4"/>
        <v/>
      </c>
      <c r="U73" s="4" t="str">
        <f t="shared" si="12"/>
        <v/>
      </c>
      <c r="V73" s="4" t="str">
        <f t="array" ref="V73">XLOOKUP(R73,'Dados Funil'!$A:$A,'Dados Funil'!$K:$K,"")</f>
        <v/>
      </c>
      <c r="W73" s="4" t="str">
        <f t="array" ref="W73">XLOOKUP(R73,'Dados Funil'!$A:$A,'Dados Funil'!$L:$L,"")</f>
        <v/>
      </c>
      <c r="X73" s="4"/>
      <c r="Y73" s="4"/>
      <c r="Z73" s="7" t="str">
        <f t="shared" si="5"/>
        <v/>
      </c>
      <c r="AA73" s="4" t="str">
        <f t="shared" si="13"/>
        <v/>
      </c>
      <c r="AB73" s="4" t="str">
        <f t="array" ref="AB73">XLOOKUP(X73,'Dados Funil'!A:A,'Dados Funil'!O:O,"")</f>
        <v/>
      </c>
      <c r="AE73" s="7" t="str">
        <f t="shared" si="6"/>
        <v/>
      </c>
      <c r="AG73" s="4" t="str">
        <f t="array" ref="AG73">XLOOKUP(AC73,'Dados Funil'!A:A,'Dados Funil'!AM:AM,"")</f>
        <v/>
      </c>
      <c r="AH73" s="4" t="str">
        <f t="array" ref="AH73">XLOOKUP(AC73,'Dados Funil'!A:A,'Dados Funil'!AN:AN,"")</f>
        <v/>
      </c>
    </row>
    <row r="74">
      <c r="A74" s="4"/>
      <c r="B74" s="4"/>
      <c r="C74" s="7" t="str">
        <f t="shared" si="1"/>
        <v/>
      </c>
      <c r="D74" s="4" t="str">
        <f t="shared" si="9"/>
        <v/>
      </c>
      <c r="E74" s="4" t="str">
        <f t="array" ref="E74">XLOOKUP(A74,'Dados Funil'!$A:$A,'Dados Funil'!$K:$K,"")</f>
        <v/>
      </c>
      <c r="F74" s="4" t="str">
        <f t="array" ref="F74">XLOOKUP(A74,'Dados Funil'!$A:$A,'Dados Funil'!$L:$L,"")</f>
        <v/>
      </c>
      <c r="G74" s="4"/>
      <c r="H74" s="4"/>
      <c r="I74" s="7" t="str">
        <f t="shared" si="2"/>
        <v/>
      </c>
      <c r="J74" s="4" t="str">
        <f t="shared" si="10"/>
        <v/>
      </c>
      <c r="K74" s="4" t="str">
        <f t="array" ref="K74">XLOOKUP(G74,'Dados Funil'!A:A,'Dados Funil'!O:O,"")</f>
        <v/>
      </c>
      <c r="L74" s="4"/>
      <c r="M74" s="4"/>
      <c r="N74" s="7" t="str">
        <f t="shared" si="3"/>
        <v/>
      </c>
      <c r="O74" s="4" t="str">
        <f t="shared" si="11"/>
        <v/>
      </c>
      <c r="P74" s="4" t="str">
        <f t="array" ref="P74">XLOOKUP(L74,'Dados Funil'!A:A,'Dados Funil'!AM:AM,"")</f>
        <v/>
      </c>
      <c r="Q74" s="4" t="str">
        <f t="array" ref="Q74">XLOOKUP(L74,'Dados Funil'!A:A,'Dados Funil'!AN:AN,"")</f>
        <v/>
      </c>
      <c r="T74" s="7" t="str">
        <f t="shared" si="4"/>
        <v/>
      </c>
      <c r="U74" s="4" t="str">
        <f t="shared" si="12"/>
        <v/>
      </c>
      <c r="V74" s="4" t="str">
        <f t="array" ref="V74">XLOOKUP(R74,'Dados Funil'!$A:$A,'Dados Funil'!$K:$K,"")</f>
        <v/>
      </c>
      <c r="W74" s="4" t="str">
        <f t="array" ref="W74">XLOOKUP(R74,'Dados Funil'!$A:$A,'Dados Funil'!$L:$L,"")</f>
        <v/>
      </c>
      <c r="X74" s="4"/>
      <c r="Y74" s="4"/>
      <c r="Z74" s="7" t="str">
        <f t="shared" si="5"/>
        <v/>
      </c>
      <c r="AA74" s="4" t="str">
        <f t="shared" si="13"/>
        <v/>
      </c>
      <c r="AB74" s="4" t="str">
        <f t="array" ref="AB74">XLOOKUP(X74,'Dados Funil'!A:A,'Dados Funil'!O:O,"")</f>
        <v/>
      </c>
      <c r="AE74" s="7" t="str">
        <f t="shared" si="6"/>
        <v/>
      </c>
      <c r="AG74" s="4" t="str">
        <f t="array" ref="AG74">XLOOKUP(AC74,'Dados Funil'!A:A,'Dados Funil'!AM:AM,"")</f>
        <v/>
      </c>
      <c r="AH74" s="4" t="str">
        <f t="array" ref="AH74">XLOOKUP(AC74,'Dados Funil'!A:A,'Dados Funil'!AN:AN,"")</f>
        <v/>
      </c>
    </row>
    <row r="75">
      <c r="A75" s="4"/>
      <c r="B75" s="4"/>
      <c r="C75" s="7" t="str">
        <f t="shared" si="1"/>
        <v/>
      </c>
      <c r="D75" s="4" t="str">
        <f t="shared" si="9"/>
        <v/>
      </c>
      <c r="E75" s="4" t="str">
        <f t="array" ref="E75">XLOOKUP(A75,'Dados Funil'!$A:$A,'Dados Funil'!$K:$K,"")</f>
        <v/>
      </c>
      <c r="F75" s="4" t="str">
        <f t="array" ref="F75">XLOOKUP(A75,'Dados Funil'!$A:$A,'Dados Funil'!$L:$L,"")</f>
        <v/>
      </c>
      <c r="G75" s="4"/>
      <c r="H75" s="4"/>
      <c r="I75" s="7" t="str">
        <f t="shared" si="2"/>
        <v/>
      </c>
      <c r="J75" s="4" t="str">
        <f t="shared" si="10"/>
        <v/>
      </c>
      <c r="K75" s="4" t="str">
        <f t="array" ref="K75">XLOOKUP(G75,'Dados Funil'!A:A,'Dados Funil'!O:O,"")</f>
        <v/>
      </c>
      <c r="L75" s="4"/>
      <c r="M75" s="4"/>
      <c r="N75" s="7" t="str">
        <f t="shared" si="3"/>
        <v/>
      </c>
      <c r="O75" s="4" t="str">
        <f t="shared" si="11"/>
        <v/>
      </c>
      <c r="P75" s="4" t="str">
        <f t="array" ref="P75">XLOOKUP(L75,'Dados Funil'!A:A,'Dados Funil'!AM:AM,"")</f>
        <v/>
      </c>
      <c r="Q75" s="4" t="str">
        <f t="array" ref="Q75">XLOOKUP(L75,'Dados Funil'!A:A,'Dados Funil'!AN:AN,"")</f>
        <v/>
      </c>
      <c r="T75" s="7" t="str">
        <f t="shared" si="4"/>
        <v/>
      </c>
      <c r="U75" s="4" t="str">
        <f t="shared" si="12"/>
        <v/>
      </c>
      <c r="V75" s="4" t="str">
        <f t="array" ref="V75">XLOOKUP(R75,'Dados Funil'!$A:$A,'Dados Funil'!$K:$K,"")</f>
        <v/>
      </c>
      <c r="W75" s="4" t="str">
        <f t="array" ref="W75">XLOOKUP(R75,'Dados Funil'!$A:$A,'Dados Funil'!$L:$L,"")</f>
        <v/>
      </c>
      <c r="X75" s="4"/>
      <c r="Y75" s="4"/>
      <c r="Z75" s="7" t="str">
        <f t="shared" si="5"/>
        <v/>
      </c>
      <c r="AA75" s="4" t="str">
        <f t="shared" si="13"/>
        <v/>
      </c>
      <c r="AB75" s="4" t="str">
        <f t="array" ref="AB75">XLOOKUP(X75,'Dados Funil'!A:A,'Dados Funil'!O:O,"")</f>
        <v/>
      </c>
      <c r="AE75" s="7" t="str">
        <f t="shared" si="6"/>
        <v/>
      </c>
      <c r="AG75" s="4" t="str">
        <f t="array" ref="AG75">XLOOKUP(AC75,'Dados Funil'!A:A,'Dados Funil'!AM:AM,"")</f>
        <v/>
      </c>
      <c r="AH75" s="4" t="str">
        <f t="array" ref="AH75">XLOOKUP(AC75,'Dados Funil'!A:A,'Dados Funil'!AN:AN,"")</f>
        <v/>
      </c>
    </row>
    <row r="76">
      <c r="A76" s="4"/>
      <c r="B76" s="4"/>
      <c r="C76" s="7" t="str">
        <f t="shared" si="1"/>
        <v/>
      </c>
      <c r="D76" s="4" t="str">
        <f t="shared" si="9"/>
        <v/>
      </c>
      <c r="E76" s="4" t="str">
        <f t="array" ref="E76">XLOOKUP(A76,'Dados Funil'!$A:$A,'Dados Funil'!$K:$K,"")</f>
        <v/>
      </c>
      <c r="F76" s="4" t="str">
        <f t="array" ref="F76">XLOOKUP(A76,'Dados Funil'!$A:$A,'Dados Funil'!$L:$L,"")</f>
        <v/>
      </c>
      <c r="G76" s="4"/>
      <c r="H76" s="4"/>
      <c r="I76" s="7" t="str">
        <f t="shared" si="2"/>
        <v/>
      </c>
      <c r="J76" s="4" t="str">
        <f t="shared" si="10"/>
        <v/>
      </c>
      <c r="K76" s="4" t="str">
        <f t="array" ref="K76">XLOOKUP(G76,'Dados Funil'!A:A,'Dados Funil'!O:O,"")</f>
        <v/>
      </c>
      <c r="L76" s="4"/>
      <c r="M76" s="4"/>
      <c r="N76" s="7" t="str">
        <f t="shared" si="3"/>
        <v/>
      </c>
      <c r="O76" s="4" t="str">
        <f t="shared" si="11"/>
        <v/>
      </c>
      <c r="P76" s="4" t="str">
        <f t="array" ref="P76">XLOOKUP(L76,'Dados Funil'!A:A,'Dados Funil'!AM:AM,"")</f>
        <v/>
      </c>
      <c r="Q76" s="4" t="str">
        <f t="array" ref="Q76">XLOOKUP(L76,'Dados Funil'!A:A,'Dados Funil'!AN:AN,"")</f>
        <v/>
      </c>
      <c r="T76" s="7" t="str">
        <f t="shared" si="4"/>
        <v/>
      </c>
      <c r="U76" s="4" t="str">
        <f t="shared" si="12"/>
        <v/>
      </c>
      <c r="V76" s="4" t="str">
        <f t="array" ref="V76">XLOOKUP(R76,'Dados Funil'!$A:$A,'Dados Funil'!$K:$K,"")</f>
        <v/>
      </c>
      <c r="W76" s="4" t="str">
        <f t="array" ref="W76">XLOOKUP(R76,'Dados Funil'!$A:$A,'Dados Funil'!$L:$L,"")</f>
        <v/>
      </c>
      <c r="X76" s="4"/>
      <c r="Y76" s="4"/>
      <c r="Z76" s="7" t="str">
        <f t="shared" si="5"/>
        <v/>
      </c>
      <c r="AA76" s="4" t="str">
        <f t="shared" si="13"/>
        <v/>
      </c>
      <c r="AB76" s="4" t="str">
        <f t="array" ref="AB76">XLOOKUP(X76,'Dados Funil'!A:A,'Dados Funil'!O:O,"")</f>
        <v/>
      </c>
      <c r="AE76" s="7" t="str">
        <f t="shared" si="6"/>
        <v/>
      </c>
      <c r="AG76" s="4" t="str">
        <f t="array" ref="AG76">XLOOKUP(AC76,'Dados Funil'!A:A,'Dados Funil'!AM:AM,"")</f>
        <v/>
      </c>
      <c r="AH76" s="4" t="str">
        <f t="array" ref="AH76">XLOOKUP(AC76,'Dados Funil'!A:A,'Dados Funil'!AN:AN,"")</f>
        <v/>
      </c>
    </row>
    <row r="77">
      <c r="A77" s="4"/>
      <c r="B77" s="4"/>
      <c r="C77" s="7" t="str">
        <f t="shared" si="1"/>
        <v/>
      </c>
      <c r="D77" s="4" t="str">
        <f t="shared" si="9"/>
        <v/>
      </c>
      <c r="E77" s="4" t="str">
        <f t="array" ref="E77">XLOOKUP(A77,'Dados Funil'!$A:$A,'Dados Funil'!$K:$K,"")</f>
        <v/>
      </c>
      <c r="F77" s="4" t="str">
        <f t="array" ref="F77">XLOOKUP(A77,'Dados Funil'!$A:$A,'Dados Funil'!$L:$L,"")</f>
        <v/>
      </c>
      <c r="G77" s="4"/>
      <c r="H77" s="4"/>
      <c r="I77" s="7" t="str">
        <f t="shared" si="2"/>
        <v/>
      </c>
      <c r="J77" s="4" t="str">
        <f t="shared" si="10"/>
        <v/>
      </c>
      <c r="K77" s="4" t="str">
        <f t="array" ref="K77">XLOOKUP(G77,'Dados Funil'!A:A,'Dados Funil'!O:O,"")</f>
        <v/>
      </c>
      <c r="L77" s="4"/>
      <c r="M77" s="4"/>
      <c r="N77" s="7" t="str">
        <f t="shared" si="3"/>
        <v/>
      </c>
      <c r="O77" s="4" t="str">
        <f t="shared" si="11"/>
        <v/>
      </c>
      <c r="P77" s="4" t="str">
        <f t="array" ref="P77">XLOOKUP(L77,'Dados Funil'!A:A,'Dados Funil'!AM:AM,"")</f>
        <v/>
      </c>
      <c r="Q77" s="4" t="str">
        <f t="array" ref="Q77">XLOOKUP(L77,'Dados Funil'!A:A,'Dados Funil'!AN:AN,"")</f>
        <v/>
      </c>
      <c r="T77" s="7" t="str">
        <f t="shared" si="4"/>
        <v/>
      </c>
      <c r="U77" s="4" t="str">
        <f t="shared" si="12"/>
        <v/>
      </c>
      <c r="V77" s="4" t="str">
        <f t="array" ref="V77">XLOOKUP(R77,'Dados Funil'!$A:$A,'Dados Funil'!$K:$K,"")</f>
        <v/>
      </c>
      <c r="W77" s="4" t="str">
        <f t="array" ref="W77">XLOOKUP(R77,'Dados Funil'!$A:$A,'Dados Funil'!$L:$L,"")</f>
        <v/>
      </c>
      <c r="X77" s="4"/>
      <c r="Y77" s="4"/>
      <c r="Z77" s="7" t="str">
        <f t="shared" si="5"/>
        <v/>
      </c>
      <c r="AA77" s="4" t="str">
        <f t="shared" si="13"/>
        <v/>
      </c>
      <c r="AB77" s="4" t="str">
        <f t="array" ref="AB77">XLOOKUP(X77,'Dados Funil'!A:A,'Dados Funil'!O:O,"")</f>
        <v/>
      </c>
      <c r="AE77" s="7" t="str">
        <f t="shared" si="6"/>
        <v/>
      </c>
      <c r="AG77" s="4" t="str">
        <f t="array" ref="AG77">XLOOKUP(AC77,'Dados Funil'!A:A,'Dados Funil'!AM:AM,"")</f>
        <v/>
      </c>
      <c r="AH77" s="4" t="str">
        <f t="array" ref="AH77">XLOOKUP(AC77,'Dados Funil'!A:A,'Dados Funil'!AN:AN,"")</f>
        <v/>
      </c>
    </row>
    <row r="78">
      <c r="A78" s="4"/>
      <c r="B78" s="4"/>
      <c r="C78" s="7" t="str">
        <f t="shared" si="1"/>
        <v/>
      </c>
      <c r="D78" s="4" t="str">
        <f t="shared" si="9"/>
        <v/>
      </c>
      <c r="E78" s="4" t="str">
        <f t="array" ref="E78">XLOOKUP(A78,'Dados Funil'!$A:$A,'Dados Funil'!$K:$K,"")</f>
        <v/>
      </c>
      <c r="F78" s="4" t="str">
        <f t="array" ref="F78">XLOOKUP(A78,'Dados Funil'!$A:$A,'Dados Funil'!$L:$L,"")</f>
        <v/>
      </c>
      <c r="G78" s="4"/>
      <c r="H78" s="4"/>
      <c r="I78" s="7" t="str">
        <f t="shared" si="2"/>
        <v/>
      </c>
      <c r="J78" s="4" t="str">
        <f t="shared" si="10"/>
        <v/>
      </c>
      <c r="K78" s="4" t="str">
        <f t="array" ref="K78">XLOOKUP(G78,'Dados Funil'!A:A,'Dados Funil'!O:O,"")</f>
        <v/>
      </c>
      <c r="L78" s="4"/>
      <c r="M78" s="4"/>
      <c r="N78" s="7" t="str">
        <f t="shared" si="3"/>
        <v/>
      </c>
      <c r="O78" s="4" t="str">
        <f t="shared" si="11"/>
        <v/>
      </c>
      <c r="P78" s="4" t="str">
        <f t="array" ref="P78">XLOOKUP(L78,'Dados Funil'!A:A,'Dados Funil'!AM:AM,"")</f>
        <v/>
      </c>
      <c r="Q78" s="4" t="str">
        <f t="array" ref="Q78">XLOOKUP(L78,'Dados Funil'!A:A,'Dados Funil'!AN:AN,"")</f>
        <v/>
      </c>
      <c r="T78" s="7" t="str">
        <f t="shared" si="4"/>
        <v/>
      </c>
      <c r="U78" s="4" t="str">
        <f t="shared" si="12"/>
        <v/>
      </c>
      <c r="V78" s="4" t="str">
        <f t="array" ref="V78">XLOOKUP(R78,'Dados Funil'!$A:$A,'Dados Funil'!$K:$K,"")</f>
        <v/>
      </c>
      <c r="W78" s="4" t="str">
        <f t="array" ref="W78">XLOOKUP(R78,'Dados Funil'!$A:$A,'Dados Funil'!$L:$L,"")</f>
        <v/>
      </c>
      <c r="X78" s="4"/>
      <c r="Y78" s="4"/>
      <c r="Z78" s="7" t="str">
        <f t="shared" si="5"/>
        <v/>
      </c>
      <c r="AA78" s="4" t="str">
        <f t="shared" si="13"/>
        <v/>
      </c>
      <c r="AB78" s="4" t="str">
        <f t="array" ref="AB78">XLOOKUP(X78,'Dados Funil'!A:A,'Dados Funil'!O:O,"")</f>
        <v/>
      </c>
      <c r="AE78" s="7" t="str">
        <f t="shared" si="6"/>
        <v/>
      </c>
      <c r="AG78" s="4" t="str">
        <f t="array" ref="AG78">XLOOKUP(AC78,'Dados Funil'!A:A,'Dados Funil'!AM:AM,"")</f>
        <v/>
      </c>
      <c r="AH78" s="4" t="str">
        <f t="array" ref="AH78">XLOOKUP(AC78,'Dados Funil'!A:A,'Dados Funil'!AN:AN,"")</f>
        <v/>
      </c>
    </row>
    <row r="79">
      <c r="A79" s="4"/>
      <c r="B79" s="4"/>
      <c r="C79" s="7" t="str">
        <f t="shared" si="1"/>
        <v/>
      </c>
      <c r="D79" s="4" t="str">
        <f t="shared" si="9"/>
        <v/>
      </c>
      <c r="E79" s="4" t="str">
        <f t="array" ref="E79">XLOOKUP(A79,'Dados Funil'!$A:$A,'Dados Funil'!$K:$K,"")</f>
        <v/>
      </c>
      <c r="F79" s="4" t="str">
        <f t="array" ref="F79">XLOOKUP(A79,'Dados Funil'!$A:$A,'Dados Funil'!$L:$L,"")</f>
        <v/>
      </c>
      <c r="G79" s="4"/>
      <c r="H79" s="4"/>
      <c r="I79" s="7" t="str">
        <f t="shared" si="2"/>
        <v/>
      </c>
      <c r="J79" s="4" t="str">
        <f t="shared" si="10"/>
        <v/>
      </c>
      <c r="K79" s="4" t="str">
        <f t="array" ref="K79">XLOOKUP(G79,'Dados Funil'!A:A,'Dados Funil'!O:O,"")</f>
        <v/>
      </c>
      <c r="L79" s="4"/>
      <c r="M79" s="4"/>
      <c r="N79" s="7" t="str">
        <f t="shared" si="3"/>
        <v/>
      </c>
      <c r="O79" s="4" t="str">
        <f t="shared" si="11"/>
        <v/>
      </c>
      <c r="P79" s="4" t="str">
        <f t="array" ref="P79">XLOOKUP(L79,'Dados Funil'!A:A,'Dados Funil'!AM:AM,"")</f>
        <v/>
      </c>
      <c r="Q79" s="4" t="str">
        <f t="array" ref="Q79">XLOOKUP(L79,'Dados Funil'!A:A,'Dados Funil'!AN:AN,"")</f>
        <v/>
      </c>
      <c r="T79" s="7" t="str">
        <f t="shared" si="4"/>
        <v/>
      </c>
      <c r="U79" s="4" t="str">
        <f t="shared" si="12"/>
        <v/>
      </c>
      <c r="V79" s="4" t="str">
        <f t="array" ref="V79">XLOOKUP(R79,'Dados Funil'!$A:$A,'Dados Funil'!$K:$K,"")</f>
        <v/>
      </c>
      <c r="W79" s="4" t="str">
        <f t="array" ref="W79">XLOOKUP(R79,'Dados Funil'!$A:$A,'Dados Funil'!$L:$L,"")</f>
        <v/>
      </c>
      <c r="X79" s="4"/>
      <c r="Y79" s="4"/>
      <c r="Z79" s="7" t="str">
        <f t="shared" si="5"/>
        <v/>
      </c>
      <c r="AA79" s="4" t="str">
        <f t="shared" si="13"/>
        <v/>
      </c>
      <c r="AB79" s="4" t="str">
        <f t="array" ref="AB79">XLOOKUP(X79,'Dados Funil'!A:A,'Dados Funil'!O:O,"")</f>
        <v/>
      </c>
      <c r="AE79" s="7" t="str">
        <f t="shared" si="6"/>
        <v/>
      </c>
      <c r="AG79" s="4" t="str">
        <f t="array" ref="AG79">XLOOKUP(AC79,'Dados Funil'!A:A,'Dados Funil'!AM:AM,"")</f>
        <v/>
      </c>
      <c r="AH79" s="4" t="str">
        <f t="array" ref="AH79">XLOOKUP(AC79,'Dados Funil'!A:A,'Dados Funil'!AN:AN,"")</f>
        <v/>
      </c>
    </row>
    <row r="80">
      <c r="A80" s="4"/>
      <c r="B80" s="4"/>
      <c r="C80" s="7" t="str">
        <f t="shared" si="1"/>
        <v/>
      </c>
      <c r="D80" s="4" t="str">
        <f t="shared" si="9"/>
        <v/>
      </c>
      <c r="E80" s="4" t="str">
        <f t="array" ref="E80">XLOOKUP(A80,'Dados Funil'!$A:$A,'Dados Funil'!$K:$K,"")</f>
        <v/>
      </c>
      <c r="F80" s="4" t="str">
        <f t="array" ref="F80">XLOOKUP(A80,'Dados Funil'!$A:$A,'Dados Funil'!$L:$L,"")</f>
        <v/>
      </c>
      <c r="G80" s="4"/>
      <c r="H80" s="4"/>
      <c r="I80" s="7" t="str">
        <f t="shared" si="2"/>
        <v/>
      </c>
      <c r="J80" s="4" t="str">
        <f t="shared" si="10"/>
        <v/>
      </c>
      <c r="K80" s="4" t="str">
        <f t="array" ref="K80">XLOOKUP(G80,'Dados Funil'!A:A,'Dados Funil'!O:O,"")</f>
        <v/>
      </c>
      <c r="L80" s="4"/>
      <c r="M80" s="4"/>
      <c r="N80" s="7" t="str">
        <f t="shared" si="3"/>
        <v/>
      </c>
      <c r="O80" s="4" t="str">
        <f t="shared" si="11"/>
        <v/>
      </c>
      <c r="P80" s="4" t="str">
        <f t="array" ref="P80">XLOOKUP(L80,'Dados Funil'!A:A,'Dados Funil'!AM:AM,"")</f>
        <v/>
      </c>
      <c r="Q80" s="4" t="str">
        <f t="array" ref="Q80">XLOOKUP(L80,'Dados Funil'!A:A,'Dados Funil'!AN:AN,"")</f>
        <v/>
      </c>
      <c r="T80" s="7" t="str">
        <f t="shared" si="4"/>
        <v/>
      </c>
      <c r="U80" s="4" t="str">
        <f t="shared" si="12"/>
        <v/>
      </c>
      <c r="V80" s="4" t="str">
        <f t="array" ref="V80">XLOOKUP(R80,'Dados Funil'!$A:$A,'Dados Funil'!$K:$K,"")</f>
        <v/>
      </c>
      <c r="W80" s="4" t="str">
        <f t="array" ref="W80">XLOOKUP(R80,'Dados Funil'!$A:$A,'Dados Funil'!$L:$L,"")</f>
        <v/>
      </c>
      <c r="X80" s="4"/>
      <c r="Y80" s="4"/>
      <c r="Z80" s="7" t="str">
        <f t="shared" si="5"/>
        <v/>
      </c>
      <c r="AA80" s="4" t="str">
        <f t="shared" si="13"/>
        <v/>
      </c>
      <c r="AB80" s="4" t="str">
        <f t="array" ref="AB80">XLOOKUP(X80,'Dados Funil'!A:A,'Dados Funil'!O:O,"")</f>
        <v/>
      </c>
      <c r="AE80" s="7" t="str">
        <f t="shared" si="6"/>
        <v/>
      </c>
      <c r="AG80" s="4" t="str">
        <f t="array" ref="AG80">XLOOKUP(AC80,'Dados Funil'!A:A,'Dados Funil'!AM:AM,"")</f>
        <v/>
      </c>
      <c r="AH80" s="4" t="str">
        <f t="array" ref="AH80">XLOOKUP(AC80,'Dados Funil'!A:A,'Dados Funil'!AN:AN,"")</f>
        <v/>
      </c>
    </row>
    <row r="81">
      <c r="A81" s="4"/>
      <c r="B81" s="4"/>
      <c r="C81" s="7" t="str">
        <f t="shared" si="1"/>
        <v/>
      </c>
      <c r="D81" s="4" t="str">
        <f t="shared" si="9"/>
        <v/>
      </c>
      <c r="E81" s="4" t="str">
        <f t="array" ref="E81">XLOOKUP(A81,'Dados Funil'!$A:$A,'Dados Funil'!$K:$K,"")</f>
        <v/>
      </c>
      <c r="F81" s="4" t="str">
        <f t="array" ref="F81">XLOOKUP(A81,'Dados Funil'!$A:$A,'Dados Funil'!$L:$L,"")</f>
        <v/>
      </c>
      <c r="G81" s="4"/>
      <c r="H81" s="4"/>
      <c r="I81" s="7" t="str">
        <f t="shared" si="2"/>
        <v/>
      </c>
      <c r="J81" s="4" t="str">
        <f t="shared" si="10"/>
        <v/>
      </c>
      <c r="K81" s="4" t="str">
        <f t="array" ref="K81">XLOOKUP(G81,'Dados Funil'!A:A,'Dados Funil'!O:O,"")</f>
        <v/>
      </c>
      <c r="L81" s="4"/>
      <c r="M81" s="4"/>
      <c r="N81" s="7" t="str">
        <f t="shared" si="3"/>
        <v/>
      </c>
      <c r="O81" s="4" t="str">
        <f t="shared" si="11"/>
        <v/>
      </c>
      <c r="P81" s="4" t="str">
        <f t="array" ref="P81">XLOOKUP(L81,'Dados Funil'!A:A,'Dados Funil'!AM:AM,"")</f>
        <v/>
      </c>
      <c r="Q81" s="4" t="str">
        <f t="array" ref="Q81">XLOOKUP(L81,'Dados Funil'!A:A,'Dados Funil'!AN:AN,"")</f>
        <v/>
      </c>
      <c r="T81" s="7" t="str">
        <f t="shared" si="4"/>
        <v/>
      </c>
      <c r="U81" s="4" t="str">
        <f t="shared" si="12"/>
        <v/>
      </c>
      <c r="V81" s="4" t="str">
        <f t="array" ref="V81">XLOOKUP(R81,'Dados Funil'!$A:$A,'Dados Funil'!$K:$K,"")</f>
        <v/>
      </c>
      <c r="W81" s="4" t="str">
        <f t="array" ref="W81">XLOOKUP(R81,'Dados Funil'!$A:$A,'Dados Funil'!$L:$L,"")</f>
        <v/>
      </c>
      <c r="X81" s="4"/>
      <c r="Y81" s="4"/>
      <c r="Z81" s="7" t="str">
        <f t="shared" si="5"/>
        <v/>
      </c>
      <c r="AA81" s="4" t="str">
        <f t="shared" si="13"/>
        <v/>
      </c>
      <c r="AB81" s="4" t="str">
        <f t="array" ref="AB81">XLOOKUP(X81,'Dados Funil'!A:A,'Dados Funil'!O:O,"")</f>
        <v/>
      </c>
      <c r="AE81" s="7" t="str">
        <f t="shared" si="6"/>
        <v/>
      </c>
      <c r="AG81" s="4" t="str">
        <f t="array" ref="AG81">XLOOKUP(AC81,'Dados Funil'!A:A,'Dados Funil'!AM:AM,"")</f>
        <v/>
      </c>
      <c r="AH81" s="4" t="str">
        <f t="array" ref="AH81">XLOOKUP(AC81,'Dados Funil'!A:A,'Dados Funil'!AN:AN,"")</f>
        <v/>
      </c>
    </row>
    <row r="82">
      <c r="A82" s="4"/>
      <c r="B82" s="4"/>
      <c r="C82" s="7" t="str">
        <f t="shared" si="1"/>
        <v/>
      </c>
      <c r="D82" s="4" t="str">
        <f t="shared" si="9"/>
        <v/>
      </c>
      <c r="E82" s="4" t="str">
        <f t="array" ref="E82">XLOOKUP(A82,'Dados Funil'!$A:$A,'Dados Funil'!$K:$K,"")</f>
        <v/>
      </c>
      <c r="F82" s="4" t="str">
        <f t="array" ref="F82">XLOOKUP(A82,'Dados Funil'!$A:$A,'Dados Funil'!$L:$L,"")</f>
        <v/>
      </c>
      <c r="G82" s="4"/>
      <c r="H82" s="4"/>
      <c r="I82" s="7" t="str">
        <f t="shared" si="2"/>
        <v/>
      </c>
      <c r="J82" s="4" t="str">
        <f t="shared" si="10"/>
        <v/>
      </c>
      <c r="K82" s="4" t="str">
        <f t="array" ref="K82">XLOOKUP(G82,'Dados Funil'!A:A,'Dados Funil'!O:O,"")</f>
        <v/>
      </c>
      <c r="L82" s="4"/>
      <c r="M82" s="4"/>
      <c r="N82" s="7" t="str">
        <f t="shared" si="3"/>
        <v/>
      </c>
      <c r="O82" s="4" t="str">
        <f t="shared" si="11"/>
        <v/>
      </c>
      <c r="P82" s="4" t="str">
        <f t="array" ref="P82">XLOOKUP(L82,'Dados Funil'!A:A,'Dados Funil'!AM:AM,"")</f>
        <v/>
      </c>
      <c r="Q82" s="4" t="str">
        <f t="array" ref="Q82">XLOOKUP(L82,'Dados Funil'!A:A,'Dados Funil'!AN:AN,"")</f>
        <v/>
      </c>
      <c r="T82" s="7" t="str">
        <f t="shared" si="4"/>
        <v/>
      </c>
      <c r="U82" s="4" t="str">
        <f t="shared" si="12"/>
        <v/>
      </c>
      <c r="V82" s="4" t="str">
        <f t="array" ref="V82">XLOOKUP(R82,'Dados Funil'!$A:$A,'Dados Funil'!$K:$K,"")</f>
        <v/>
      </c>
      <c r="W82" s="4" t="str">
        <f t="array" ref="W82">XLOOKUP(R82,'Dados Funil'!$A:$A,'Dados Funil'!$L:$L,"")</f>
        <v/>
      </c>
      <c r="X82" s="4"/>
      <c r="Y82" s="4"/>
      <c r="Z82" s="7" t="str">
        <f t="shared" si="5"/>
        <v/>
      </c>
      <c r="AA82" s="4" t="str">
        <f t="shared" si="13"/>
        <v/>
      </c>
      <c r="AB82" s="4" t="str">
        <f t="array" ref="AB82">XLOOKUP(X82,'Dados Funil'!A:A,'Dados Funil'!O:O,"")</f>
        <v/>
      </c>
      <c r="AE82" s="7" t="str">
        <f t="shared" si="6"/>
        <v/>
      </c>
      <c r="AG82" s="4" t="str">
        <f t="array" ref="AG82">XLOOKUP(AC82,'Dados Funil'!A:A,'Dados Funil'!AM:AM,"")</f>
        <v/>
      </c>
      <c r="AH82" s="4" t="str">
        <f t="array" ref="AH82">XLOOKUP(AC82,'Dados Funil'!A:A,'Dados Funil'!AN:AN,"")</f>
        <v/>
      </c>
    </row>
    <row r="83">
      <c r="A83" s="4"/>
      <c r="B83" s="4"/>
      <c r="C83" s="7" t="str">
        <f t="shared" si="1"/>
        <v/>
      </c>
      <c r="D83" s="4" t="str">
        <f t="shared" si="9"/>
        <v/>
      </c>
      <c r="E83" s="4" t="str">
        <f t="array" ref="E83">XLOOKUP(A83,'Dados Funil'!$A:$A,'Dados Funil'!$K:$K,"")</f>
        <v/>
      </c>
      <c r="F83" s="4" t="str">
        <f t="array" ref="F83">XLOOKUP(A83,'Dados Funil'!$A:$A,'Dados Funil'!$L:$L,"")</f>
        <v/>
      </c>
      <c r="G83" s="4"/>
      <c r="H83" s="4"/>
      <c r="I83" s="7" t="str">
        <f t="shared" si="2"/>
        <v/>
      </c>
      <c r="J83" s="4" t="str">
        <f t="shared" si="10"/>
        <v/>
      </c>
      <c r="K83" s="4" t="str">
        <f t="array" ref="K83">XLOOKUP(G83,'Dados Funil'!A:A,'Dados Funil'!O:O,"")</f>
        <v/>
      </c>
      <c r="L83" s="4"/>
      <c r="M83" s="4"/>
      <c r="N83" s="7" t="str">
        <f t="shared" si="3"/>
        <v/>
      </c>
      <c r="O83" s="4" t="str">
        <f t="shared" si="11"/>
        <v/>
      </c>
      <c r="P83" s="4" t="str">
        <f t="array" ref="P83">XLOOKUP(L83,'Dados Funil'!A:A,'Dados Funil'!AM:AM,"")</f>
        <v/>
      </c>
      <c r="Q83" s="4" t="str">
        <f t="array" ref="Q83">XLOOKUP(L83,'Dados Funil'!A:A,'Dados Funil'!AN:AN,"")</f>
        <v/>
      </c>
      <c r="T83" s="7" t="str">
        <f t="shared" si="4"/>
        <v/>
      </c>
      <c r="U83" s="4" t="str">
        <f t="shared" si="12"/>
        <v/>
      </c>
      <c r="V83" s="4" t="str">
        <f t="array" ref="V83">XLOOKUP(R83,'Dados Funil'!$A:$A,'Dados Funil'!$K:$K,"")</f>
        <v/>
      </c>
      <c r="W83" s="4" t="str">
        <f t="array" ref="W83">XLOOKUP(R83,'Dados Funil'!$A:$A,'Dados Funil'!$L:$L,"")</f>
        <v/>
      </c>
      <c r="X83" s="4"/>
      <c r="Y83" s="4"/>
      <c r="Z83" s="7" t="str">
        <f t="shared" si="5"/>
        <v/>
      </c>
      <c r="AA83" s="4" t="str">
        <f t="shared" si="13"/>
        <v/>
      </c>
      <c r="AB83" s="4" t="str">
        <f t="array" ref="AB83">XLOOKUP(X83,'Dados Funil'!A:A,'Dados Funil'!O:O,"")</f>
        <v/>
      </c>
      <c r="AE83" s="7" t="str">
        <f t="shared" si="6"/>
        <v/>
      </c>
      <c r="AG83" s="4" t="str">
        <f t="array" ref="AG83">XLOOKUP(AC83,'Dados Funil'!A:A,'Dados Funil'!AM:AM,"")</f>
        <v/>
      </c>
      <c r="AH83" s="4" t="str">
        <f t="array" ref="AH83">XLOOKUP(AC83,'Dados Funil'!A:A,'Dados Funil'!AN:AN,"")</f>
        <v/>
      </c>
    </row>
    <row r="84">
      <c r="A84" s="4"/>
      <c r="B84" s="4"/>
      <c r="C84" s="7" t="str">
        <f t="shared" si="1"/>
        <v/>
      </c>
      <c r="D84" s="4" t="str">
        <f t="shared" si="9"/>
        <v/>
      </c>
      <c r="E84" s="4" t="str">
        <f t="array" ref="E84">XLOOKUP(A84,'Dados Funil'!$A:$A,'Dados Funil'!$K:$K,"")</f>
        <v/>
      </c>
      <c r="F84" s="4" t="str">
        <f t="array" ref="F84">XLOOKUP(A84,'Dados Funil'!$A:$A,'Dados Funil'!$L:$L,"")</f>
        <v/>
      </c>
      <c r="G84" s="4"/>
      <c r="H84" s="4"/>
      <c r="I84" s="7" t="str">
        <f t="shared" si="2"/>
        <v/>
      </c>
      <c r="J84" s="4" t="str">
        <f t="shared" si="10"/>
        <v/>
      </c>
      <c r="K84" s="4" t="str">
        <f t="array" ref="K84">XLOOKUP(G84,'Dados Funil'!A:A,'Dados Funil'!O:O,"")</f>
        <v/>
      </c>
      <c r="L84" s="4"/>
      <c r="M84" s="4"/>
      <c r="N84" s="7" t="str">
        <f t="shared" si="3"/>
        <v/>
      </c>
      <c r="O84" s="4" t="str">
        <f t="shared" si="11"/>
        <v/>
      </c>
      <c r="P84" s="4" t="str">
        <f t="array" ref="P84">XLOOKUP(L84,'Dados Funil'!A:A,'Dados Funil'!AM:AM,"")</f>
        <v/>
      </c>
      <c r="Q84" s="4" t="str">
        <f t="array" ref="Q84">XLOOKUP(L84,'Dados Funil'!A:A,'Dados Funil'!AN:AN,"")</f>
        <v/>
      </c>
      <c r="T84" s="7" t="str">
        <f t="shared" si="4"/>
        <v/>
      </c>
      <c r="U84" s="4" t="str">
        <f t="shared" si="12"/>
        <v/>
      </c>
      <c r="V84" s="4" t="str">
        <f t="array" ref="V84">XLOOKUP(R84,'Dados Funil'!$A:$A,'Dados Funil'!$K:$K,"")</f>
        <v/>
      </c>
      <c r="W84" s="4" t="str">
        <f t="array" ref="W84">XLOOKUP(R84,'Dados Funil'!$A:$A,'Dados Funil'!$L:$L,"")</f>
        <v/>
      </c>
      <c r="X84" s="4"/>
      <c r="Y84" s="4"/>
      <c r="Z84" s="7" t="str">
        <f t="shared" si="5"/>
        <v/>
      </c>
      <c r="AA84" s="4" t="str">
        <f t="shared" si="13"/>
        <v/>
      </c>
      <c r="AB84" s="4" t="str">
        <f t="array" ref="AB84">XLOOKUP(X84,'Dados Funil'!A:A,'Dados Funil'!O:O,"")</f>
        <v/>
      </c>
      <c r="AE84" s="7" t="str">
        <f t="shared" si="6"/>
        <v/>
      </c>
      <c r="AG84" s="4" t="str">
        <f t="array" ref="AG84">XLOOKUP(AC84,'Dados Funil'!A:A,'Dados Funil'!AM:AM,"")</f>
        <v/>
      </c>
      <c r="AH84" s="4" t="str">
        <f t="array" ref="AH84">XLOOKUP(AC84,'Dados Funil'!A:A,'Dados Funil'!AN:AN,"")</f>
        <v/>
      </c>
    </row>
    <row r="85">
      <c r="A85" s="4"/>
      <c r="B85" s="4"/>
      <c r="C85" s="7" t="str">
        <f t="shared" si="1"/>
        <v/>
      </c>
      <c r="D85" s="4" t="str">
        <f t="shared" si="9"/>
        <v/>
      </c>
      <c r="E85" s="4" t="str">
        <f t="array" ref="E85">XLOOKUP(A85,'Dados Funil'!$A:$A,'Dados Funil'!$K:$K,"")</f>
        <v/>
      </c>
      <c r="F85" s="4" t="str">
        <f t="array" ref="F85">XLOOKUP(A85,'Dados Funil'!$A:$A,'Dados Funil'!$L:$L,"")</f>
        <v/>
      </c>
      <c r="G85" s="4"/>
      <c r="H85" s="4"/>
      <c r="I85" s="7" t="str">
        <f t="shared" si="2"/>
        <v/>
      </c>
      <c r="J85" s="4" t="str">
        <f t="shared" si="10"/>
        <v/>
      </c>
      <c r="K85" s="4" t="str">
        <f t="array" ref="K85">XLOOKUP(G85,'Dados Funil'!A:A,'Dados Funil'!O:O,"")</f>
        <v/>
      </c>
      <c r="L85" s="4"/>
      <c r="M85" s="4"/>
      <c r="N85" s="7" t="str">
        <f t="shared" si="3"/>
        <v/>
      </c>
      <c r="O85" s="4" t="str">
        <f t="shared" si="11"/>
        <v/>
      </c>
      <c r="P85" s="4" t="str">
        <f t="array" ref="P85">XLOOKUP(L85,'Dados Funil'!A:A,'Dados Funil'!AM:AM,"")</f>
        <v/>
      </c>
      <c r="Q85" s="4" t="str">
        <f t="array" ref="Q85">XLOOKUP(L85,'Dados Funil'!A:A,'Dados Funil'!AN:AN,"")</f>
        <v/>
      </c>
      <c r="T85" s="7" t="str">
        <f t="shared" si="4"/>
        <v/>
      </c>
      <c r="U85" s="4" t="str">
        <f t="shared" si="12"/>
        <v/>
      </c>
      <c r="V85" s="4" t="str">
        <f t="array" ref="V85">XLOOKUP(R85,'Dados Funil'!$A:$A,'Dados Funil'!$K:$K,"")</f>
        <v/>
      </c>
      <c r="W85" s="4" t="str">
        <f t="array" ref="W85">XLOOKUP(R85,'Dados Funil'!$A:$A,'Dados Funil'!$L:$L,"")</f>
        <v/>
      </c>
      <c r="X85" s="4"/>
      <c r="Y85" s="4"/>
      <c r="Z85" s="7" t="str">
        <f t="shared" si="5"/>
        <v/>
      </c>
      <c r="AA85" s="4" t="str">
        <f t="shared" si="13"/>
        <v/>
      </c>
      <c r="AB85" s="4" t="str">
        <f t="array" ref="AB85">XLOOKUP(X85,'Dados Funil'!A:A,'Dados Funil'!O:O,"")</f>
        <v/>
      </c>
      <c r="AE85" s="7" t="str">
        <f t="shared" si="6"/>
        <v/>
      </c>
      <c r="AG85" s="4" t="str">
        <f t="array" ref="AG85">XLOOKUP(AC85,'Dados Funil'!A:A,'Dados Funil'!AM:AM,"")</f>
        <v/>
      </c>
      <c r="AH85" s="4" t="str">
        <f t="array" ref="AH85">XLOOKUP(AC85,'Dados Funil'!A:A,'Dados Funil'!AN:AN,"")</f>
        <v/>
      </c>
    </row>
    <row r="86">
      <c r="A86" s="4"/>
      <c r="B86" s="4"/>
      <c r="C86" s="7" t="str">
        <f t="shared" si="1"/>
        <v/>
      </c>
      <c r="D86" s="4" t="str">
        <f t="shared" si="9"/>
        <v/>
      </c>
      <c r="E86" s="4" t="str">
        <f t="array" ref="E86">XLOOKUP(A86,'Dados Funil'!$A:$A,'Dados Funil'!$K:$K,"")</f>
        <v/>
      </c>
      <c r="F86" s="4" t="str">
        <f t="array" ref="F86">XLOOKUP(A86,'Dados Funil'!$A:$A,'Dados Funil'!$L:$L,"")</f>
        <v/>
      </c>
      <c r="G86" s="4"/>
      <c r="H86" s="4"/>
      <c r="I86" s="7" t="str">
        <f t="shared" si="2"/>
        <v/>
      </c>
      <c r="J86" s="4" t="str">
        <f t="shared" si="10"/>
        <v/>
      </c>
      <c r="K86" s="4" t="str">
        <f t="array" ref="K86">XLOOKUP(G86,'Dados Funil'!A:A,'Dados Funil'!O:O,"")</f>
        <v/>
      </c>
      <c r="L86" s="4"/>
      <c r="M86" s="4"/>
      <c r="N86" s="7" t="str">
        <f t="shared" si="3"/>
        <v/>
      </c>
      <c r="O86" s="4" t="str">
        <f t="shared" si="11"/>
        <v/>
      </c>
      <c r="P86" s="4" t="str">
        <f t="array" ref="P86">XLOOKUP(L86,'Dados Funil'!A:A,'Dados Funil'!AM:AM,"")</f>
        <v/>
      </c>
      <c r="Q86" s="4" t="str">
        <f t="array" ref="Q86">XLOOKUP(L86,'Dados Funil'!A:A,'Dados Funil'!AN:AN,"")</f>
        <v/>
      </c>
      <c r="T86" s="7" t="str">
        <f t="shared" si="4"/>
        <v/>
      </c>
      <c r="U86" s="4" t="str">
        <f t="shared" si="12"/>
        <v/>
      </c>
      <c r="V86" s="4" t="str">
        <f t="array" ref="V86">XLOOKUP(R86,'Dados Funil'!$A:$A,'Dados Funil'!$K:$K,"")</f>
        <v/>
      </c>
      <c r="W86" s="4" t="str">
        <f t="array" ref="W86">XLOOKUP(R86,'Dados Funil'!$A:$A,'Dados Funil'!$L:$L,"")</f>
        <v/>
      </c>
      <c r="X86" s="4"/>
      <c r="Y86" s="4"/>
      <c r="Z86" s="7" t="str">
        <f t="shared" si="5"/>
        <v/>
      </c>
      <c r="AA86" s="4" t="str">
        <f t="shared" si="13"/>
        <v/>
      </c>
      <c r="AB86" s="4" t="str">
        <f t="array" ref="AB86">XLOOKUP(X86,'Dados Funil'!A:A,'Dados Funil'!O:O,"")</f>
        <v/>
      </c>
      <c r="AE86" s="7" t="str">
        <f t="shared" si="6"/>
        <v/>
      </c>
      <c r="AG86" s="4" t="str">
        <f t="array" ref="AG86">XLOOKUP(AC86,'Dados Funil'!A:A,'Dados Funil'!AM:AM,"")</f>
        <v/>
      </c>
      <c r="AH86" s="4" t="str">
        <f t="array" ref="AH86">XLOOKUP(AC86,'Dados Funil'!A:A,'Dados Funil'!AN:AN,"")</f>
        <v/>
      </c>
    </row>
    <row r="87">
      <c r="A87" s="4"/>
      <c r="B87" s="4"/>
      <c r="C87" s="7" t="str">
        <f t="shared" si="1"/>
        <v/>
      </c>
      <c r="D87" s="4" t="str">
        <f t="shared" si="9"/>
        <v/>
      </c>
      <c r="E87" s="4" t="str">
        <f t="array" ref="E87">XLOOKUP(A87,'Dados Funil'!$A:$A,'Dados Funil'!$K:$K,"")</f>
        <v/>
      </c>
      <c r="F87" s="4" t="str">
        <f t="array" ref="F87">XLOOKUP(A87,'Dados Funil'!$A:$A,'Dados Funil'!$L:$L,"")</f>
        <v/>
      </c>
      <c r="G87" s="4"/>
      <c r="H87" s="4"/>
      <c r="I87" s="7" t="str">
        <f t="shared" si="2"/>
        <v/>
      </c>
      <c r="J87" s="4" t="str">
        <f t="shared" si="10"/>
        <v/>
      </c>
      <c r="K87" s="4" t="str">
        <f t="array" ref="K87">XLOOKUP(G87,'Dados Funil'!A:A,'Dados Funil'!O:O,"")</f>
        <v/>
      </c>
      <c r="L87" s="4"/>
      <c r="M87" s="4"/>
      <c r="N87" s="7" t="str">
        <f t="shared" si="3"/>
        <v/>
      </c>
      <c r="O87" s="4" t="str">
        <f t="shared" si="11"/>
        <v/>
      </c>
      <c r="P87" s="4" t="str">
        <f t="array" ref="P87">XLOOKUP(L87,'Dados Funil'!A:A,'Dados Funil'!AM:AM,"")</f>
        <v/>
      </c>
      <c r="Q87" s="4" t="str">
        <f t="array" ref="Q87">XLOOKUP(L87,'Dados Funil'!A:A,'Dados Funil'!AN:AN,"")</f>
        <v/>
      </c>
      <c r="T87" s="7" t="str">
        <f t="shared" si="4"/>
        <v/>
      </c>
      <c r="U87" s="4" t="str">
        <f t="shared" si="12"/>
        <v/>
      </c>
      <c r="V87" s="4" t="str">
        <f t="array" ref="V87">XLOOKUP(R87,'Dados Funil'!$A:$A,'Dados Funil'!$K:$K,"")</f>
        <v/>
      </c>
      <c r="W87" s="4" t="str">
        <f t="array" ref="W87">XLOOKUP(R87,'Dados Funil'!$A:$A,'Dados Funil'!$L:$L,"")</f>
        <v/>
      </c>
      <c r="X87" s="4"/>
      <c r="Y87" s="4"/>
      <c r="Z87" s="7" t="str">
        <f t="shared" si="5"/>
        <v/>
      </c>
      <c r="AA87" s="4" t="str">
        <f t="shared" si="13"/>
        <v/>
      </c>
      <c r="AB87" s="4" t="str">
        <f t="array" ref="AB87">XLOOKUP(X87,'Dados Funil'!A:A,'Dados Funil'!O:O,"")</f>
        <v/>
      </c>
      <c r="AE87" s="7" t="str">
        <f t="shared" si="6"/>
        <v/>
      </c>
      <c r="AG87" s="4" t="str">
        <f t="array" ref="AG87">XLOOKUP(AC87,'Dados Funil'!A:A,'Dados Funil'!AM:AM,"")</f>
        <v/>
      </c>
      <c r="AH87" s="4" t="str">
        <f t="array" ref="AH87">XLOOKUP(AC87,'Dados Funil'!A:A,'Dados Funil'!AN:AN,"")</f>
        <v/>
      </c>
    </row>
    <row r="88">
      <c r="A88" s="4"/>
      <c r="B88" s="4"/>
      <c r="C88" s="7" t="str">
        <f t="shared" si="1"/>
        <v/>
      </c>
      <c r="D88" s="4" t="str">
        <f t="shared" si="9"/>
        <v/>
      </c>
      <c r="E88" s="4" t="str">
        <f t="array" ref="E88">XLOOKUP(A88,'Dados Funil'!$A:$A,'Dados Funil'!$K:$K,"")</f>
        <v/>
      </c>
      <c r="F88" s="4" t="str">
        <f t="array" ref="F88">XLOOKUP(A88,'Dados Funil'!$A:$A,'Dados Funil'!$L:$L,"")</f>
        <v/>
      </c>
      <c r="G88" s="4"/>
      <c r="H88" s="4"/>
      <c r="I88" s="7" t="str">
        <f t="shared" si="2"/>
        <v/>
      </c>
      <c r="J88" s="4" t="str">
        <f t="shared" si="10"/>
        <v/>
      </c>
      <c r="K88" s="4" t="str">
        <f t="array" ref="K88">XLOOKUP(G88,'Dados Funil'!A:A,'Dados Funil'!O:O,"")</f>
        <v/>
      </c>
      <c r="L88" s="4"/>
      <c r="M88" s="4"/>
      <c r="N88" s="7" t="str">
        <f t="shared" si="3"/>
        <v/>
      </c>
      <c r="O88" s="4" t="str">
        <f t="shared" si="11"/>
        <v/>
      </c>
      <c r="P88" s="4" t="str">
        <f t="array" ref="P88">XLOOKUP(L88,'Dados Funil'!A:A,'Dados Funil'!AM:AM,"")</f>
        <v/>
      </c>
      <c r="Q88" s="4" t="str">
        <f t="array" ref="Q88">XLOOKUP(L88,'Dados Funil'!A:A,'Dados Funil'!AN:AN,"")</f>
        <v/>
      </c>
      <c r="T88" s="7" t="str">
        <f t="shared" si="4"/>
        <v/>
      </c>
      <c r="U88" s="4" t="str">
        <f t="shared" si="12"/>
        <v/>
      </c>
      <c r="V88" s="4" t="str">
        <f t="array" ref="V88">XLOOKUP(R88,'Dados Funil'!$A:$A,'Dados Funil'!$K:$K,"")</f>
        <v/>
      </c>
      <c r="W88" s="4" t="str">
        <f t="array" ref="W88">XLOOKUP(R88,'Dados Funil'!$A:$A,'Dados Funil'!$L:$L,"")</f>
        <v/>
      </c>
      <c r="X88" s="4"/>
      <c r="Y88" s="4"/>
      <c r="Z88" s="7" t="str">
        <f t="shared" si="5"/>
        <v/>
      </c>
      <c r="AA88" s="4" t="str">
        <f t="shared" si="13"/>
        <v/>
      </c>
      <c r="AB88" s="4" t="str">
        <f t="array" ref="AB88">XLOOKUP(X88,'Dados Funil'!A:A,'Dados Funil'!O:O,"")</f>
        <v/>
      </c>
      <c r="AE88" s="7" t="str">
        <f t="shared" si="6"/>
        <v/>
      </c>
      <c r="AG88" s="4" t="str">
        <f t="array" ref="AG88">XLOOKUP(AC88,'Dados Funil'!A:A,'Dados Funil'!AM:AM,"")</f>
        <v/>
      </c>
      <c r="AH88" s="4" t="str">
        <f t="array" ref="AH88">XLOOKUP(AC88,'Dados Funil'!A:A,'Dados Funil'!AN:AN,"")</f>
        <v/>
      </c>
    </row>
    <row r="89">
      <c r="A89" s="4"/>
      <c r="B89" s="4"/>
      <c r="C89" s="7" t="str">
        <f t="shared" si="1"/>
        <v/>
      </c>
      <c r="D89" s="4" t="str">
        <f t="shared" si="9"/>
        <v/>
      </c>
      <c r="E89" s="4" t="str">
        <f t="array" ref="E89">XLOOKUP(A89,'Dados Funil'!$A:$A,'Dados Funil'!$K:$K,"")</f>
        <v/>
      </c>
      <c r="F89" s="4" t="str">
        <f t="array" ref="F89">XLOOKUP(A89,'Dados Funil'!$A:$A,'Dados Funil'!$L:$L,"")</f>
        <v/>
      </c>
      <c r="G89" s="4"/>
      <c r="H89" s="4"/>
      <c r="I89" s="7" t="str">
        <f t="shared" si="2"/>
        <v/>
      </c>
      <c r="J89" s="4" t="str">
        <f t="shared" si="10"/>
        <v/>
      </c>
      <c r="K89" s="4" t="str">
        <f t="array" ref="K89">XLOOKUP(G89,'Dados Funil'!A:A,'Dados Funil'!O:O,"")</f>
        <v/>
      </c>
      <c r="L89" s="4"/>
      <c r="M89" s="4"/>
      <c r="N89" s="7" t="str">
        <f t="shared" si="3"/>
        <v/>
      </c>
      <c r="O89" s="4" t="str">
        <f t="shared" si="11"/>
        <v/>
      </c>
      <c r="P89" s="4" t="str">
        <f t="array" ref="P89">XLOOKUP(L89,'Dados Funil'!A:A,'Dados Funil'!AM:AM,"")</f>
        <v/>
      </c>
      <c r="Q89" s="4" t="str">
        <f t="array" ref="Q89">XLOOKUP(L89,'Dados Funil'!A:A,'Dados Funil'!AN:AN,"")</f>
        <v/>
      </c>
      <c r="T89" s="7" t="str">
        <f t="shared" si="4"/>
        <v/>
      </c>
      <c r="U89" s="4" t="str">
        <f t="shared" si="12"/>
        <v/>
      </c>
      <c r="V89" s="4" t="str">
        <f t="array" ref="V89">XLOOKUP(R89,'Dados Funil'!$A:$A,'Dados Funil'!$K:$K,"")</f>
        <v/>
      </c>
      <c r="W89" s="4" t="str">
        <f t="array" ref="W89">XLOOKUP(R89,'Dados Funil'!$A:$A,'Dados Funil'!$L:$L,"")</f>
        <v/>
      </c>
      <c r="X89" s="4"/>
      <c r="Y89" s="4"/>
      <c r="Z89" s="7" t="str">
        <f t="shared" si="5"/>
        <v/>
      </c>
      <c r="AA89" s="4" t="str">
        <f t="shared" si="13"/>
        <v/>
      </c>
      <c r="AB89" s="4" t="str">
        <f t="array" ref="AB89">XLOOKUP(X89,'Dados Funil'!A:A,'Dados Funil'!O:O,"")</f>
        <v/>
      </c>
      <c r="AE89" s="7" t="str">
        <f t="shared" si="6"/>
        <v/>
      </c>
      <c r="AG89" s="4" t="str">
        <f t="array" ref="AG89">XLOOKUP(AC89,'Dados Funil'!A:A,'Dados Funil'!AM:AM,"")</f>
        <v/>
      </c>
      <c r="AH89" s="4" t="str">
        <f t="array" ref="AH89">XLOOKUP(AC89,'Dados Funil'!A:A,'Dados Funil'!AN:AN,"")</f>
        <v/>
      </c>
    </row>
    <row r="90">
      <c r="A90" s="4"/>
      <c r="B90" s="4"/>
      <c r="C90" s="7" t="str">
        <f t="shared" si="1"/>
        <v/>
      </c>
      <c r="D90" s="4" t="str">
        <f t="shared" si="9"/>
        <v/>
      </c>
      <c r="E90" s="4" t="str">
        <f t="array" ref="E90">XLOOKUP(A90,'Dados Funil'!$A:$A,'Dados Funil'!$K:$K,"")</f>
        <v/>
      </c>
      <c r="F90" s="4" t="str">
        <f t="array" ref="F90">XLOOKUP(A90,'Dados Funil'!$A:$A,'Dados Funil'!$L:$L,"")</f>
        <v/>
      </c>
      <c r="G90" s="4"/>
      <c r="H90" s="4"/>
      <c r="I90" s="7" t="str">
        <f t="shared" si="2"/>
        <v/>
      </c>
      <c r="J90" s="4" t="str">
        <f t="shared" si="10"/>
        <v/>
      </c>
      <c r="K90" s="4" t="str">
        <f t="array" ref="K90">XLOOKUP(G90,'Dados Funil'!A:A,'Dados Funil'!O:O,"")</f>
        <v/>
      </c>
      <c r="L90" s="4"/>
      <c r="M90" s="4"/>
      <c r="N90" s="7" t="str">
        <f t="shared" si="3"/>
        <v/>
      </c>
      <c r="O90" s="4" t="str">
        <f t="shared" si="11"/>
        <v/>
      </c>
      <c r="P90" s="4" t="str">
        <f t="array" ref="P90">XLOOKUP(L90,'Dados Funil'!A:A,'Dados Funil'!AM:AM,"")</f>
        <v/>
      </c>
      <c r="Q90" s="4" t="str">
        <f t="array" ref="Q90">XLOOKUP(L90,'Dados Funil'!A:A,'Dados Funil'!AN:AN,"")</f>
        <v/>
      </c>
      <c r="T90" s="7" t="str">
        <f t="shared" si="4"/>
        <v/>
      </c>
      <c r="U90" s="4" t="str">
        <f t="shared" si="12"/>
        <v/>
      </c>
      <c r="V90" s="4" t="str">
        <f t="array" ref="V90">XLOOKUP(R90,'Dados Funil'!$A:$A,'Dados Funil'!$K:$K,"")</f>
        <v/>
      </c>
      <c r="W90" s="4" t="str">
        <f t="array" ref="W90">XLOOKUP(R90,'Dados Funil'!$A:$A,'Dados Funil'!$L:$L,"")</f>
        <v/>
      </c>
      <c r="X90" s="4"/>
      <c r="Y90" s="4"/>
      <c r="Z90" s="7" t="str">
        <f t="shared" si="5"/>
        <v/>
      </c>
      <c r="AA90" s="4" t="str">
        <f t="shared" si="13"/>
        <v/>
      </c>
      <c r="AB90" s="4" t="str">
        <f t="array" ref="AB90">XLOOKUP(X90,'Dados Funil'!A:A,'Dados Funil'!O:O,"")</f>
        <v/>
      </c>
      <c r="AE90" s="7" t="str">
        <f t="shared" si="6"/>
        <v/>
      </c>
      <c r="AG90" s="4" t="str">
        <f t="array" ref="AG90">XLOOKUP(AC90,'Dados Funil'!A:A,'Dados Funil'!AM:AM,"")</f>
        <v/>
      </c>
      <c r="AH90" s="4" t="str">
        <f t="array" ref="AH90">XLOOKUP(AC90,'Dados Funil'!A:A,'Dados Funil'!AN:AN,"")</f>
        <v/>
      </c>
    </row>
    <row r="91">
      <c r="A91" s="4"/>
      <c r="B91" s="4"/>
      <c r="C91" s="7" t="str">
        <f t="shared" si="1"/>
        <v/>
      </c>
      <c r="D91" s="4" t="str">
        <f t="shared" si="9"/>
        <v/>
      </c>
      <c r="E91" s="4" t="str">
        <f t="array" ref="E91">XLOOKUP(A91,'Dados Funil'!$A:$A,'Dados Funil'!$K:$K,"")</f>
        <v/>
      </c>
      <c r="F91" s="4" t="str">
        <f t="array" ref="F91">XLOOKUP(A91,'Dados Funil'!$A:$A,'Dados Funil'!$L:$L,"")</f>
        <v/>
      </c>
      <c r="G91" s="4"/>
      <c r="H91" s="4"/>
      <c r="I91" s="7" t="str">
        <f t="shared" si="2"/>
        <v/>
      </c>
      <c r="J91" s="4" t="str">
        <f t="shared" si="10"/>
        <v/>
      </c>
      <c r="K91" s="4" t="str">
        <f t="array" ref="K91">XLOOKUP(G91,'Dados Funil'!A:A,'Dados Funil'!O:O,"")</f>
        <v/>
      </c>
      <c r="L91" s="4"/>
      <c r="M91" s="4"/>
      <c r="N91" s="7" t="str">
        <f t="shared" si="3"/>
        <v/>
      </c>
      <c r="O91" s="4" t="str">
        <f t="shared" si="11"/>
        <v/>
      </c>
      <c r="P91" s="4" t="str">
        <f t="array" ref="P91">XLOOKUP(L91,'Dados Funil'!A:A,'Dados Funil'!AM:AM,"")</f>
        <v/>
      </c>
      <c r="Q91" s="4" t="str">
        <f t="array" ref="Q91">XLOOKUP(L91,'Dados Funil'!A:A,'Dados Funil'!AN:AN,"")</f>
        <v/>
      </c>
      <c r="T91" s="7" t="str">
        <f t="shared" si="4"/>
        <v/>
      </c>
      <c r="U91" s="4" t="str">
        <f t="shared" si="12"/>
        <v/>
      </c>
      <c r="V91" s="4" t="str">
        <f t="array" ref="V91">XLOOKUP(R91,'Dados Funil'!$A:$A,'Dados Funil'!$K:$K,"")</f>
        <v/>
      </c>
      <c r="W91" s="4" t="str">
        <f t="array" ref="W91">XLOOKUP(R91,'Dados Funil'!$A:$A,'Dados Funil'!$L:$L,"")</f>
        <v/>
      </c>
      <c r="X91" s="4"/>
      <c r="Y91" s="4"/>
      <c r="Z91" s="7" t="str">
        <f t="shared" si="5"/>
        <v/>
      </c>
      <c r="AA91" s="4" t="str">
        <f t="shared" si="13"/>
        <v/>
      </c>
      <c r="AB91" s="4" t="str">
        <f t="array" ref="AB91">XLOOKUP(X91,'Dados Funil'!A:A,'Dados Funil'!O:O,"")</f>
        <v/>
      </c>
      <c r="AE91" s="7" t="str">
        <f t="shared" si="6"/>
        <v/>
      </c>
      <c r="AG91" s="4" t="str">
        <f t="array" ref="AG91">XLOOKUP(AC91,'Dados Funil'!A:A,'Dados Funil'!AM:AM,"")</f>
        <v/>
      </c>
      <c r="AH91" s="4" t="str">
        <f t="array" ref="AH91">XLOOKUP(AC91,'Dados Funil'!A:A,'Dados Funil'!AN:AN,"")</f>
        <v/>
      </c>
    </row>
    <row r="92">
      <c r="A92" s="4"/>
      <c r="B92" s="4"/>
      <c r="C92" s="7" t="str">
        <f t="shared" si="1"/>
        <v/>
      </c>
      <c r="D92" s="4" t="str">
        <f t="shared" si="9"/>
        <v/>
      </c>
      <c r="E92" s="4" t="str">
        <f t="array" ref="E92">XLOOKUP(A92,'Dados Funil'!$A:$A,'Dados Funil'!$K:$K,"")</f>
        <v/>
      </c>
      <c r="F92" s="4" t="str">
        <f t="array" ref="F92">XLOOKUP(A92,'Dados Funil'!$A:$A,'Dados Funil'!$L:$L,"")</f>
        <v/>
      </c>
      <c r="G92" s="4"/>
      <c r="H92" s="4"/>
      <c r="I92" s="7" t="str">
        <f t="shared" si="2"/>
        <v/>
      </c>
      <c r="J92" s="4" t="str">
        <f t="shared" si="10"/>
        <v/>
      </c>
      <c r="K92" s="4" t="str">
        <f t="array" ref="K92">XLOOKUP(G92,'Dados Funil'!A:A,'Dados Funil'!O:O,"")</f>
        <v/>
      </c>
      <c r="L92" s="4"/>
      <c r="M92" s="4"/>
      <c r="N92" s="7" t="str">
        <f t="shared" si="3"/>
        <v/>
      </c>
      <c r="O92" s="4" t="str">
        <f t="shared" si="11"/>
        <v/>
      </c>
      <c r="P92" s="4" t="str">
        <f t="array" ref="P92">XLOOKUP(L92,'Dados Funil'!A:A,'Dados Funil'!AM:AM,"")</f>
        <v/>
      </c>
      <c r="Q92" s="4" t="str">
        <f t="array" ref="Q92">XLOOKUP(L92,'Dados Funil'!A:A,'Dados Funil'!AN:AN,"")</f>
        <v/>
      </c>
      <c r="T92" s="7" t="str">
        <f t="shared" si="4"/>
        <v/>
      </c>
      <c r="U92" s="4" t="str">
        <f t="shared" si="12"/>
        <v/>
      </c>
      <c r="V92" s="4" t="str">
        <f t="array" ref="V92">XLOOKUP(R92,'Dados Funil'!$A:$A,'Dados Funil'!$K:$K,"")</f>
        <v/>
      </c>
      <c r="W92" s="4" t="str">
        <f t="array" ref="W92">XLOOKUP(R92,'Dados Funil'!$A:$A,'Dados Funil'!$L:$L,"")</f>
        <v/>
      </c>
      <c r="X92" s="4"/>
      <c r="Y92" s="4"/>
      <c r="Z92" s="7" t="str">
        <f t="shared" si="5"/>
        <v/>
      </c>
      <c r="AA92" s="4" t="str">
        <f t="shared" si="13"/>
        <v/>
      </c>
      <c r="AB92" s="4" t="str">
        <f t="array" ref="AB92">XLOOKUP(X92,'Dados Funil'!A:A,'Dados Funil'!O:O,"")</f>
        <v/>
      </c>
      <c r="AE92" s="7" t="str">
        <f t="shared" si="6"/>
        <v/>
      </c>
      <c r="AG92" s="4" t="str">
        <f t="array" ref="AG92">XLOOKUP(AC92,'Dados Funil'!A:A,'Dados Funil'!AM:AM,"")</f>
        <v/>
      </c>
      <c r="AH92" s="4" t="str">
        <f t="array" ref="AH92">XLOOKUP(AC92,'Dados Funil'!A:A,'Dados Funil'!AN:AN,"")</f>
        <v/>
      </c>
    </row>
    <row r="93">
      <c r="A93" s="4"/>
      <c r="B93" s="4"/>
      <c r="C93" s="7" t="str">
        <f t="shared" si="1"/>
        <v/>
      </c>
      <c r="D93" s="4" t="str">
        <f t="shared" si="9"/>
        <v/>
      </c>
      <c r="E93" s="4" t="str">
        <f t="array" ref="E93">XLOOKUP(A93,'Dados Funil'!$A:$A,'Dados Funil'!$K:$K,"")</f>
        <v/>
      </c>
      <c r="F93" s="4" t="str">
        <f t="array" ref="F93">XLOOKUP(A93,'Dados Funil'!$A:$A,'Dados Funil'!$L:$L,"")</f>
        <v/>
      </c>
      <c r="G93" s="4"/>
      <c r="H93" s="4"/>
      <c r="I93" s="7" t="str">
        <f t="shared" si="2"/>
        <v/>
      </c>
      <c r="J93" s="4" t="str">
        <f t="shared" si="10"/>
        <v/>
      </c>
      <c r="K93" s="4" t="str">
        <f t="array" ref="K93">XLOOKUP(G93,'Dados Funil'!A:A,'Dados Funil'!O:O,"")</f>
        <v/>
      </c>
      <c r="L93" s="4"/>
      <c r="M93" s="4"/>
      <c r="N93" s="7" t="str">
        <f t="shared" si="3"/>
        <v/>
      </c>
      <c r="O93" s="4" t="str">
        <f t="shared" si="11"/>
        <v/>
      </c>
      <c r="P93" s="4" t="str">
        <f t="array" ref="P93">XLOOKUP(L93,'Dados Funil'!A:A,'Dados Funil'!AM:AM,"")</f>
        <v/>
      </c>
      <c r="Q93" s="4" t="str">
        <f t="array" ref="Q93">XLOOKUP(L93,'Dados Funil'!A:A,'Dados Funil'!AN:AN,"")</f>
        <v/>
      </c>
      <c r="T93" s="7" t="str">
        <f t="shared" si="4"/>
        <v/>
      </c>
      <c r="U93" s="4" t="str">
        <f t="shared" si="12"/>
        <v/>
      </c>
      <c r="V93" s="4" t="str">
        <f t="array" ref="V93">XLOOKUP(R93,'Dados Funil'!$A:$A,'Dados Funil'!$K:$K,"")</f>
        <v/>
      </c>
      <c r="W93" s="4" t="str">
        <f t="array" ref="W93">XLOOKUP(R93,'Dados Funil'!$A:$A,'Dados Funil'!$L:$L,"")</f>
        <v/>
      </c>
      <c r="X93" s="4"/>
      <c r="Y93" s="4"/>
      <c r="Z93" s="7" t="str">
        <f t="shared" si="5"/>
        <v/>
      </c>
      <c r="AA93" s="4" t="str">
        <f t="shared" si="13"/>
        <v/>
      </c>
      <c r="AB93" s="4" t="str">
        <f t="array" ref="AB93">XLOOKUP(X93,'Dados Funil'!A:A,'Dados Funil'!O:O,"")</f>
        <v/>
      </c>
      <c r="AE93" s="7" t="str">
        <f t="shared" si="6"/>
        <v/>
      </c>
      <c r="AG93" s="4" t="str">
        <f t="array" ref="AG93">XLOOKUP(AC93,'Dados Funil'!A:A,'Dados Funil'!AM:AM,"")</f>
        <v/>
      </c>
      <c r="AH93" s="4" t="str">
        <f t="array" ref="AH93">XLOOKUP(AC93,'Dados Funil'!A:A,'Dados Funil'!AN:AN,"")</f>
        <v/>
      </c>
    </row>
    <row r="94">
      <c r="A94" s="4"/>
      <c r="B94" s="4"/>
      <c r="C94" s="7" t="str">
        <f t="shared" si="1"/>
        <v/>
      </c>
      <c r="D94" s="4" t="str">
        <f t="shared" si="9"/>
        <v/>
      </c>
      <c r="E94" s="4" t="str">
        <f t="array" ref="E94">XLOOKUP(A94,'Dados Funil'!$A:$A,'Dados Funil'!$K:$K,"")</f>
        <v/>
      </c>
      <c r="F94" s="4" t="str">
        <f t="array" ref="F94">XLOOKUP(A94,'Dados Funil'!$A:$A,'Dados Funil'!$L:$L,"")</f>
        <v/>
      </c>
      <c r="G94" s="4"/>
      <c r="H94" s="4"/>
      <c r="I94" s="7" t="str">
        <f t="shared" si="2"/>
        <v/>
      </c>
      <c r="J94" s="4" t="str">
        <f t="shared" si="10"/>
        <v/>
      </c>
      <c r="K94" s="4" t="str">
        <f t="array" ref="K94">XLOOKUP(G94,'Dados Funil'!A:A,'Dados Funil'!O:O,"")</f>
        <v/>
      </c>
      <c r="L94" s="4"/>
      <c r="M94" s="4"/>
      <c r="N94" s="7" t="str">
        <f t="shared" si="3"/>
        <v/>
      </c>
      <c r="O94" s="4" t="str">
        <f t="shared" si="11"/>
        <v/>
      </c>
      <c r="P94" s="4" t="str">
        <f t="array" ref="P94">XLOOKUP(L94,'Dados Funil'!A:A,'Dados Funil'!AM:AM,"")</f>
        <v/>
      </c>
      <c r="Q94" s="4" t="str">
        <f t="array" ref="Q94">XLOOKUP(L94,'Dados Funil'!A:A,'Dados Funil'!AN:AN,"")</f>
        <v/>
      </c>
      <c r="T94" s="7" t="str">
        <f t="shared" si="4"/>
        <v/>
      </c>
      <c r="U94" s="4" t="str">
        <f t="shared" si="12"/>
        <v/>
      </c>
      <c r="V94" s="4" t="str">
        <f t="array" ref="V94">XLOOKUP(R94,'Dados Funil'!$A:$A,'Dados Funil'!$K:$K,"")</f>
        <v/>
      </c>
      <c r="W94" s="4" t="str">
        <f t="array" ref="W94">XLOOKUP(R94,'Dados Funil'!$A:$A,'Dados Funil'!$L:$L,"")</f>
        <v/>
      </c>
      <c r="X94" s="4"/>
      <c r="Y94" s="4"/>
      <c r="Z94" s="7" t="str">
        <f t="shared" si="5"/>
        <v/>
      </c>
      <c r="AA94" s="4" t="str">
        <f t="shared" si="13"/>
        <v/>
      </c>
      <c r="AB94" s="4" t="str">
        <f t="array" ref="AB94">XLOOKUP(X94,'Dados Funil'!A:A,'Dados Funil'!O:O,"")</f>
        <v/>
      </c>
      <c r="AE94" s="7" t="str">
        <f t="shared" si="6"/>
        <v/>
      </c>
      <c r="AG94" s="4" t="str">
        <f t="array" ref="AG94">XLOOKUP(AC94,'Dados Funil'!A:A,'Dados Funil'!AM:AM,"")</f>
        <v/>
      </c>
      <c r="AH94" s="4" t="str">
        <f t="array" ref="AH94">XLOOKUP(AC94,'Dados Funil'!A:A,'Dados Funil'!AN:AN,"")</f>
        <v/>
      </c>
    </row>
    <row r="95">
      <c r="A95" s="4"/>
      <c r="B95" s="4"/>
      <c r="C95" s="7" t="str">
        <f t="shared" si="1"/>
        <v/>
      </c>
      <c r="D95" s="4" t="str">
        <f t="shared" si="9"/>
        <v/>
      </c>
      <c r="E95" s="4" t="str">
        <f t="array" ref="E95">XLOOKUP(A95,'Dados Funil'!$A:$A,'Dados Funil'!$K:$K,"")</f>
        <v/>
      </c>
      <c r="F95" s="4" t="str">
        <f t="array" ref="F95">XLOOKUP(A95,'Dados Funil'!$A:$A,'Dados Funil'!$L:$L,"")</f>
        <v/>
      </c>
      <c r="G95" s="4"/>
      <c r="H95" s="4"/>
      <c r="I95" s="7" t="str">
        <f t="shared" si="2"/>
        <v/>
      </c>
      <c r="J95" s="4" t="str">
        <f t="shared" si="10"/>
        <v/>
      </c>
      <c r="K95" s="4" t="str">
        <f t="array" ref="K95">XLOOKUP(G95,'Dados Funil'!A:A,'Dados Funil'!O:O,"")</f>
        <v/>
      </c>
      <c r="L95" s="4"/>
      <c r="M95" s="4"/>
      <c r="N95" s="7" t="str">
        <f t="shared" si="3"/>
        <v/>
      </c>
      <c r="O95" s="4" t="str">
        <f t="shared" si="11"/>
        <v/>
      </c>
      <c r="P95" s="4" t="str">
        <f t="array" ref="P95">XLOOKUP(L95,'Dados Funil'!A:A,'Dados Funil'!AM:AM,"")</f>
        <v/>
      </c>
      <c r="Q95" s="4" t="str">
        <f t="array" ref="Q95">XLOOKUP(L95,'Dados Funil'!A:A,'Dados Funil'!AN:AN,"")</f>
        <v/>
      </c>
      <c r="T95" s="7" t="str">
        <f t="shared" si="4"/>
        <v/>
      </c>
      <c r="U95" s="4" t="str">
        <f t="shared" si="12"/>
        <v/>
      </c>
      <c r="V95" s="4" t="str">
        <f t="array" ref="V95">XLOOKUP(R95,'Dados Funil'!$A:$A,'Dados Funil'!$K:$K,"")</f>
        <v/>
      </c>
      <c r="W95" s="4" t="str">
        <f t="array" ref="W95">XLOOKUP(R95,'Dados Funil'!$A:$A,'Dados Funil'!$L:$L,"")</f>
        <v/>
      </c>
      <c r="X95" s="4"/>
      <c r="Y95" s="4"/>
      <c r="Z95" s="7" t="str">
        <f t="shared" si="5"/>
        <v/>
      </c>
      <c r="AA95" s="4" t="str">
        <f t="shared" si="13"/>
        <v/>
      </c>
      <c r="AB95" s="4" t="str">
        <f t="array" ref="AB95">XLOOKUP(X95,'Dados Funil'!A:A,'Dados Funil'!O:O,"")</f>
        <v/>
      </c>
      <c r="AE95" s="7" t="str">
        <f t="shared" si="6"/>
        <v/>
      </c>
      <c r="AG95" s="4" t="str">
        <f t="array" ref="AG95">XLOOKUP(AC95,'Dados Funil'!A:A,'Dados Funil'!AM:AM,"")</f>
        <v/>
      </c>
      <c r="AH95" s="4" t="str">
        <f t="array" ref="AH95">XLOOKUP(AC95,'Dados Funil'!A:A,'Dados Funil'!AN:AN,"")</f>
        <v/>
      </c>
    </row>
    <row r="96">
      <c r="A96" s="4"/>
      <c r="B96" s="4"/>
      <c r="C96" s="7" t="str">
        <f t="shared" si="1"/>
        <v/>
      </c>
      <c r="D96" s="4" t="str">
        <f t="shared" si="9"/>
        <v/>
      </c>
      <c r="E96" s="4" t="str">
        <f t="array" ref="E96">XLOOKUP(A96,'Dados Funil'!$A:$A,'Dados Funil'!$K:$K,"")</f>
        <v/>
      </c>
      <c r="F96" s="4" t="str">
        <f t="array" ref="F96">XLOOKUP(A96,'Dados Funil'!$A:$A,'Dados Funil'!$L:$L,"")</f>
        <v/>
      </c>
      <c r="G96" s="4"/>
      <c r="H96" s="4"/>
      <c r="I96" s="7" t="str">
        <f t="shared" si="2"/>
        <v/>
      </c>
      <c r="J96" s="4" t="str">
        <f t="shared" si="10"/>
        <v/>
      </c>
      <c r="K96" s="4" t="str">
        <f t="array" ref="K96">XLOOKUP(G96,'Dados Funil'!A:A,'Dados Funil'!O:O,"")</f>
        <v/>
      </c>
      <c r="L96" s="4"/>
      <c r="M96" s="4"/>
      <c r="N96" s="7" t="str">
        <f t="shared" si="3"/>
        <v/>
      </c>
      <c r="O96" s="4" t="str">
        <f t="shared" si="11"/>
        <v/>
      </c>
      <c r="P96" s="4" t="str">
        <f t="array" ref="P96">XLOOKUP(L96,'Dados Funil'!A:A,'Dados Funil'!AM:AM,"")</f>
        <v/>
      </c>
      <c r="Q96" s="4" t="str">
        <f t="array" ref="Q96">XLOOKUP(L96,'Dados Funil'!A:A,'Dados Funil'!AN:AN,"")</f>
        <v/>
      </c>
      <c r="T96" s="7" t="str">
        <f t="shared" si="4"/>
        <v/>
      </c>
      <c r="U96" s="4" t="str">
        <f t="shared" si="12"/>
        <v/>
      </c>
      <c r="V96" s="4" t="str">
        <f t="array" ref="V96">XLOOKUP(R96,'Dados Funil'!$A:$A,'Dados Funil'!$K:$K,"")</f>
        <v/>
      </c>
      <c r="W96" s="4" t="str">
        <f t="array" ref="W96">XLOOKUP(R96,'Dados Funil'!$A:$A,'Dados Funil'!$L:$L,"")</f>
        <v/>
      </c>
      <c r="X96" s="4"/>
      <c r="Y96" s="4"/>
      <c r="Z96" s="7" t="str">
        <f t="shared" si="5"/>
        <v/>
      </c>
      <c r="AA96" s="4" t="str">
        <f t="shared" si="13"/>
        <v/>
      </c>
      <c r="AB96" s="4" t="str">
        <f t="array" ref="AB96">XLOOKUP(X96,'Dados Funil'!A:A,'Dados Funil'!O:O,"")</f>
        <v/>
      </c>
      <c r="AE96" s="7" t="str">
        <f t="shared" si="6"/>
        <v/>
      </c>
      <c r="AG96" s="4" t="str">
        <f t="array" ref="AG96">XLOOKUP(AC96,'Dados Funil'!A:A,'Dados Funil'!AM:AM,"")</f>
        <v/>
      </c>
      <c r="AH96" s="4" t="str">
        <f t="array" ref="AH96">XLOOKUP(AC96,'Dados Funil'!A:A,'Dados Funil'!AN:AN,"")</f>
        <v/>
      </c>
    </row>
    <row r="97">
      <c r="A97" s="4"/>
      <c r="B97" s="4"/>
      <c r="C97" s="7" t="str">
        <f t="shared" si="1"/>
        <v/>
      </c>
      <c r="D97" s="4" t="str">
        <f t="shared" si="9"/>
        <v/>
      </c>
      <c r="E97" s="4" t="str">
        <f t="array" ref="E97">XLOOKUP(A97,'Dados Funil'!$A:$A,'Dados Funil'!$K:$K,"")</f>
        <v/>
      </c>
      <c r="F97" s="4" t="str">
        <f t="array" ref="F97">XLOOKUP(A97,'Dados Funil'!$A:$A,'Dados Funil'!$L:$L,"")</f>
        <v/>
      </c>
      <c r="G97" s="4"/>
      <c r="H97" s="4"/>
      <c r="I97" s="7" t="str">
        <f t="shared" si="2"/>
        <v/>
      </c>
      <c r="J97" s="4" t="str">
        <f t="shared" si="10"/>
        <v/>
      </c>
      <c r="K97" s="4" t="str">
        <f t="array" ref="K97">XLOOKUP(G97,'Dados Funil'!A:A,'Dados Funil'!O:O,"")</f>
        <v/>
      </c>
      <c r="L97" s="4"/>
      <c r="M97" s="4"/>
      <c r="N97" s="7" t="str">
        <f t="shared" si="3"/>
        <v/>
      </c>
      <c r="O97" s="4" t="str">
        <f t="shared" si="11"/>
        <v/>
      </c>
      <c r="P97" s="4" t="str">
        <f t="array" ref="P97">XLOOKUP(L97,'Dados Funil'!A:A,'Dados Funil'!AM:AM,"")</f>
        <v/>
      </c>
      <c r="Q97" s="4" t="str">
        <f t="array" ref="Q97">XLOOKUP(L97,'Dados Funil'!A:A,'Dados Funil'!AN:AN,"")</f>
        <v/>
      </c>
      <c r="T97" s="7" t="str">
        <f t="shared" si="4"/>
        <v/>
      </c>
      <c r="U97" s="4" t="str">
        <f t="shared" si="12"/>
        <v/>
      </c>
      <c r="V97" s="4" t="str">
        <f t="array" ref="V97">XLOOKUP(R97,'Dados Funil'!$A:$A,'Dados Funil'!$K:$K,"")</f>
        <v/>
      </c>
      <c r="W97" s="4" t="str">
        <f t="array" ref="W97">XLOOKUP(R97,'Dados Funil'!$A:$A,'Dados Funil'!$L:$L,"")</f>
        <v/>
      </c>
      <c r="X97" s="4"/>
      <c r="Y97" s="4"/>
      <c r="Z97" s="7" t="str">
        <f t="shared" si="5"/>
        <v/>
      </c>
      <c r="AA97" s="4" t="str">
        <f t="shared" si="13"/>
        <v/>
      </c>
      <c r="AB97" s="4" t="str">
        <f t="array" ref="AB97">XLOOKUP(X97,'Dados Funil'!A:A,'Dados Funil'!O:O,"")</f>
        <v/>
      </c>
      <c r="AE97" s="7" t="str">
        <f t="shared" si="6"/>
        <v/>
      </c>
      <c r="AG97" s="4" t="str">
        <f t="array" ref="AG97">XLOOKUP(AC97,'Dados Funil'!A:A,'Dados Funil'!AM:AM,"")</f>
        <v/>
      </c>
      <c r="AH97" s="4" t="str">
        <f t="array" ref="AH97">XLOOKUP(AC97,'Dados Funil'!A:A,'Dados Funil'!AN:AN,"")</f>
        <v/>
      </c>
    </row>
    <row r="98">
      <c r="A98" s="4"/>
      <c r="B98" s="4"/>
      <c r="C98" s="7" t="str">
        <f t="shared" si="1"/>
        <v/>
      </c>
      <c r="D98" s="4" t="str">
        <f t="shared" si="9"/>
        <v/>
      </c>
      <c r="E98" s="4" t="str">
        <f t="array" ref="E98">XLOOKUP(A98,'Dados Funil'!$A:$A,'Dados Funil'!$K:$K,"")</f>
        <v/>
      </c>
      <c r="F98" s="4" t="str">
        <f t="array" ref="F98">XLOOKUP(A98,'Dados Funil'!$A:$A,'Dados Funil'!$L:$L,"")</f>
        <v/>
      </c>
      <c r="G98" s="4"/>
      <c r="H98" s="4"/>
      <c r="I98" s="7" t="str">
        <f t="shared" si="2"/>
        <v/>
      </c>
      <c r="J98" s="4" t="str">
        <f t="shared" si="10"/>
        <v/>
      </c>
      <c r="K98" s="4" t="str">
        <f t="array" ref="K98">XLOOKUP(G98,'Dados Funil'!A:A,'Dados Funil'!O:O,"")</f>
        <v/>
      </c>
      <c r="L98" s="4"/>
      <c r="M98" s="4"/>
      <c r="N98" s="7" t="str">
        <f t="shared" si="3"/>
        <v/>
      </c>
      <c r="O98" s="4" t="str">
        <f t="shared" si="11"/>
        <v/>
      </c>
      <c r="P98" s="4" t="str">
        <f t="array" ref="P98">XLOOKUP(L98,'Dados Funil'!A:A,'Dados Funil'!AM:AM,"")</f>
        <v/>
      </c>
      <c r="Q98" s="4" t="str">
        <f t="array" ref="Q98">XLOOKUP(L98,'Dados Funil'!A:A,'Dados Funil'!AN:AN,"")</f>
        <v/>
      </c>
      <c r="T98" s="7" t="str">
        <f t="shared" si="4"/>
        <v/>
      </c>
      <c r="U98" s="4" t="str">
        <f t="shared" si="12"/>
        <v/>
      </c>
      <c r="V98" s="4" t="str">
        <f t="array" ref="V98">XLOOKUP(R98,'Dados Funil'!$A:$A,'Dados Funil'!$K:$K,"")</f>
        <v/>
      </c>
      <c r="W98" s="4" t="str">
        <f t="array" ref="W98">XLOOKUP(R98,'Dados Funil'!$A:$A,'Dados Funil'!$L:$L,"")</f>
        <v/>
      </c>
      <c r="X98" s="4"/>
      <c r="Y98" s="4"/>
      <c r="Z98" s="7" t="str">
        <f t="shared" si="5"/>
        <v/>
      </c>
      <c r="AA98" s="4" t="str">
        <f t="shared" si="13"/>
        <v/>
      </c>
      <c r="AB98" s="4" t="str">
        <f t="array" ref="AB98">XLOOKUP(X98,'Dados Funil'!A:A,'Dados Funil'!O:O,"")</f>
        <v/>
      </c>
      <c r="AE98" s="7" t="str">
        <f t="shared" si="6"/>
        <v/>
      </c>
      <c r="AG98" s="4" t="str">
        <f t="array" ref="AG98">XLOOKUP(AC98,'Dados Funil'!A:A,'Dados Funil'!AM:AM,"")</f>
        <v/>
      </c>
      <c r="AH98" s="4" t="str">
        <f t="array" ref="AH98">XLOOKUP(AC98,'Dados Funil'!A:A,'Dados Funil'!AN:AN,"")</f>
        <v/>
      </c>
    </row>
    <row r="99">
      <c r="A99" s="4"/>
      <c r="B99" s="4"/>
      <c r="C99" s="7" t="str">
        <f t="shared" si="1"/>
        <v/>
      </c>
      <c r="D99" s="4" t="str">
        <f t="shared" si="9"/>
        <v/>
      </c>
      <c r="E99" s="4" t="str">
        <f t="array" ref="E99">XLOOKUP(A99,'Dados Funil'!$A:$A,'Dados Funil'!$K:$K,"")</f>
        <v/>
      </c>
      <c r="F99" s="4" t="str">
        <f t="array" ref="F99">XLOOKUP(A99,'Dados Funil'!$A:$A,'Dados Funil'!$L:$L,"")</f>
        <v/>
      </c>
      <c r="G99" s="4"/>
      <c r="H99" s="4"/>
      <c r="I99" s="7" t="str">
        <f t="shared" si="2"/>
        <v/>
      </c>
      <c r="J99" s="4" t="str">
        <f t="shared" si="10"/>
        <v/>
      </c>
      <c r="K99" s="4" t="str">
        <f t="array" ref="K99">XLOOKUP(G99,'Dados Funil'!A:A,'Dados Funil'!O:O,"")</f>
        <v/>
      </c>
      <c r="L99" s="4"/>
      <c r="M99" s="4"/>
      <c r="N99" s="7" t="str">
        <f t="shared" si="3"/>
        <v/>
      </c>
      <c r="O99" s="4" t="str">
        <f t="shared" si="11"/>
        <v/>
      </c>
      <c r="P99" s="4" t="str">
        <f t="array" ref="P99">XLOOKUP(L99,'Dados Funil'!A:A,'Dados Funil'!AM:AM,"")</f>
        <v/>
      </c>
      <c r="Q99" s="4" t="str">
        <f t="array" ref="Q99">XLOOKUP(L99,'Dados Funil'!A:A,'Dados Funil'!AN:AN,"")</f>
        <v/>
      </c>
      <c r="T99" s="7" t="str">
        <f t="shared" si="4"/>
        <v/>
      </c>
      <c r="U99" s="4" t="str">
        <f t="shared" si="12"/>
        <v/>
      </c>
      <c r="V99" s="4" t="str">
        <f t="array" ref="V99">XLOOKUP(R99,'Dados Funil'!$A:$A,'Dados Funil'!$K:$K,"")</f>
        <v/>
      </c>
      <c r="W99" s="4" t="str">
        <f t="array" ref="W99">XLOOKUP(R99,'Dados Funil'!$A:$A,'Dados Funil'!$L:$L,"")</f>
        <v/>
      </c>
      <c r="X99" s="4"/>
      <c r="Y99" s="4"/>
      <c r="Z99" s="7" t="str">
        <f t="shared" si="5"/>
        <v/>
      </c>
      <c r="AA99" s="4" t="str">
        <f t="shared" si="13"/>
        <v/>
      </c>
      <c r="AB99" s="4" t="str">
        <f t="array" ref="AB99">XLOOKUP(X99,'Dados Funil'!A:A,'Dados Funil'!O:O,"")</f>
        <v/>
      </c>
      <c r="AE99" s="7" t="str">
        <f t="shared" si="6"/>
        <v/>
      </c>
      <c r="AG99" s="4" t="str">
        <f t="array" ref="AG99">XLOOKUP(AC99,'Dados Funil'!A:A,'Dados Funil'!AM:AM,"")</f>
        <v/>
      </c>
      <c r="AH99" s="4" t="str">
        <f t="array" ref="AH99">XLOOKUP(AC99,'Dados Funil'!A:A,'Dados Funil'!AN:AN,"")</f>
        <v/>
      </c>
    </row>
    <row r="100">
      <c r="A100" s="4"/>
      <c r="B100" s="4"/>
      <c r="C100" s="7" t="str">
        <f t="shared" si="1"/>
        <v/>
      </c>
      <c r="D100" s="4" t="str">
        <f t="shared" si="9"/>
        <v/>
      </c>
      <c r="E100" s="4" t="str">
        <f t="array" ref="E100">XLOOKUP(A100,'Dados Funil'!$A:$A,'Dados Funil'!$K:$K,"")</f>
        <v/>
      </c>
      <c r="F100" s="4" t="str">
        <f t="array" ref="F100">XLOOKUP(A100,'Dados Funil'!$A:$A,'Dados Funil'!$L:$L,"")</f>
        <v/>
      </c>
      <c r="G100" s="4"/>
      <c r="H100" s="4"/>
      <c r="I100" s="7" t="str">
        <f t="shared" si="2"/>
        <v/>
      </c>
      <c r="J100" s="4" t="str">
        <f t="shared" si="10"/>
        <v/>
      </c>
      <c r="K100" s="4" t="str">
        <f t="array" ref="K100">XLOOKUP(G100,'Dados Funil'!A:A,'Dados Funil'!O:O,"")</f>
        <v/>
      </c>
      <c r="L100" s="4"/>
      <c r="M100" s="4"/>
      <c r="N100" s="7" t="str">
        <f t="shared" si="3"/>
        <v/>
      </c>
      <c r="O100" s="4" t="str">
        <f t="shared" si="11"/>
        <v/>
      </c>
      <c r="P100" s="4" t="str">
        <f t="array" ref="P100">XLOOKUP(L100,'Dados Funil'!A:A,'Dados Funil'!AM:AM,"")</f>
        <v/>
      </c>
      <c r="Q100" s="4" t="str">
        <f t="array" ref="Q100">XLOOKUP(L100,'Dados Funil'!A:A,'Dados Funil'!AN:AN,"")</f>
        <v/>
      </c>
      <c r="T100" s="7" t="str">
        <f t="shared" si="4"/>
        <v/>
      </c>
      <c r="U100" s="4" t="str">
        <f t="shared" si="12"/>
        <v/>
      </c>
      <c r="V100" s="4" t="str">
        <f t="array" ref="V100">XLOOKUP(R100,'Dados Funil'!$A:$A,'Dados Funil'!$K:$K,"")</f>
        <v/>
      </c>
      <c r="W100" s="4" t="str">
        <f t="array" ref="W100">XLOOKUP(R100,'Dados Funil'!$A:$A,'Dados Funil'!$L:$L,"")</f>
        <v/>
      </c>
      <c r="X100" s="4"/>
      <c r="Y100" s="4"/>
      <c r="Z100" s="7" t="str">
        <f t="shared" si="5"/>
        <v/>
      </c>
      <c r="AA100" s="4" t="str">
        <f t="shared" si="13"/>
        <v/>
      </c>
      <c r="AB100" s="4" t="str">
        <f t="array" ref="AB100">XLOOKUP(X100,'Dados Funil'!A:A,'Dados Funil'!O:O,"")</f>
        <v/>
      </c>
      <c r="AE100" s="7" t="str">
        <f t="shared" si="6"/>
        <v/>
      </c>
      <c r="AG100" s="4" t="str">
        <f t="array" ref="AG100">XLOOKUP(AC100,'Dados Funil'!A:A,'Dados Funil'!AM:AM,"")</f>
        <v/>
      </c>
      <c r="AH100" s="4" t="str">
        <f t="array" ref="AH100">XLOOKUP(AC100,'Dados Funil'!A:A,'Dados Funil'!AN:AN,"")</f>
        <v/>
      </c>
    </row>
    <row r="101">
      <c r="A101" s="4"/>
      <c r="B101" s="4"/>
      <c r="C101" s="7" t="str">
        <f t="shared" si="1"/>
        <v/>
      </c>
      <c r="D101" s="4" t="str">
        <f t="shared" si="9"/>
        <v/>
      </c>
      <c r="E101" s="4" t="str">
        <f t="array" ref="E101">XLOOKUP(A101,'Dados Funil'!$A:$A,'Dados Funil'!$K:$K,"")</f>
        <v/>
      </c>
      <c r="F101" s="4" t="str">
        <f t="array" ref="F101">XLOOKUP(A101,'Dados Funil'!$A:$A,'Dados Funil'!$L:$L,"")</f>
        <v/>
      </c>
      <c r="G101" s="4"/>
      <c r="H101" s="4"/>
      <c r="I101" s="7" t="str">
        <f t="shared" si="2"/>
        <v/>
      </c>
      <c r="J101" s="4" t="str">
        <f t="shared" si="10"/>
        <v/>
      </c>
      <c r="K101" s="4" t="str">
        <f t="array" ref="K101">XLOOKUP(G101,'Dados Funil'!A:A,'Dados Funil'!O:O,"")</f>
        <v/>
      </c>
      <c r="L101" s="4"/>
      <c r="M101" s="4"/>
      <c r="N101" s="7" t="str">
        <f t="shared" si="3"/>
        <v/>
      </c>
      <c r="O101" s="4" t="str">
        <f t="shared" si="11"/>
        <v/>
      </c>
      <c r="P101" s="4" t="str">
        <f t="array" ref="P101">XLOOKUP(L101,'Dados Funil'!A:A,'Dados Funil'!AM:AM,"")</f>
        <v/>
      </c>
      <c r="Q101" s="4" t="str">
        <f t="array" ref="Q101">XLOOKUP(L101,'Dados Funil'!A:A,'Dados Funil'!AN:AN,"")</f>
        <v/>
      </c>
      <c r="T101" s="7" t="str">
        <f t="shared" si="4"/>
        <v/>
      </c>
      <c r="U101" s="4" t="str">
        <f t="shared" si="12"/>
        <v/>
      </c>
      <c r="V101" s="4" t="str">
        <f t="array" ref="V101">XLOOKUP(R101,'Dados Funil'!$A:$A,'Dados Funil'!$K:$K,"")</f>
        <v/>
      </c>
      <c r="W101" s="4" t="str">
        <f t="array" ref="W101">XLOOKUP(R101,'Dados Funil'!$A:$A,'Dados Funil'!$L:$L,"")</f>
        <v/>
      </c>
      <c r="X101" s="4"/>
      <c r="Y101" s="4"/>
      <c r="Z101" s="7" t="str">
        <f t="shared" si="5"/>
        <v/>
      </c>
      <c r="AA101" s="4" t="str">
        <f t="shared" si="13"/>
        <v/>
      </c>
      <c r="AB101" s="4" t="str">
        <f t="array" ref="AB101">XLOOKUP(X101,'Dados Funil'!A:A,'Dados Funil'!O:O,"")</f>
        <v/>
      </c>
      <c r="AE101" s="7" t="str">
        <f t="shared" si="6"/>
        <v/>
      </c>
      <c r="AG101" s="4" t="str">
        <f t="array" ref="AG101">XLOOKUP(AC101,'Dados Funil'!A:A,'Dados Funil'!AM:AM,"")</f>
        <v/>
      </c>
      <c r="AH101" s="4" t="str">
        <f t="array" ref="AH101">XLOOKUP(AC101,'Dados Funil'!A:A,'Dados Funil'!AN:AN,"")</f>
        <v/>
      </c>
    </row>
    <row r="102">
      <c r="A102" s="4"/>
      <c r="B102" s="4"/>
      <c r="C102" s="7" t="str">
        <f t="shared" si="1"/>
        <v/>
      </c>
      <c r="D102" s="4" t="str">
        <f t="shared" si="9"/>
        <v/>
      </c>
      <c r="E102" s="4" t="str">
        <f t="array" ref="E102">XLOOKUP(A102,'Dados Funil'!$A:$A,'Dados Funil'!$K:$K,"")</f>
        <v/>
      </c>
      <c r="F102" s="4" t="str">
        <f t="array" ref="F102">XLOOKUP(A102,'Dados Funil'!$A:$A,'Dados Funil'!$L:$L,"")</f>
        <v/>
      </c>
      <c r="G102" s="4"/>
      <c r="H102" s="4"/>
      <c r="I102" s="7" t="str">
        <f t="shared" si="2"/>
        <v/>
      </c>
      <c r="J102" s="4" t="str">
        <f t="shared" si="10"/>
        <v/>
      </c>
      <c r="K102" s="4" t="str">
        <f t="array" ref="K102">XLOOKUP(G102,'Dados Funil'!A:A,'Dados Funil'!O:O,"")</f>
        <v/>
      </c>
      <c r="L102" s="4"/>
      <c r="M102" s="4"/>
      <c r="N102" s="7" t="str">
        <f t="shared" si="3"/>
        <v/>
      </c>
      <c r="O102" s="4" t="str">
        <f t="shared" si="11"/>
        <v/>
      </c>
      <c r="P102" s="4" t="str">
        <f t="array" ref="P102">XLOOKUP(L102,'Dados Funil'!A:A,'Dados Funil'!AM:AM,"")</f>
        <v/>
      </c>
      <c r="Q102" s="4" t="str">
        <f t="array" ref="Q102">XLOOKUP(L102,'Dados Funil'!A:A,'Dados Funil'!AN:AN,"")</f>
        <v/>
      </c>
      <c r="T102" s="7" t="str">
        <f t="shared" si="4"/>
        <v/>
      </c>
      <c r="U102" s="4" t="str">
        <f t="shared" si="12"/>
        <v/>
      </c>
      <c r="V102" s="4" t="str">
        <f t="array" ref="V102">XLOOKUP(R102,'Dados Funil'!$A:$A,'Dados Funil'!$K:$K,"")</f>
        <v/>
      </c>
      <c r="W102" s="4" t="str">
        <f t="array" ref="W102">XLOOKUP(R102,'Dados Funil'!$A:$A,'Dados Funil'!$L:$L,"")</f>
        <v/>
      </c>
      <c r="X102" s="4"/>
      <c r="Y102" s="4"/>
      <c r="Z102" s="7" t="str">
        <f t="shared" si="5"/>
        <v/>
      </c>
      <c r="AA102" s="4" t="str">
        <f t="shared" si="13"/>
        <v/>
      </c>
      <c r="AB102" s="4" t="str">
        <f t="array" ref="AB102">XLOOKUP(X102,'Dados Funil'!A:A,'Dados Funil'!O:O,"")</f>
        <v/>
      </c>
      <c r="AE102" s="7" t="str">
        <f t="shared" si="6"/>
        <v/>
      </c>
      <c r="AG102" s="4" t="str">
        <f t="array" ref="AG102">XLOOKUP(AC102,'Dados Funil'!A:A,'Dados Funil'!AM:AM,"")</f>
        <v/>
      </c>
      <c r="AH102" s="4" t="str">
        <f t="array" ref="AH102">XLOOKUP(AC102,'Dados Funil'!A:A,'Dados Funil'!AN:AN,"")</f>
        <v/>
      </c>
    </row>
    <row r="103">
      <c r="A103" s="4"/>
      <c r="B103" s="4"/>
      <c r="C103" s="7" t="str">
        <f t="shared" si="1"/>
        <v/>
      </c>
      <c r="D103" s="4" t="str">
        <f t="shared" si="9"/>
        <v/>
      </c>
      <c r="E103" s="4" t="str">
        <f t="array" ref="E103">XLOOKUP(A103,'Dados Funil'!$A:$A,'Dados Funil'!$K:$K,"")</f>
        <v/>
      </c>
      <c r="F103" s="4" t="str">
        <f t="array" ref="F103">XLOOKUP(A103,'Dados Funil'!$A:$A,'Dados Funil'!$L:$L,"")</f>
        <v/>
      </c>
      <c r="G103" s="4"/>
      <c r="H103" s="4"/>
      <c r="I103" s="7" t="str">
        <f t="shared" si="2"/>
        <v/>
      </c>
      <c r="J103" s="4" t="str">
        <f t="shared" si="10"/>
        <v/>
      </c>
      <c r="K103" s="4" t="str">
        <f t="array" ref="K103">XLOOKUP(G103,'Dados Funil'!A:A,'Dados Funil'!O:O,"")</f>
        <v/>
      </c>
      <c r="L103" s="4"/>
      <c r="M103" s="4"/>
      <c r="N103" s="7" t="str">
        <f t="shared" si="3"/>
        <v/>
      </c>
      <c r="O103" s="4" t="str">
        <f t="shared" si="11"/>
        <v/>
      </c>
      <c r="P103" s="4" t="str">
        <f t="array" ref="P103">XLOOKUP(L103,'Dados Funil'!A:A,'Dados Funil'!AM:AM,"")</f>
        <v/>
      </c>
      <c r="Q103" s="4" t="str">
        <f t="array" ref="Q103">XLOOKUP(L103,'Dados Funil'!A:A,'Dados Funil'!AN:AN,"")</f>
        <v/>
      </c>
      <c r="T103" s="7" t="str">
        <f t="shared" si="4"/>
        <v/>
      </c>
      <c r="U103" s="4" t="str">
        <f t="shared" si="12"/>
        <v/>
      </c>
      <c r="V103" s="4" t="str">
        <f t="array" ref="V103">XLOOKUP(R103,'Dados Funil'!$A:$A,'Dados Funil'!$K:$K,"")</f>
        <v/>
      </c>
      <c r="W103" s="4" t="str">
        <f t="array" ref="W103">XLOOKUP(R103,'Dados Funil'!$A:$A,'Dados Funil'!$L:$L,"")</f>
        <v/>
      </c>
      <c r="X103" s="4"/>
      <c r="Y103" s="4"/>
      <c r="Z103" s="7" t="str">
        <f t="shared" si="5"/>
        <v/>
      </c>
      <c r="AA103" s="4" t="str">
        <f t="shared" si="13"/>
        <v/>
      </c>
      <c r="AB103" s="4" t="str">
        <f t="array" ref="AB103">XLOOKUP(X103,'Dados Funil'!A:A,'Dados Funil'!O:O,"")</f>
        <v/>
      </c>
      <c r="AE103" s="7" t="str">
        <f t="shared" si="6"/>
        <v/>
      </c>
      <c r="AG103" s="4" t="str">
        <f t="array" ref="AG103">XLOOKUP(AC103,'Dados Funil'!A:A,'Dados Funil'!AM:AM,"")</f>
        <v/>
      </c>
      <c r="AH103" s="4" t="str">
        <f t="array" ref="AH103">XLOOKUP(AC103,'Dados Funil'!A:A,'Dados Funil'!AN:AN,"")</f>
        <v/>
      </c>
    </row>
    <row r="104">
      <c r="A104" s="4"/>
      <c r="B104" s="4"/>
      <c r="C104" s="7" t="str">
        <f t="shared" si="1"/>
        <v/>
      </c>
      <c r="D104" s="4" t="str">
        <f t="shared" si="9"/>
        <v/>
      </c>
      <c r="E104" s="4" t="str">
        <f t="array" ref="E104">XLOOKUP(A104,'Dados Funil'!$A:$A,'Dados Funil'!$K:$K,"")</f>
        <v/>
      </c>
      <c r="F104" s="4" t="str">
        <f t="array" ref="F104">XLOOKUP(A104,'Dados Funil'!$A:$A,'Dados Funil'!$L:$L,"")</f>
        <v/>
      </c>
      <c r="G104" s="4"/>
      <c r="H104" s="4"/>
      <c r="I104" s="7" t="str">
        <f t="shared" si="2"/>
        <v/>
      </c>
      <c r="J104" s="4" t="str">
        <f t="shared" si="10"/>
        <v/>
      </c>
      <c r="K104" s="4" t="str">
        <f t="array" ref="K104">XLOOKUP(G104,'Dados Funil'!A:A,'Dados Funil'!O:O,"")</f>
        <v/>
      </c>
      <c r="L104" s="4"/>
      <c r="M104" s="4"/>
      <c r="N104" s="7" t="str">
        <f t="shared" si="3"/>
        <v/>
      </c>
      <c r="O104" s="4" t="str">
        <f t="shared" si="11"/>
        <v/>
      </c>
      <c r="P104" s="4" t="str">
        <f t="array" ref="P104">XLOOKUP(L104,'Dados Funil'!A:A,'Dados Funil'!AM:AM,"")</f>
        <v/>
      </c>
      <c r="Q104" s="4" t="str">
        <f t="array" ref="Q104">XLOOKUP(L104,'Dados Funil'!A:A,'Dados Funil'!AN:AN,"")</f>
        <v/>
      </c>
      <c r="T104" s="7" t="str">
        <f t="shared" si="4"/>
        <v/>
      </c>
      <c r="U104" s="4" t="str">
        <f t="shared" si="12"/>
        <v/>
      </c>
      <c r="V104" s="4" t="str">
        <f t="array" ref="V104">XLOOKUP(R104,'Dados Funil'!$A:$A,'Dados Funil'!$K:$K,"")</f>
        <v/>
      </c>
      <c r="W104" s="4" t="str">
        <f t="array" ref="W104">XLOOKUP(R104,'Dados Funil'!$A:$A,'Dados Funil'!$L:$L,"")</f>
        <v/>
      </c>
      <c r="X104" s="4"/>
      <c r="Y104" s="4"/>
      <c r="Z104" s="7" t="str">
        <f t="shared" si="5"/>
        <v/>
      </c>
      <c r="AA104" s="4" t="str">
        <f t="shared" si="13"/>
        <v/>
      </c>
      <c r="AB104" s="4" t="str">
        <f t="array" ref="AB104">XLOOKUP(X104,'Dados Funil'!A:A,'Dados Funil'!O:O,"")</f>
        <v/>
      </c>
      <c r="AE104" s="7" t="str">
        <f t="shared" si="6"/>
        <v/>
      </c>
      <c r="AG104" s="4" t="str">
        <f t="array" ref="AG104">XLOOKUP(AC104,'Dados Funil'!A:A,'Dados Funil'!AM:AM,"")</f>
        <v/>
      </c>
      <c r="AH104" s="4" t="str">
        <f t="array" ref="AH104">XLOOKUP(AC104,'Dados Funil'!A:A,'Dados Funil'!AN:AN,"")</f>
        <v/>
      </c>
    </row>
    <row r="105">
      <c r="A105" s="4"/>
      <c r="B105" s="4"/>
      <c r="C105" s="7" t="str">
        <f t="shared" si="1"/>
        <v/>
      </c>
      <c r="D105" s="4" t="str">
        <f t="shared" si="9"/>
        <v/>
      </c>
      <c r="E105" s="4" t="str">
        <f t="array" ref="E105">XLOOKUP(A105,'Dados Funil'!$A:$A,'Dados Funil'!$K:$K,"")</f>
        <v/>
      </c>
      <c r="F105" s="4" t="str">
        <f t="array" ref="F105">XLOOKUP(A105,'Dados Funil'!$A:$A,'Dados Funil'!$L:$L,"")</f>
        <v/>
      </c>
      <c r="G105" s="4"/>
      <c r="H105" s="4"/>
      <c r="I105" s="7" t="str">
        <f t="shared" si="2"/>
        <v/>
      </c>
      <c r="J105" s="4" t="str">
        <f t="shared" si="10"/>
        <v/>
      </c>
      <c r="K105" s="4" t="str">
        <f t="array" ref="K105">XLOOKUP(G105,'Dados Funil'!A:A,'Dados Funil'!O:O,"")</f>
        <v/>
      </c>
      <c r="L105" s="4"/>
      <c r="M105" s="4"/>
      <c r="N105" s="7" t="str">
        <f t="shared" si="3"/>
        <v/>
      </c>
      <c r="O105" s="4" t="str">
        <f t="shared" si="11"/>
        <v/>
      </c>
      <c r="P105" s="4" t="str">
        <f t="array" ref="P105">XLOOKUP(L105,'Dados Funil'!A:A,'Dados Funil'!AM:AM,"")</f>
        <v/>
      </c>
      <c r="Q105" s="4" t="str">
        <f t="array" ref="Q105">XLOOKUP(L105,'Dados Funil'!A:A,'Dados Funil'!AN:AN,"")</f>
        <v/>
      </c>
      <c r="T105" s="7" t="str">
        <f t="shared" si="4"/>
        <v/>
      </c>
      <c r="U105" s="4" t="str">
        <f t="shared" si="12"/>
        <v/>
      </c>
      <c r="V105" s="4" t="str">
        <f t="array" ref="V105">XLOOKUP(R105,'Dados Funil'!$A:$A,'Dados Funil'!$K:$K,"")</f>
        <v/>
      </c>
      <c r="W105" s="4" t="str">
        <f t="array" ref="W105">XLOOKUP(R105,'Dados Funil'!$A:$A,'Dados Funil'!$L:$L,"")</f>
        <v/>
      </c>
      <c r="X105" s="4"/>
      <c r="Y105" s="4"/>
      <c r="Z105" s="7" t="str">
        <f t="shared" si="5"/>
        <v/>
      </c>
      <c r="AA105" s="4" t="str">
        <f t="shared" si="13"/>
        <v/>
      </c>
      <c r="AB105" s="4" t="str">
        <f t="array" ref="AB105">XLOOKUP(X105,'Dados Funil'!A:A,'Dados Funil'!O:O,"")</f>
        <v/>
      </c>
      <c r="AE105" s="7" t="str">
        <f t="shared" si="6"/>
        <v/>
      </c>
      <c r="AG105" s="4" t="str">
        <f t="array" ref="AG105">XLOOKUP(AC105,'Dados Funil'!A:A,'Dados Funil'!AM:AM,"")</f>
        <v/>
      </c>
      <c r="AH105" s="4" t="str">
        <f t="array" ref="AH105">XLOOKUP(AC105,'Dados Funil'!A:A,'Dados Funil'!AN:AN,"")</f>
        <v/>
      </c>
    </row>
    <row r="106">
      <c r="A106" s="4"/>
      <c r="B106" s="4"/>
      <c r="C106" s="7" t="str">
        <f t="shared" si="1"/>
        <v/>
      </c>
      <c r="D106" s="4" t="str">
        <f t="shared" si="9"/>
        <v/>
      </c>
      <c r="E106" s="4" t="str">
        <f t="array" ref="E106">XLOOKUP(A106,'Dados Funil'!$A:$A,'Dados Funil'!$K:$K,"")</f>
        <v/>
      </c>
      <c r="F106" s="4" t="str">
        <f t="array" ref="F106">XLOOKUP(A106,'Dados Funil'!$A:$A,'Dados Funil'!$L:$L,"")</f>
        <v/>
      </c>
      <c r="G106" s="4"/>
      <c r="H106" s="4"/>
      <c r="I106" s="7" t="str">
        <f t="shared" si="2"/>
        <v/>
      </c>
      <c r="J106" s="4" t="str">
        <f t="shared" si="10"/>
        <v/>
      </c>
      <c r="K106" s="4" t="str">
        <f t="array" ref="K106">XLOOKUP(G106,'Dados Funil'!A:A,'Dados Funil'!O:O,"")</f>
        <v/>
      </c>
      <c r="L106" s="4"/>
      <c r="M106" s="4"/>
      <c r="N106" s="7" t="str">
        <f t="shared" si="3"/>
        <v/>
      </c>
      <c r="O106" s="4" t="str">
        <f t="shared" si="11"/>
        <v/>
      </c>
      <c r="P106" s="4" t="str">
        <f t="array" ref="P106">XLOOKUP(L106,'Dados Funil'!A:A,'Dados Funil'!AM:AM,"")</f>
        <v/>
      </c>
      <c r="Q106" s="4" t="str">
        <f t="array" ref="Q106">XLOOKUP(L106,'Dados Funil'!A:A,'Dados Funil'!AN:AN,"")</f>
        <v/>
      </c>
      <c r="T106" s="7" t="str">
        <f t="shared" si="4"/>
        <v/>
      </c>
      <c r="U106" s="4" t="str">
        <f t="shared" si="12"/>
        <v/>
      </c>
      <c r="V106" s="4" t="str">
        <f t="array" ref="V106">XLOOKUP(R106,'Dados Funil'!$A:$A,'Dados Funil'!$K:$K,"")</f>
        <v/>
      </c>
      <c r="W106" s="4" t="str">
        <f t="array" ref="W106">XLOOKUP(R106,'Dados Funil'!$A:$A,'Dados Funil'!$L:$L,"")</f>
        <v/>
      </c>
      <c r="X106" s="4"/>
      <c r="Y106" s="4"/>
      <c r="Z106" s="7" t="str">
        <f t="shared" si="5"/>
        <v/>
      </c>
      <c r="AA106" s="4" t="str">
        <f t="shared" si="13"/>
        <v/>
      </c>
      <c r="AB106" s="4" t="str">
        <f t="array" ref="AB106">XLOOKUP(X106,'Dados Funil'!A:A,'Dados Funil'!O:O,"")</f>
        <v/>
      </c>
      <c r="AE106" s="7" t="str">
        <f t="shared" si="6"/>
        <v/>
      </c>
      <c r="AG106" s="4" t="str">
        <f t="array" ref="AG106">XLOOKUP(AC106,'Dados Funil'!A:A,'Dados Funil'!AM:AM,"")</f>
        <v/>
      </c>
      <c r="AH106" s="4" t="str">
        <f t="array" ref="AH106">XLOOKUP(AC106,'Dados Funil'!A:A,'Dados Funil'!AN:AN,"")</f>
        <v/>
      </c>
    </row>
    <row r="107">
      <c r="A107" s="4"/>
      <c r="B107" s="4"/>
      <c r="C107" s="7" t="str">
        <f t="shared" si="1"/>
        <v/>
      </c>
      <c r="D107" s="4" t="str">
        <f t="shared" si="9"/>
        <v/>
      </c>
      <c r="E107" s="4" t="str">
        <f t="array" ref="E107">XLOOKUP(A107,'Dados Funil'!$A:$A,'Dados Funil'!$K:$K,"")</f>
        <v/>
      </c>
      <c r="F107" s="4" t="str">
        <f t="array" ref="F107">XLOOKUP(A107,'Dados Funil'!$A:$A,'Dados Funil'!$L:$L,"")</f>
        <v/>
      </c>
      <c r="G107" s="4"/>
      <c r="H107" s="4"/>
      <c r="I107" s="7" t="str">
        <f t="shared" si="2"/>
        <v/>
      </c>
      <c r="J107" s="4" t="str">
        <f t="shared" si="10"/>
        <v/>
      </c>
      <c r="K107" s="4" t="str">
        <f t="array" ref="K107">XLOOKUP(G107,'Dados Funil'!A:A,'Dados Funil'!O:O,"")</f>
        <v/>
      </c>
      <c r="L107" s="4"/>
      <c r="M107" s="4"/>
      <c r="N107" s="7" t="str">
        <f t="shared" si="3"/>
        <v/>
      </c>
      <c r="O107" s="4" t="str">
        <f t="shared" si="11"/>
        <v/>
      </c>
      <c r="P107" s="4" t="str">
        <f t="array" ref="P107">XLOOKUP(L107,'Dados Funil'!A:A,'Dados Funil'!AM:AM,"")</f>
        <v/>
      </c>
      <c r="Q107" s="4" t="str">
        <f t="array" ref="Q107">XLOOKUP(L107,'Dados Funil'!A:A,'Dados Funil'!AN:AN,"")</f>
        <v/>
      </c>
      <c r="T107" s="7" t="str">
        <f t="shared" si="4"/>
        <v/>
      </c>
      <c r="U107" s="4" t="str">
        <f t="shared" si="12"/>
        <v/>
      </c>
      <c r="V107" s="4" t="str">
        <f t="array" ref="V107">XLOOKUP(R107,'Dados Funil'!$A:$A,'Dados Funil'!$K:$K,"")</f>
        <v/>
      </c>
      <c r="W107" s="4" t="str">
        <f t="array" ref="W107">XLOOKUP(R107,'Dados Funil'!$A:$A,'Dados Funil'!$L:$L,"")</f>
        <v/>
      </c>
      <c r="X107" s="4"/>
      <c r="Y107" s="4"/>
      <c r="Z107" s="7" t="str">
        <f t="shared" si="5"/>
        <v/>
      </c>
      <c r="AA107" s="4" t="str">
        <f t="shared" si="13"/>
        <v/>
      </c>
      <c r="AB107" s="4" t="str">
        <f t="array" ref="AB107">XLOOKUP(X107,'Dados Funil'!A:A,'Dados Funil'!O:O,"")</f>
        <v/>
      </c>
      <c r="AE107" s="7" t="str">
        <f t="shared" si="6"/>
        <v/>
      </c>
      <c r="AG107" s="4" t="str">
        <f t="array" ref="AG107">XLOOKUP(AC107,'Dados Funil'!A:A,'Dados Funil'!AM:AM,"")</f>
        <v/>
      </c>
      <c r="AH107" s="4" t="str">
        <f t="array" ref="AH107">XLOOKUP(AC107,'Dados Funil'!A:A,'Dados Funil'!AN:AN,"")</f>
        <v/>
      </c>
    </row>
    <row r="108">
      <c r="A108" s="4"/>
      <c r="B108" s="4"/>
      <c r="C108" s="7" t="str">
        <f t="shared" si="1"/>
        <v/>
      </c>
      <c r="D108" s="4" t="str">
        <f t="shared" si="9"/>
        <v/>
      </c>
      <c r="E108" s="4" t="str">
        <f t="array" ref="E108">XLOOKUP(A108,'Dados Funil'!$A:$A,'Dados Funil'!$K:$K,"")</f>
        <v/>
      </c>
      <c r="F108" s="4" t="str">
        <f t="array" ref="F108">XLOOKUP(A108,'Dados Funil'!$A:$A,'Dados Funil'!$L:$L,"")</f>
        <v/>
      </c>
      <c r="G108" s="4"/>
      <c r="H108" s="4"/>
      <c r="I108" s="7" t="str">
        <f t="shared" si="2"/>
        <v/>
      </c>
      <c r="J108" s="4" t="str">
        <f t="shared" si="10"/>
        <v/>
      </c>
      <c r="K108" s="4" t="str">
        <f t="array" ref="K108">XLOOKUP(G108,'Dados Funil'!A:A,'Dados Funil'!O:O,"")</f>
        <v/>
      </c>
      <c r="L108" s="4"/>
      <c r="M108" s="4"/>
      <c r="N108" s="7" t="str">
        <f t="shared" si="3"/>
        <v/>
      </c>
      <c r="O108" s="4" t="str">
        <f t="shared" si="11"/>
        <v/>
      </c>
      <c r="P108" s="4" t="str">
        <f t="array" ref="P108">XLOOKUP(L108,'Dados Funil'!A:A,'Dados Funil'!AM:AM,"")</f>
        <v/>
      </c>
      <c r="Q108" s="4" t="str">
        <f t="array" ref="Q108">XLOOKUP(L108,'Dados Funil'!A:A,'Dados Funil'!AN:AN,"")</f>
        <v/>
      </c>
      <c r="T108" s="7" t="str">
        <f t="shared" si="4"/>
        <v/>
      </c>
      <c r="U108" s="4" t="str">
        <f t="shared" si="12"/>
        <v/>
      </c>
      <c r="V108" s="4" t="str">
        <f t="array" ref="V108">XLOOKUP(R108,'Dados Funil'!$A:$A,'Dados Funil'!$K:$K,"")</f>
        <v/>
      </c>
      <c r="W108" s="4" t="str">
        <f t="array" ref="W108">XLOOKUP(R108,'Dados Funil'!$A:$A,'Dados Funil'!$L:$L,"")</f>
        <v/>
      </c>
      <c r="X108" s="4"/>
      <c r="Y108" s="4"/>
      <c r="Z108" s="7" t="str">
        <f t="shared" si="5"/>
        <v/>
      </c>
      <c r="AA108" s="4" t="str">
        <f t="shared" si="13"/>
        <v/>
      </c>
      <c r="AB108" s="4" t="str">
        <f t="array" ref="AB108">XLOOKUP(X108,'Dados Funil'!A:A,'Dados Funil'!O:O,"")</f>
        <v/>
      </c>
      <c r="AE108" s="7" t="str">
        <f t="shared" si="6"/>
        <v/>
      </c>
      <c r="AG108" s="4" t="str">
        <f t="array" ref="AG108">XLOOKUP(AC108,'Dados Funil'!A:A,'Dados Funil'!AM:AM,"")</f>
        <v/>
      </c>
      <c r="AH108" s="4" t="str">
        <f t="array" ref="AH108">XLOOKUP(AC108,'Dados Funil'!A:A,'Dados Funil'!AN:AN,"")</f>
        <v/>
      </c>
    </row>
    <row r="109">
      <c r="A109" s="4"/>
      <c r="B109" s="4"/>
      <c r="C109" s="7" t="str">
        <f t="shared" si="1"/>
        <v/>
      </c>
      <c r="D109" s="4" t="str">
        <f t="shared" si="9"/>
        <v/>
      </c>
      <c r="E109" s="4" t="str">
        <f t="array" ref="E109">XLOOKUP(A109,'Dados Funil'!$A:$A,'Dados Funil'!$K:$K,"")</f>
        <v/>
      </c>
      <c r="F109" s="4" t="str">
        <f t="array" ref="F109">XLOOKUP(A109,'Dados Funil'!$A:$A,'Dados Funil'!$L:$L,"")</f>
        <v/>
      </c>
      <c r="G109" s="4"/>
      <c r="H109" s="4"/>
      <c r="I109" s="7" t="str">
        <f t="shared" si="2"/>
        <v/>
      </c>
      <c r="J109" s="4" t="str">
        <f t="shared" si="10"/>
        <v/>
      </c>
      <c r="K109" s="4" t="str">
        <f t="array" ref="K109">XLOOKUP(G109,'Dados Funil'!A:A,'Dados Funil'!O:O,"")</f>
        <v/>
      </c>
      <c r="L109" s="4"/>
      <c r="M109" s="4"/>
      <c r="N109" s="7" t="str">
        <f t="shared" si="3"/>
        <v/>
      </c>
      <c r="O109" s="4" t="str">
        <f t="shared" si="11"/>
        <v/>
      </c>
      <c r="P109" s="4" t="str">
        <f t="array" ref="P109">XLOOKUP(L109,'Dados Funil'!A:A,'Dados Funil'!AM:AM,"")</f>
        <v/>
      </c>
      <c r="Q109" s="4" t="str">
        <f t="array" ref="Q109">XLOOKUP(L109,'Dados Funil'!A:A,'Dados Funil'!AN:AN,"")</f>
        <v/>
      </c>
      <c r="T109" s="7" t="str">
        <f t="shared" si="4"/>
        <v/>
      </c>
      <c r="U109" s="4" t="str">
        <f t="shared" si="12"/>
        <v/>
      </c>
      <c r="V109" s="4" t="str">
        <f t="array" ref="V109">XLOOKUP(R109,'Dados Funil'!$A:$A,'Dados Funil'!$K:$K,"")</f>
        <v/>
      </c>
      <c r="W109" s="4" t="str">
        <f t="array" ref="W109">XLOOKUP(R109,'Dados Funil'!$A:$A,'Dados Funil'!$L:$L,"")</f>
        <v/>
      </c>
      <c r="X109" s="4"/>
      <c r="Y109" s="4"/>
      <c r="Z109" s="7" t="str">
        <f t="shared" si="5"/>
        <v/>
      </c>
      <c r="AA109" s="4" t="str">
        <f t="shared" si="13"/>
        <v/>
      </c>
      <c r="AB109" s="4" t="str">
        <f t="array" ref="AB109">XLOOKUP(X109,'Dados Funil'!A:A,'Dados Funil'!O:O,"")</f>
        <v/>
      </c>
      <c r="AE109" s="7" t="str">
        <f t="shared" si="6"/>
        <v/>
      </c>
      <c r="AG109" s="4" t="str">
        <f t="array" ref="AG109">XLOOKUP(AC109,'Dados Funil'!A:A,'Dados Funil'!AM:AM,"")</f>
        <v/>
      </c>
      <c r="AH109" s="4" t="str">
        <f t="array" ref="AH109">XLOOKUP(AC109,'Dados Funil'!A:A,'Dados Funil'!AN:AN,"")</f>
        <v/>
      </c>
    </row>
    <row r="110">
      <c r="A110" s="4"/>
      <c r="B110" s="4"/>
      <c r="C110" s="7" t="str">
        <f t="shared" si="1"/>
        <v/>
      </c>
      <c r="D110" s="4" t="str">
        <f t="shared" si="9"/>
        <v/>
      </c>
      <c r="E110" s="4" t="str">
        <f t="array" ref="E110">XLOOKUP(A110,'Dados Funil'!$A:$A,'Dados Funil'!$K:$K,"")</f>
        <v/>
      </c>
      <c r="F110" s="4" t="str">
        <f t="array" ref="F110">XLOOKUP(A110,'Dados Funil'!$A:$A,'Dados Funil'!$L:$L,"")</f>
        <v/>
      </c>
      <c r="G110" s="4"/>
      <c r="H110" s="4"/>
      <c r="I110" s="7" t="str">
        <f t="shared" si="2"/>
        <v/>
      </c>
      <c r="J110" s="4" t="str">
        <f t="shared" si="10"/>
        <v/>
      </c>
      <c r="K110" s="4" t="str">
        <f t="array" ref="K110">XLOOKUP(G110,'Dados Funil'!A:A,'Dados Funil'!O:O,"")</f>
        <v/>
      </c>
      <c r="L110" s="4"/>
      <c r="M110" s="4"/>
      <c r="N110" s="7" t="str">
        <f t="shared" si="3"/>
        <v/>
      </c>
      <c r="O110" s="4" t="str">
        <f t="shared" si="11"/>
        <v/>
      </c>
      <c r="P110" s="4" t="str">
        <f t="array" ref="P110">XLOOKUP(L110,'Dados Funil'!A:A,'Dados Funil'!AM:AM,"")</f>
        <v/>
      </c>
      <c r="Q110" s="4" t="str">
        <f t="array" ref="Q110">XLOOKUP(L110,'Dados Funil'!A:A,'Dados Funil'!AN:AN,"")</f>
        <v/>
      </c>
      <c r="T110" s="7" t="str">
        <f t="shared" si="4"/>
        <v/>
      </c>
      <c r="U110" s="4" t="str">
        <f t="shared" si="12"/>
        <v/>
      </c>
      <c r="V110" s="4" t="str">
        <f t="array" ref="V110">XLOOKUP(R110,'Dados Funil'!$A:$A,'Dados Funil'!$K:$K,"")</f>
        <v/>
      </c>
      <c r="W110" s="4" t="str">
        <f t="array" ref="W110">XLOOKUP(R110,'Dados Funil'!$A:$A,'Dados Funil'!$L:$L,"")</f>
        <v/>
      </c>
      <c r="X110" s="4"/>
      <c r="Y110" s="4"/>
      <c r="Z110" s="7" t="str">
        <f t="shared" si="5"/>
        <v/>
      </c>
      <c r="AA110" s="4" t="str">
        <f t="shared" si="13"/>
        <v/>
      </c>
      <c r="AB110" s="4" t="str">
        <f t="array" ref="AB110">XLOOKUP(X110,'Dados Funil'!A:A,'Dados Funil'!O:O,"")</f>
        <v/>
      </c>
      <c r="AE110" s="7" t="str">
        <f t="shared" si="6"/>
        <v/>
      </c>
      <c r="AG110" s="4" t="str">
        <f t="array" ref="AG110">XLOOKUP(AC110,'Dados Funil'!A:A,'Dados Funil'!AM:AM,"")</f>
        <v/>
      </c>
      <c r="AH110" s="4" t="str">
        <f t="array" ref="AH110">XLOOKUP(AC110,'Dados Funil'!A:A,'Dados Funil'!AN:AN,"")</f>
        <v/>
      </c>
    </row>
    <row r="111">
      <c r="A111" s="4"/>
      <c r="B111" s="4"/>
      <c r="C111" s="7" t="str">
        <f t="shared" si="1"/>
        <v/>
      </c>
      <c r="D111" s="4" t="str">
        <f t="shared" si="9"/>
        <v/>
      </c>
      <c r="E111" s="4" t="str">
        <f t="array" ref="E111">XLOOKUP(A111,'Dados Funil'!$A:$A,'Dados Funil'!$K:$K,"")</f>
        <v/>
      </c>
      <c r="F111" s="4" t="str">
        <f t="array" ref="F111">XLOOKUP(A111,'Dados Funil'!$A:$A,'Dados Funil'!$L:$L,"")</f>
        <v/>
      </c>
      <c r="G111" s="4"/>
      <c r="H111" s="4"/>
      <c r="I111" s="7" t="str">
        <f t="shared" si="2"/>
        <v/>
      </c>
      <c r="J111" s="4" t="str">
        <f t="shared" si="10"/>
        <v/>
      </c>
      <c r="K111" s="4" t="str">
        <f t="array" ref="K111">XLOOKUP(G111,'Dados Funil'!A:A,'Dados Funil'!O:O,"")</f>
        <v/>
      </c>
      <c r="L111" s="4"/>
      <c r="M111" s="4"/>
      <c r="N111" s="7" t="str">
        <f t="shared" si="3"/>
        <v/>
      </c>
      <c r="O111" s="4" t="str">
        <f t="shared" si="11"/>
        <v/>
      </c>
      <c r="P111" s="4" t="str">
        <f t="array" ref="P111">XLOOKUP(L111,'Dados Funil'!A:A,'Dados Funil'!AM:AM,"")</f>
        <v/>
      </c>
      <c r="Q111" s="4" t="str">
        <f t="array" ref="Q111">XLOOKUP(L111,'Dados Funil'!A:A,'Dados Funil'!AN:AN,"")</f>
        <v/>
      </c>
      <c r="T111" s="7" t="str">
        <f t="shared" si="4"/>
        <v/>
      </c>
      <c r="U111" s="4" t="str">
        <f t="shared" si="12"/>
        <v/>
      </c>
      <c r="V111" s="4" t="str">
        <f t="array" ref="V111">XLOOKUP(R111,'Dados Funil'!$A:$A,'Dados Funil'!$K:$K,"")</f>
        <v/>
      </c>
      <c r="W111" s="4" t="str">
        <f t="array" ref="W111">XLOOKUP(R111,'Dados Funil'!$A:$A,'Dados Funil'!$L:$L,"")</f>
        <v/>
      </c>
      <c r="X111" s="4"/>
      <c r="Y111" s="4"/>
      <c r="Z111" s="7" t="str">
        <f t="shared" si="5"/>
        <v/>
      </c>
      <c r="AA111" s="4" t="str">
        <f t="shared" si="13"/>
        <v/>
      </c>
      <c r="AB111" s="4" t="str">
        <f t="array" ref="AB111">XLOOKUP(X111,'Dados Funil'!A:A,'Dados Funil'!O:O,"")</f>
        <v/>
      </c>
      <c r="AE111" s="7" t="str">
        <f t="shared" si="6"/>
        <v/>
      </c>
      <c r="AG111" s="4" t="str">
        <f t="array" ref="AG111">XLOOKUP(AC111,'Dados Funil'!A:A,'Dados Funil'!AM:AM,"")</f>
        <v/>
      </c>
      <c r="AH111" s="4" t="str">
        <f t="array" ref="AH111">XLOOKUP(AC111,'Dados Funil'!A:A,'Dados Funil'!AN:AN,"")</f>
        <v/>
      </c>
    </row>
    <row r="112">
      <c r="A112" s="4"/>
      <c r="B112" s="4"/>
      <c r="C112" s="7" t="str">
        <f t="shared" si="1"/>
        <v/>
      </c>
      <c r="D112" s="4" t="str">
        <f t="shared" si="9"/>
        <v/>
      </c>
      <c r="E112" s="4" t="str">
        <f t="array" ref="E112">XLOOKUP(A112,'Dados Funil'!$A:$A,'Dados Funil'!$K:$K,"")</f>
        <v/>
      </c>
      <c r="F112" s="4" t="str">
        <f t="array" ref="F112">XLOOKUP(A112,'Dados Funil'!$A:$A,'Dados Funil'!$L:$L,"")</f>
        <v/>
      </c>
      <c r="G112" s="4"/>
      <c r="H112" s="4"/>
      <c r="I112" s="7" t="str">
        <f t="shared" si="2"/>
        <v/>
      </c>
      <c r="J112" s="4" t="str">
        <f t="shared" si="10"/>
        <v/>
      </c>
      <c r="K112" s="4" t="str">
        <f t="array" ref="K112">XLOOKUP(G112,'Dados Funil'!A:A,'Dados Funil'!O:O,"")</f>
        <v/>
      </c>
      <c r="L112" s="4"/>
      <c r="M112" s="4"/>
      <c r="N112" s="7" t="str">
        <f t="shared" si="3"/>
        <v/>
      </c>
      <c r="O112" s="4" t="str">
        <f t="shared" si="11"/>
        <v/>
      </c>
      <c r="P112" s="4" t="str">
        <f t="array" ref="P112">XLOOKUP(L112,'Dados Funil'!A:A,'Dados Funil'!AM:AM,"")</f>
        <v/>
      </c>
      <c r="Q112" s="4" t="str">
        <f t="array" ref="Q112">XLOOKUP(L112,'Dados Funil'!A:A,'Dados Funil'!AN:AN,"")</f>
        <v/>
      </c>
      <c r="T112" s="7" t="str">
        <f t="shared" si="4"/>
        <v/>
      </c>
      <c r="U112" s="4" t="str">
        <f t="shared" si="12"/>
        <v/>
      </c>
      <c r="V112" s="4" t="str">
        <f t="array" ref="V112">XLOOKUP(R112,'Dados Funil'!$A:$A,'Dados Funil'!$K:$K,"")</f>
        <v/>
      </c>
      <c r="W112" s="4" t="str">
        <f t="array" ref="W112">XLOOKUP(R112,'Dados Funil'!$A:$A,'Dados Funil'!$L:$L,"")</f>
        <v/>
      </c>
      <c r="X112" s="4"/>
      <c r="Y112" s="4"/>
      <c r="Z112" s="7" t="str">
        <f t="shared" si="5"/>
        <v/>
      </c>
      <c r="AA112" s="4" t="str">
        <f t="shared" si="13"/>
        <v/>
      </c>
      <c r="AB112" s="4" t="str">
        <f t="array" ref="AB112">XLOOKUP(X112,'Dados Funil'!A:A,'Dados Funil'!O:O,"")</f>
        <v/>
      </c>
      <c r="AE112" s="7" t="str">
        <f t="shared" si="6"/>
        <v/>
      </c>
      <c r="AG112" s="4" t="str">
        <f t="array" ref="AG112">XLOOKUP(AC112,'Dados Funil'!A:A,'Dados Funil'!AM:AM,"")</f>
        <v/>
      </c>
      <c r="AH112" s="4" t="str">
        <f t="array" ref="AH112">XLOOKUP(AC112,'Dados Funil'!A:A,'Dados Funil'!AN:AN,"")</f>
        <v/>
      </c>
    </row>
    <row r="113">
      <c r="A113" s="4"/>
      <c r="B113" s="4"/>
      <c r="C113" s="7" t="str">
        <f t="shared" si="1"/>
        <v/>
      </c>
      <c r="D113" s="4" t="str">
        <f t="shared" si="9"/>
        <v/>
      </c>
      <c r="E113" s="4" t="str">
        <f t="array" ref="E113">XLOOKUP(A113,'Dados Funil'!$A:$A,'Dados Funil'!$K:$K,"")</f>
        <v/>
      </c>
      <c r="F113" s="4" t="str">
        <f t="array" ref="F113">XLOOKUP(A113,'Dados Funil'!$A:$A,'Dados Funil'!$L:$L,"")</f>
        <v/>
      </c>
      <c r="G113" s="4"/>
      <c r="H113" s="4"/>
      <c r="I113" s="7" t="str">
        <f t="shared" si="2"/>
        <v/>
      </c>
      <c r="J113" s="4" t="str">
        <f t="shared" si="10"/>
        <v/>
      </c>
      <c r="K113" s="4" t="str">
        <f t="array" ref="K113">XLOOKUP(G113,'Dados Funil'!A:A,'Dados Funil'!O:O,"")</f>
        <v/>
      </c>
      <c r="L113" s="4"/>
      <c r="M113" s="4"/>
      <c r="N113" s="7" t="str">
        <f t="shared" si="3"/>
        <v/>
      </c>
      <c r="O113" s="4" t="str">
        <f t="shared" si="11"/>
        <v/>
      </c>
      <c r="P113" s="4" t="str">
        <f t="array" ref="P113">XLOOKUP(L113,'Dados Funil'!A:A,'Dados Funil'!AM:AM,"")</f>
        <v/>
      </c>
      <c r="Q113" s="4" t="str">
        <f t="array" ref="Q113">XLOOKUP(L113,'Dados Funil'!A:A,'Dados Funil'!AN:AN,"")</f>
        <v/>
      </c>
      <c r="T113" s="7" t="str">
        <f t="shared" si="4"/>
        <v/>
      </c>
      <c r="U113" s="4" t="str">
        <f t="shared" si="12"/>
        <v/>
      </c>
      <c r="V113" s="4" t="str">
        <f t="array" ref="V113">XLOOKUP(R113,'Dados Funil'!$A:$A,'Dados Funil'!$K:$K,"")</f>
        <v/>
      </c>
      <c r="W113" s="4" t="str">
        <f t="array" ref="W113">XLOOKUP(R113,'Dados Funil'!$A:$A,'Dados Funil'!$L:$L,"")</f>
        <v/>
      </c>
      <c r="X113" s="4"/>
      <c r="Y113" s="4"/>
      <c r="Z113" s="7" t="str">
        <f t="shared" si="5"/>
        <v/>
      </c>
      <c r="AA113" s="4" t="str">
        <f t="shared" si="13"/>
        <v/>
      </c>
      <c r="AB113" s="4" t="str">
        <f t="array" ref="AB113">XLOOKUP(X113,'Dados Funil'!A:A,'Dados Funil'!O:O,"")</f>
        <v/>
      </c>
      <c r="AE113" s="7" t="str">
        <f t="shared" si="6"/>
        <v/>
      </c>
      <c r="AG113" s="4" t="str">
        <f t="array" ref="AG113">XLOOKUP(AC113,'Dados Funil'!A:A,'Dados Funil'!AM:AM,"")</f>
        <v/>
      </c>
      <c r="AH113" s="4" t="str">
        <f t="array" ref="AH113">XLOOKUP(AC113,'Dados Funil'!A:A,'Dados Funil'!AN:AN,"")</f>
        <v/>
      </c>
    </row>
    <row r="114">
      <c r="A114" s="4"/>
      <c r="B114" s="4"/>
      <c r="C114" s="7" t="str">
        <f t="shared" si="1"/>
        <v/>
      </c>
      <c r="D114" s="4" t="str">
        <f t="shared" si="9"/>
        <v/>
      </c>
      <c r="E114" s="4" t="str">
        <f t="array" ref="E114">XLOOKUP(A114,'Dados Funil'!$A:$A,'Dados Funil'!$K:$K,"")</f>
        <v/>
      </c>
      <c r="F114" s="4" t="str">
        <f t="array" ref="F114">XLOOKUP(A114,'Dados Funil'!$A:$A,'Dados Funil'!$L:$L,"")</f>
        <v/>
      </c>
      <c r="G114" s="4"/>
      <c r="H114" s="4"/>
      <c r="I114" s="7" t="str">
        <f t="shared" si="2"/>
        <v/>
      </c>
      <c r="J114" s="4" t="str">
        <f t="shared" si="10"/>
        <v/>
      </c>
      <c r="K114" s="4" t="str">
        <f t="array" ref="K114">XLOOKUP(G114,'Dados Funil'!A:A,'Dados Funil'!O:O,"")</f>
        <v/>
      </c>
      <c r="L114" s="4"/>
      <c r="M114" s="4"/>
      <c r="N114" s="7" t="str">
        <f t="shared" si="3"/>
        <v/>
      </c>
      <c r="O114" s="4" t="str">
        <f t="shared" si="11"/>
        <v/>
      </c>
      <c r="P114" s="4" t="str">
        <f t="array" ref="P114">XLOOKUP(L114,'Dados Funil'!A:A,'Dados Funil'!AM:AM,"")</f>
        <v/>
      </c>
      <c r="Q114" s="4" t="str">
        <f t="array" ref="Q114">XLOOKUP(L114,'Dados Funil'!A:A,'Dados Funil'!AN:AN,"")</f>
        <v/>
      </c>
      <c r="T114" s="7" t="str">
        <f t="shared" si="4"/>
        <v/>
      </c>
      <c r="U114" s="4" t="str">
        <f t="shared" si="12"/>
        <v/>
      </c>
      <c r="V114" s="4" t="str">
        <f t="array" ref="V114">XLOOKUP(R114,'Dados Funil'!$A:$A,'Dados Funil'!$K:$K,"")</f>
        <v/>
      </c>
      <c r="W114" s="4" t="str">
        <f t="array" ref="W114">XLOOKUP(R114,'Dados Funil'!$A:$A,'Dados Funil'!$L:$L,"")</f>
        <v/>
      </c>
      <c r="X114" s="4"/>
      <c r="Y114" s="4"/>
      <c r="Z114" s="7" t="str">
        <f t="shared" si="5"/>
        <v/>
      </c>
      <c r="AA114" s="4" t="str">
        <f t="shared" si="13"/>
        <v/>
      </c>
      <c r="AB114" s="4" t="str">
        <f t="array" ref="AB114">XLOOKUP(X114,'Dados Funil'!A:A,'Dados Funil'!O:O,"")</f>
        <v/>
      </c>
      <c r="AE114" s="7" t="str">
        <f t="shared" si="6"/>
        <v/>
      </c>
      <c r="AG114" s="4" t="str">
        <f t="array" ref="AG114">XLOOKUP(AC114,'Dados Funil'!A:A,'Dados Funil'!AM:AM,"")</f>
        <v/>
      </c>
      <c r="AH114" s="4" t="str">
        <f t="array" ref="AH114">XLOOKUP(AC114,'Dados Funil'!A:A,'Dados Funil'!AN:AN,"")</f>
        <v/>
      </c>
    </row>
    <row r="115">
      <c r="A115" s="4"/>
      <c r="B115" s="4"/>
      <c r="C115" s="7" t="str">
        <f t="shared" si="1"/>
        <v/>
      </c>
      <c r="D115" s="4" t="str">
        <f t="shared" si="9"/>
        <v/>
      </c>
      <c r="E115" s="4" t="str">
        <f t="array" ref="E115">XLOOKUP(A115,'Dados Funil'!$A:$A,'Dados Funil'!$K:$K,"")</f>
        <v/>
      </c>
      <c r="F115" s="4" t="str">
        <f t="array" ref="F115">XLOOKUP(A115,'Dados Funil'!$A:$A,'Dados Funil'!$L:$L,"")</f>
        <v/>
      </c>
      <c r="G115" s="4"/>
      <c r="H115" s="4"/>
      <c r="I115" s="7" t="str">
        <f t="shared" si="2"/>
        <v/>
      </c>
      <c r="J115" s="4" t="str">
        <f t="shared" si="10"/>
        <v/>
      </c>
      <c r="K115" s="4" t="str">
        <f t="array" ref="K115">XLOOKUP(G115,'Dados Funil'!A:A,'Dados Funil'!O:O,"")</f>
        <v/>
      </c>
      <c r="L115" s="4"/>
      <c r="M115" s="4"/>
      <c r="N115" s="7" t="str">
        <f t="shared" si="3"/>
        <v/>
      </c>
      <c r="O115" s="4" t="str">
        <f t="shared" si="11"/>
        <v/>
      </c>
      <c r="P115" s="4" t="str">
        <f t="array" ref="P115">XLOOKUP(L115,'Dados Funil'!A:A,'Dados Funil'!AM:AM,"")</f>
        <v/>
      </c>
      <c r="Q115" s="4" t="str">
        <f t="array" ref="Q115">XLOOKUP(L115,'Dados Funil'!A:A,'Dados Funil'!AN:AN,"")</f>
        <v/>
      </c>
      <c r="T115" s="7" t="str">
        <f t="shared" si="4"/>
        <v/>
      </c>
      <c r="U115" s="4" t="str">
        <f t="shared" si="12"/>
        <v/>
      </c>
      <c r="V115" s="4" t="str">
        <f t="array" ref="V115">XLOOKUP(R115,'Dados Funil'!$A:$A,'Dados Funil'!$K:$K,"")</f>
        <v/>
      </c>
      <c r="W115" s="4" t="str">
        <f t="array" ref="W115">XLOOKUP(R115,'Dados Funil'!$A:$A,'Dados Funil'!$L:$L,"")</f>
        <v/>
      </c>
      <c r="X115" s="4"/>
      <c r="Y115" s="4"/>
      <c r="Z115" s="7" t="str">
        <f t="shared" si="5"/>
        <v/>
      </c>
      <c r="AA115" s="4" t="str">
        <f t="shared" si="13"/>
        <v/>
      </c>
      <c r="AB115" s="4" t="str">
        <f t="array" ref="AB115">XLOOKUP(X115,'Dados Funil'!A:A,'Dados Funil'!O:O,"")</f>
        <v/>
      </c>
      <c r="AE115" s="7" t="str">
        <f t="shared" si="6"/>
        <v/>
      </c>
      <c r="AG115" s="4" t="str">
        <f t="array" ref="AG115">XLOOKUP(AC115,'Dados Funil'!A:A,'Dados Funil'!AM:AM,"")</f>
        <v/>
      </c>
      <c r="AH115" s="4" t="str">
        <f t="array" ref="AH115">XLOOKUP(AC115,'Dados Funil'!A:A,'Dados Funil'!AN:AN,"")</f>
        <v/>
      </c>
    </row>
    <row r="116">
      <c r="A116" s="4"/>
      <c r="B116" s="4"/>
      <c r="C116" s="7" t="str">
        <f t="shared" si="1"/>
        <v/>
      </c>
      <c r="D116" s="4" t="str">
        <f t="shared" si="9"/>
        <v/>
      </c>
      <c r="E116" s="4" t="str">
        <f t="array" ref="E116">XLOOKUP(A116,'Dados Funil'!$A:$A,'Dados Funil'!$K:$K,"")</f>
        <v/>
      </c>
      <c r="F116" s="4" t="str">
        <f t="array" ref="F116">XLOOKUP(A116,'Dados Funil'!$A:$A,'Dados Funil'!$L:$L,"")</f>
        <v/>
      </c>
      <c r="G116" s="4"/>
      <c r="H116" s="4"/>
      <c r="I116" s="7" t="str">
        <f t="shared" si="2"/>
        <v/>
      </c>
      <c r="J116" s="4" t="str">
        <f t="shared" si="10"/>
        <v/>
      </c>
      <c r="K116" s="4" t="str">
        <f t="array" ref="K116">XLOOKUP(G116,'Dados Funil'!A:A,'Dados Funil'!O:O,"")</f>
        <v/>
      </c>
      <c r="L116" s="4"/>
      <c r="M116" s="4"/>
      <c r="N116" s="7" t="str">
        <f t="shared" si="3"/>
        <v/>
      </c>
      <c r="O116" s="4" t="str">
        <f t="shared" si="11"/>
        <v/>
      </c>
      <c r="P116" s="4" t="str">
        <f t="array" ref="P116">XLOOKUP(L116,'Dados Funil'!A:A,'Dados Funil'!AM:AM,"")</f>
        <v/>
      </c>
      <c r="Q116" s="4" t="str">
        <f t="array" ref="Q116">XLOOKUP(L116,'Dados Funil'!A:A,'Dados Funil'!AN:AN,"")</f>
        <v/>
      </c>
      <c r="T116" s="7" t="str">
        <f t="shared" si="4"/>
        <v/>
      </c>
      <c r="U116" s="4" t="str">
        <f t="shared" si="12"/>
        <v/>
      </c>
      <c r="V116" s="4" t="str">
        <f t="array" ref="V116">XLOOKUP(R116,'Dados Funil'!$A:$A,'Dados Funil'!$K:$K,"")</f>
        <v/>
      </c>
      <c r="W116" s="4" t="str">
        <f t="array" ref="W116">XLOOKUP(R116,'Dados Funil'!$A:$A,'Dados Funil'!$L:$L,"")</f>
        <v/>
      </c>
      <c r="X116" s="4"/>
      <c r="Y116" s="4"/>
      <c r="Z116" s="7" t="str">
        <f t="shared" si="5"/>
        <v/>
      </c>
      <c r="AA116" s="4" t="str">
        <f t="shared" si="13"/>
        <v/>
      </c>
      <c r="AB116" s="4" t="str">
        <f t="array" ref="AB116">XLOOKUP(X116,'Dados Funil'!A:A,'Dados Funil'!O:O,"")</f>
        <v/>
      </c>
      <c r="AE116" s="7" t="str">
        <f t="shared" si="6"/>
        <v/>
      </c>
      <c r="AG116" s="4" t="str">
        <f t="array" ref="AG116">XLOOKUP(AC116,'Dados Funil'!A:A,'Dados Funil'!AM:AM,"")</f>
        <v/>
      </c>
      <c r="AH116" s="4" t="str">
        <f t="array" ref="AH116">XLOOKUP(AC116,'Dados Funil'!A:A,'Dados Funil'!AN:AN,"")</f>
        <v/>
      </c>
    </row>
    <row r="117">
      <c r="A117" s="4"/>
      <c r="B117" s="4"/>
      <c r="C117" s="7" t="str">
        <f t="shared" si="1"/>
        <v/>
      </c>
      <c r="D117" s="4" t="str">
        <f t="shared" si="9"/>
        <v/>
      </c>
      <c r="E117" s="4" t="str">
        <f t="array" ref="E117">XLOOKUP(A117,'Dados Funil'!$A:$A,'Dados Funil'!$K:$K,"")</f>
        <v/>
      </c>
      <c r="F117" s="4" t="str">
        <f t="array" ref="F117">XLOOKUP(A117,'Dados Funil'!$A:$A,'Dados Funil'!$L:$L,"")</f>
        <v/>
      </c>
      <c r="G117" s="4"/>
      <c r="H117" s="4"/>
      <c r="I117" s="7" t="str">
        <f t="shared" si="2"/>
        <v/>
      </c>
      <c r="J117" s="4" t="str">
        <f t="shared" si="10"/>
        <v/>
      </c>
      <c r="K117" s="4" t="str">
        <f t="array" ref="K117">XLOOKUP(G117,'Dados Funil'!A:A,'Dados Funil'!O:O,"")</f>
        <v/>
      </c>
      <c r="L117" s="4"/>
      <c r="M117" s="4"/>
      <c r="N117" s="7" t="str">
        <f t="shared" si="3"/>
        <v/>
      </c>
      <c r="O117" s="4" t="str">
        <f t="shared" si="11"/>
        <v/>
      </c>
      <c r="P117" s="4" t="str">
        <f t="array" ref="P117">XLOOKUP(L117,'Dados Funil'!A:A,'Dados Funil'!AM:AM,"")</f>
        <v/>
      </c>
      <c r="Q117" s="4" t="str">
        <f t="array" ref="Q117">XLOOKUP(L117,'Dados Funil'!A:A,'Dados Funil'!AN:AN,"")</f>
        <v/>
      </c>
      <c r="T117" s="7" t="str">
        <f t="shared" si="4"/>
        <v/>
      </c>
      <c r="U117" s="4" t="str">
        <f t="shared" si="12"/>
        <v/>
      </c>
      <c r="V117" s="4" t="str">
        <f t="array" ref="V117">XLOOKUP(R117,'Dados Funil'!$A:$A,'Dados Funil'!$K:$K,"")</f>
        <v/>
      </c>
      <c r="W117" s="4" t="str">
        <f t="array" ref="W117">XLOOKUP(R117,'Dados Funil'!$A:$A,'Dados Funil'!$L:$L,"")</f>
        <v/>
      </c>
      <c r="X117" s="4"/>
      <c r="Y117" s="4"/>
      <c r="Z117" s="7" t="str">
        <f t="shared" si="5"/>
        <v/>
      </c>
      <c r="AA117" s="4" t="str">
        <f t="shared" si="13"/>
        <v/>
      </c>
      <c r="AB117" s="4" t="str">
        <f t="array" ref="AB117">XLOOKUP(X117,'Dados Funil'!A:A,'Dados Funil'!O:O,"")</f>
        <v/>
      </c>
      <c r="AE117" s="7" t="str">
        <f t="shared" si="6"/>
        <v/>
      </c>
      <c r="AG117" s="4" t="str">
        <f t="array" ref="AG117">XLOOKUP(AC117,'Dados Funil'!A:A,'Dados Funil'!AM:AM,"")</f>
        <v/>
      </c>
      <c r="AH117" s="4" t="str">
        <f t="array" ref="AH117">XLOOKUP(AC117,'Dados Funil'!A:A,'Dados Funil'!AN:AN,"")</f>
        <v/>
      </c>
    </row>
    <row r="118">
      <c r="A118" s="4"/>
      <c r="B118" s="4"/>
      <c r="C118" s="7" t="str">
        <f t="shared" si="1"/>
        <v/>
      </c>
      <c r="D118" s="4" t="str">
        <f t="shared" si="9"/>
        <v/>
      </c>
      <c r="E118" s="4" t="str">
        <f t="array" ref="E118">XLOOKUP(A118,'Dados Funil'!$A:$A,'Dados Funil'!$K:$K,"")</f>
        <v/>
      </c>
      <c r="F118" s="4" t="str">
        <f t="array" ref="F118">XLOOKUP(A118,'Dados Funil'!$A:$A,'Dados Funil'!$L:$L,"")</f>
        <v/>
      </c>
      <c r="G118" s="4"/>
      <c r="H118" s="4"/>
      <c r="I118" s="7" t="str">
        <f t="shared" si="2"/>
        <v/>
      </c>
      <c r="J118" s="4" t="str">
        <f t="shared" si="10"/>
        <v/>
      </c>
      <c r="K118" s="4" t="str">
        <f t="array" ref="K118">XLOOKUP(G118,'Dados Funil'!A:A,'Dados Funil'!O:O,"")</f>
        <v/>
      </c>
      <c r="L118" s="4"/>
      <c r="M118" s="4"/>
      <c r="N118" s="7" t="str">
        <f t="shared" si="3"/>
        <v/>
      </c>
      <c r="O118" s="4" t="str">
        <f t="shared" si="11"/>
        <v/>
      </c>
      <c r="P118" s="4" t="str">
        <f t="array" ref="P118">XLOOKUP(L118,'Dados Funil'!A:A,'Dados Funil'!AM:AM,"")</f>
        <v/>
      </c>
      <c r="Q118" s="4" t="str">
        <f t="array" ref="Q118">XLOOKUP(L118,'Dados Funil'!A:A,'Dados Funil'!AN:AN,"")</f>
        <v/>
      </c>
      <c r="T118" s="7" t="str">
        <f t="shared" si="4"/>
        <v/>
      </c>
      <c r="U118" s="4" t="str">
        <f t="shared" si="12"/>
        <v/>
      </c>
      <c r="V118" s="4" t="str">
        <f t="array" ref="V118">XLOOKUP(R118,'Dados Funil'!$A:$A,'Dados Funil'!$K:$K,"")</f>
        <v/>
      </c>
      <c r="W118" s="4" t="str">
        <f t="array" ref="W118">XLOOKUP(R118,'Dados Funil'!$A:$A,'Dados Funil'!$L:$L,"")</f>
        <v/>
      </c>
      <c r="X118" s="4"/>
      <c r="Y118" s="4"/>
      <c r="Z118" s="7" t="str">
        <f t="shared" si="5"/>
        <v/>
      </c>
      <c r="AA118" s="4" t="str">
        <f t="shared" si="13"/>
        <v/>
      </c>
      <c r="AB118" s="4" t="str">
        <f t="array" ref="AB118">XLOOKUP(X118,'Dados Funil'!A:A,'Dados Funil'!O:O,"")</f>
        <v/>
      </c>
      <c r="AE118" s="7" t="str">
        <f t="shared" si="6"/>
        <v/>
      </c>
      <c r="AG118" s="4" t="str">
        <f t="array" ref="AG118">XLOOKUP(AC118,'Dados Funil'!A:A,'Dados Funil'!AM:AM,"")</f>
        <v/>
      </c>
      <c r="AH118" s="4" t="str">
        <f t="array" ref="AH118">XLOOKUP(AC118,'Dados Funil'!A:A,'Dados Funil'!AN:AN,"")</f>
        <v/>
      </c>
    </row>
    <row r="119">
      <c r="A119" s="4"/>
      <c r="B119" s="4"/>
      <c r="C119" s="7" t="str">
        <f t="shared" si="1"/>
        <v/>
      </c>
      <c r="D119" s="4" t="str">
        <f t="shared" si="9"/>
        <v/>
      </c>
      <c r="E119" s="4" t="str">
        <f t="array" ref="E119">XLOOKUP(A119,'Dados Funil'!$A:$A,'Dados Funil'!$K:$K,"")</f>
        <v/>
      </c>
      <c r="F119" s="4" t="str">
        <f t="array" ref="F119">XLOOKUP(A119,'Dados Funil'!$A:$A,'Dados Funil'!$L:$L,"")</f>
        <v/>
      </c>
      <c r="G119" s="4"/>
      <c r="H119" s="4"/>
      <c r="I119" s="7" t="str">
        <f t="shared" si="2"/>
        <v/>
      </c>
      <c r="J119" s="4" t="str">
        <f t="shared" si="10"/>
        <v/>
      </c>
      <c r="K119" s="4" t="str">
        <f t="array" ref="K119">XLOOKUP(G119,'Dados Funil'!A:A,'Dados Funil'!O:O,"")</f>
        <v/>
      </c>
      <c r="L119" s="4"/>
      <c r="M119" s="4"/>
      <c r="N119" s="7" t="str">
        <f t="shared" si="3"/>
        <v/>
      </c>
      <c r="O119" s="4" t="str">
        <f t="shared" si="11"/>
        <v/>
      </c>
      <c r="P119" s="4" t="str">
        <f t="array" ref="P119">XLOOKUP(L119,'Dados Funil'!A:A,'Dados Funil'!AM:AM,"")</f>
        <v/>
      </c>
      <c r="Q119" s="4" t="str">
        <f t="array" ref="Q119">XLOOKUP(L119,'Dados Funil'!A:A,'Dados Funil'!AN:AN,"")</f>
        <v/>
      </c>
      <c r="T119" s="7" t="str">
        <f t="shared" si="4"/>
        <v/>
      </c>
      <c r="U119" s="4" t="str">
        <f t="shared" si="12"/>
        <v/>
      </c>
      <c r="V119" s="4" t="str">
        <f t="array" ref="V119">XLOOKUP(R119,'Dados Funil'!$A:$A,'Dados Funil'!$K:$K,"")</f>
        <v/>
      </c>
      <c r="W119" s="4" t="str">
        <f t="array" ref="W119">XLOOKUP(R119,'Dados Funil'!$A:$A,'Dados Funil'!$L:$L,"")</f>
        <v/>
      </c>
      <c r="X119" s="4"/>
      <c r="Y119" s="4"/>
      <c r="Z119" s="7" t="str">
        <f t="shared" si="5"/>
        <v/>
      </c>
      <c r="AA119" s="4" t="str">
        <f t="shared" si="13"/>
        <v/>
      </c>
      <c r="AB119" s="4" t="str">
        <f t="array" ref="AB119">XLOOKUP(X119,'Dados Funil'!A:A,'Dados Funil'!O:O,"")</f>
        <v/>
      </c>
      <c r="AE119" s="7" t="str">
        <f t="shared" si="6"/>
        <v/>
      </c>
      <c r="AG119" s="4" t="str">
        <f t="array" ref="AG119">XLOOKUP(AC119,'Dados Funil'!A:A,'Dados Funil'!AM:AM,"")</f>
        <v/>
      </c>
      <c r="AH119" s="4" t="str">
        <f t="array" ref="AH119">XLOOKUP(AC119,'Dados Funil'!A:A,'Dados Funil'!AN:AN,"")</f>
        <v/>
      </c>
    </row>
    <row r="120">
      <c r="A120" s="4"/>
      <c r="B120" s="4"/>
      <c r="C120" s="7" t="str">
        <f t="shared" si="1"/>
        <v/>
      </c>
      <c r="D120" s="4" t="str">
        <f t="shared" si="9"/>
        <v/>
      </c>
      <c r="E120" s="4" t="str">
        <f t="array" ref="E120">XLOOKUP(A120,'Dados Funil'!$A:$A,'Dados Funil'!$K:$K,"")</f>
        <v/>
      </c>
      <c r="F120" s="4" t="str">
        <f t="array" ref="F120">XLOOKUP(A120,'Dados Funil'!$A:$A,'Dados Funil'!$L:$L,"")</f>
        <v/>
      </c>
      <c r="G120" s="4"/>
      <c r="H120" s="4"/>
      <c r="I120" s="7" t="str">
        <f t="shared" si="2"/>
        <v/>
      </c>
      <c r="J120" s="4" t="str">
        <f t="shared" si="10"/>
        <v/>
      </c>
      <c r="K120" s="4" t="str">
        <f t="array" ref="K120">XLOOKUP(G120,'Dados Funil'!A:A,'Dados Funil'!O:O,"")</f>
        <v/>
      </c>
      <c r="L120" s="4"/>
      <c r="M120" s="4"/>
      <c r="N120" s="7" t="str">
        <f t="shared" si="3"/>
        <v/>
      </c>
      <c r="O120" s="4" t="str">
        <f t="shared" si="11"/>
        <v/>
      </c>
      <c r="P120" s="4" t="str">
        <f t="array" ref="P120">XLOOKUP(L120,'Dados Funil'!A:A,'Dados Funil'!AM:AM,"")</f>
        <v/>
      </c>
      <c r="Q120" s="4" t="str">
        <f t="array" ref="Q120">XLOOKUP(L120,'Dados Funil'!A:A,'Dados Funil'!AN:AN,"")</f>
        <v/>
      </c>
      <c r="T120" s="7" t="str">
        <f t="shared" si="4"/>
        <v/>
      </c>
      <c r="U120" s="4" t="str">
        <f t="shared" si="12"/>
        <v/>
      </c>
      <c r="V120" s="4" t="str">
        <f t="array" ref="V120">XLOOKUP(R120,'Dados Funil'!$A:$A,'Dados Funil'!$K:$K,"")</f>
        <v/>
      </c>
      <c r="W120" s="4" t="str">
        <f t="array" ref="W120">XLOOKUP(R120,'Dados Funil'!$A:$A,'Dados Funil'!$L:$L,"")</f>
        <v/>
      </c>
      <c r="X120" s="4"/>
      <c r="Y120" s="4"/>
      <c r="Z120" s="7" t="str">
        <f t="shared" si="5"/>
        <v/>
      </c>
      <c r="AA120" s="4" t="str">
        <f t="shared" si="13"/>
        <v/>
      </c>
      <c r="AB120" s="4" t="str">
        <f t="array" ref="AB120">XLOOKUP(X120,'Dados Funil'!A:A,'Dados Funil'!O:O,"")</f>
        <v/>
      </c>
      <c r="AE120" s="7" t="str">
        <f t="shared" si="6"/>
        <v/>
      </c>
      <c r="AG120" s="4" t="str">
        <f t="array" ref="AG120">XLOOKUP(AC120,'Dados Funil'!A:A,'Dados Funil'!AM:AM,"")</f>
        <v/>
      </c>
      <c r="AH120" s="4" t="str">
        <f t="array" ref="AH120">XLOOKUP(AC120,'Dados Funil'!A:A,'Dados Funil'!AN:AN,"")</f>
        <v/>
      </c>
    </row>
    <row r="121">
      <c r="A121" s="4"/>
      <c r="B121" s="4"/>
      <c r="C121" s="7" t="str">
        <f t="shared" si="1"/>
        <v/>
      </c>
      <c r="D121" s="4" t="str">
        <f t="shared" si="9"/>
        <v/>
      </c>
      <c r="E121" s="4" t="str">
        <f t="array" ref="E121">XLOOKUP(A121,'Dados Funil'!$A:$A,'Dados Funil'!$K:$K,"")</f>
        <v/>
      </c>
      <c r="F121" s="4" t="str">
        <f t="array" ref="F121">XLOOKUP(A121,'Dados Funil'!$A:$A,'Dados Funil'!$L:$L,"")</f>
        <v/>
      </c>
      <c r="G121" s="4"/>
      <c r="H121" s="4"/>
      <c r="I121" s="7" t="str">
        <f t="shared" si="2"/>
        <v/>
      </c>
      <c r="J121" s="4" t="str">
        <f t="shared" si="10"/>
        <v/>
      </c>
      <c r="K121" s="4" t="str">
        <f t="array" ref="K121">XLOOKUP(G121,'Dados Funil'!A:A,'Dados Funil'!O:O,"")</f>
        <v/>
      </c>
      <c r="L121" s="4"/>
      <c r="M121" s="4"/>
      <c r="N121" s="7" t="str">
        <f t="shared" si="3"/>
        <v/>
      </c>
      <c r="O121" s="4" t="str">
        <f t="shared" si="11"/>
        <v/>
      </c>
      <c r="P121" s="4" t="str">
        <f t="array" ref="P121">XLOOKUP(L121,'Dados Funil'!A:A,'Dados Funil'!AM:AM,"")</f>
        <v/>
      </c>
      <c r="Q121" s="4" t="str">
        <f t="array" ref="Q121">XLOOKUP(L121,'Dados Funil'!A:A,'Dados Funil'!AN:AN,"")</f>
        <v/>
      </c>
      <c r="T121" s="7" t="str">
        <f t="shared" si="4"/>
        <v/>
      </c>
      <c r="U121" s="4" t="str">
        <f t="shared" si="12"/>
        <v/>
      </c>
      <c r="V121" s="4" t="str">
        <f t="array" ref="V121">XLOOKUP(R121,'Dados Funil'!$A:$A,'Dados Funil'!$K:$K,"")</f>
        <v/>
      </c>
      <c r="W121" s="4" t="str">
        <f t="array" ref="W121">XLOOKUP(R121,'Dados Funil'!$A:$A,'Dados Funil'!$L:$L,"")</f>
        <v/>
      </c>
      <c r="X121" s="4"/>
      <c r="Y121" s="4"/>
      <c r="Z121" s="7" t="str">
        <f t="shared" si="5"/>
        <v/>
      </c>
      <c r="AA121" s="4" t="str">
        <f t="shared" si="13"/>
        <v/>
      </c>
      <c r="AB121" s="4" t="str">
        <f t="array" ref="AB121">XLOOKUP(X121,'Dados Funil'!A:A,'Dados Funil'!O:O,"")</f>
        <v/>
      </c>
      <c r="AE121" s="7" t="str">
        <f t="shared" si="6"/>
        <v/>
      </c>
      <c r="AG121" s="4" t="str">
        <f t="array" ref="AG121">XLOOKUP(AC121,'Dados Funil'!A:A,'Dados Funil'!AM:AM,"")</f>
        <v/>
      </c>
      <c r="AH121" s="4" t="str">
        <f t="array" ref="AH121">XLOOKUP(AC121,'Dados Funil'!A:A,'Dados Funil'!AN:AN,"")</f>
        <v/>
      </c>
    </row>
    <row r="122">
      <c r="A122" s="4"/>
      <c r="B122" s="4"/>
      <c r="C122" s="7" t="str">
        <f t="shared" si="1"/>
        <v/>
      </c>
      <c r="D122" s="4" t="str">
        <f t="shared" si="9"/>
        <v/>
      </c>
      <c r="E122" s="4" t="str">
        <f t="array" ref="E122">XLOOKUP(A122,'Dados Funil'!$A:$A,'Dados Funil'!$K:$K,"")</f>
        <v/>
      </c>
      <c r="F122" s="4" t="str">
        <f t="array" ref="F122">XLOOKUP(A122,'Dados Funil'!$A:$A,'Dados Funil'!$L:$L,"")</f>
        <v/>
      </c>
      <c r="G122" s="4"/>
      <c r="H122" s="4"/>
      <c r="I122" s="7" t="str">
        <f t="shared" si="2"/>
        <v/>
      </c>
      <c r="J122" s="4" t="str">
        <f t="shared" si="10"/>
        <v/>
      </c>
      <c r="K122" s="4" t="str">
        <f t="array" ref="K122">XLOOKUP(G122,'Dados Funil'!A:A,'Dados Funil'!O:O,"")</f>
        <v/>
      </c>
      <c r="L122" s="4"/>
      <c r="M122" s="4"/>
      <c r="N122" s="7" t="str">
        <f t="shared" si="3"/>
        <v/>
      </c>
      <c r="O122" s="4" t="str">
        <f t="shared" si="11"/>
        <v/>
      </c>
      <c r="P122" s="4" t="str">
        <f t="array" ref="P122">XLOOKUP(L122,'Dados Funil'!A:A,'Dados Funil'!AM:AM,"")</f>
        <v/>
      </c>
      <c r="Q122" s="4" t="str">
        <f t="array" ref="Q122">XLOOKUP(L122,'Dados Funil'!A:A,'Dados Funil'!AN:AN,"")</f>
        <v/>
      </c>
      <c r="T122" s="7" t="str">
        <f t="shared" si="4"/>
        <v/>
      </c>
      <c r="U122" s="4" t="str">
        <f t="shared" si="12"/>
        <v/>
      </c>
      <c r="V122" s="4" t="str">
        <f t="array" ref="V122">XLOOKUP(R122,'Dados Funil'!$A:$A,'Dados Funil'!$K:$K,"")</f>
        <v/>
      </c>
      <c r="W122" s="4" t="str">
        <f t="array" ref="W122">XLOOKUP(R122,'Dados Funil'!$A:$A,'Dados Funil'!$L:$L,"")</f>
        <v/>
      </c>
      <c r="X122" s="4"/>
      <c r="Y122" s="4"/>
      <c r="Z122" s="7" t="str">
        <f t="shared" si="5"/>
        <v/>
      </c>
      <c r="AA122" s="4" t="str">
        <f t="shared" si="13"/>
        <v/>
      </c>
      <c r="AB122" s="4" t="str">
        <f t="array" ref="AB122">XLOOKUP(X122,'Dados Funil'!A:A,'Dados Funil'!O:O,"")</f>
        <v/>
      </c>
      <c r="AE122" s="7" t="str">
        <f t="shared" si="6"/>
        <v/>
      </c>
      <c r="AG122" s="4" t="str">
        <f t="array" ref="AG122">XLOOKUP(AC122,'Dados Funil'!A:A,'Dados Funil'!AM:AM,"")</f>
        <v/>
      </c>
      <c r="AH122" s="4" t="str">
        <f t="array" ref="AH122">XLOOKUP(AC122,'Dados Funil'!A:A,'Dados Funil'!AN:AN,"")</f>
        <v/>
      </c>
    </row>
    <row r="123">
      <c r="A123" s="4"/>
      <c r="B123" s="4"/>
      <c r="C123" s="7" t="str">
        <f t="shared" si="1"/>
        <v/>
      </c>
      <c r="D123" s="4" t="str">
        <f t="shared" si="9"/>
        <v/>
      </c>
      <c r="E123" s="4" t="str">
        <f t="array" ref="E123">XLOOKUP(A123,'Dados Funil'!$A:$A,'Dados Funil'!$K:$K,"")</f>
        <v/>
      </c>
      <c r="F123" s="4" t="str">
        <f t="array" ref="F123">XLOOKUP(A123,'Dados Funil'!$A:$A,'Dados Funil'!$L:$L,"")</f>
        <v/>
      </c>
      <c r="G123" s="4"/>
      <c r="H123" s="4"/>
      <c r="I123" s="7" t="str">
        <f t="shared" si="2"/>
        <v/>
      </c>
      <c r="J123" s="4" t="str">
        <f t="shared" si="10"/>
        <v/>
      </c>
      <c r="K123" s="4" t="str">
        <f t="array" ref="K123">XLOOKUP(G123,'Dados Funil'!A:A,'Dados Funil'!O:O,"")</f>
        <v/>
      </c>
      <c r="L123" s="4"/>
      <c r="M123" s="4"/>
      <c r="N123" s="7" t="str">
        <f t="shared" si="3"/>
        <v/>
      </c>
      <c r="O123" s="4" t="str">
        <f t="shared" si="11"/>
        <v/>
      </c>
      <c r="P123" s="4" t="str">
        <f t="array" ref="P123">XLOOKUP(L123,'Dados Funil'!A:A,'Dados Funil'!AM:AM,"")</f>
        <v/>
      </c>
      <c r="Q123" s="4" t="str">
        <f t="array" ref="Q123">XLOOKUP(L123,'Dados Funil'!A:A,'Dados Funil'!AN:AN,"")</f>
        <v/>
      </c>
      <c r="T123" s="7" t="str">
        <f t="shared" si="4"/>
        <v/>
      </c>
      <c r="U123" s="4" t="str">
        <f t="shared" si="12"/>
        <v/>
      </c>
      <c r="V123" s="4" t="str">
        <f t="array" ref="V123">XLOOKUP(R123,'Dados Funil'!$A:$A,'Dados Funil'!$K:$K,"")</f>
        <v/>
      </c>
      <c r="W123" s="4" t="str">
        <f t="array" ref="W123">XLOOKUP(R123,'Dados Funil'!$A:$A,'Dados Funil'!$L:$L,"")</f>
        <v/>
      </c>
      <c r="X123" s="4"/>
      <c r="Y123" s="4"/>
      <c r="Z123" s="7" t="str">
        <f t="shared" si="5"/>
        <v/>
      </c>
      <c r="AA123" s="4" t="str">
        <f t="shared" si="13"/>
        <v/>
      </c>
      <c r="AB123" s="4" t="str">
        <f t="array" ref="AB123">XLOOKUP(X123,'Dados Funil'!A:A,'Dados Funil'!O:O,"")</f>
        <v/>
      </c>
      <c r="AE123" s="7" t="str">
        <f t="shared" si="6"/>
        <v/>
      </c>
      <c r="AG123" s="4" t="str">
        <f t="array" ref="AG123">XLOOKUP(AC123,'Dados Funil'!A:A,'Dados Funil'!AM:AM,"")</f>
        <v/>
      </c>
      <c r="AH123" s="4" t="str">
        <f t="array" ref="AH123">XLOOKUP(AC123,'Dados Funil'!A:A,'Dados Funil'!AN:AN,"")</f>
        <v/>
      </c>
    </row>
    <row r="124">
      <c r="A124" s="4"/>
      <c r="B124" s="4"/>
      <c r="C124" s="7" t="str">
        <f t="shared" si="1"/>
        <v/>
      </c>
      <c r="D124" s="4" t="str">
        <f t="shared" si="9"/>
        <v/>
      </c>
      <c r="E124" s="4" t="str">
        <f t="array" ref="E124">XLOOKUP(A124,'Dados Funil'!$A:$A,'Dados Funil'!$K:$K,"")</f>
        <v/>
      </c>
      <c r="F124" s="4" t="str">
        <f t="array" ref="F124">XLOOKUP(A124,'Dados Funil'!$A:$A,'Dados Funil'!$L:$L,"")</f>
        <v/>
      </c>
      <c r="G124" s="4"/>
      <c r="H124" s="4"/>
      <c r="I124" s="7" t="str">
        <f t="shared" si="2"/>
        <v/>
      </c>
      <c r="J124" s="4" t="str">
        <f t="shared" si="10"/>
        <v/>
      </c>
      <c r="K124" s="4" t="str">
        <f t="array" ref="K124">XLOOKUP(G124,'Dados Funil'!A:A,'Dados Funil'!O:O,"")</f>
        <v/>
      </c>
      <c r="L124" s="4"/>
      <c r="M124" s="4"/>
      <c r="N124" s="7" t="str">
        <f t="shared" si="3"/>
        <v/>
      </c>
      <c r="O124" s="4" t="str">
        <f t="shared" si="11"/>
        <v/>
      </c>
      <c r="P124" s="4" t="str">
        <f t="array" ref="P124">XLOOKUP(L124,'Dados Funil'!A:A,'Dados Funil'!AM:AM,"")</f>
        <v/>
      </c>
      <c r="Q124" s="4" t="str">
        <f t="array" ref="Q124">XLOOKUP(L124,'Dados Funil'!A:A,'Dados Funil'!AN:AN,"")</f>
        <v/>
      </c>
      <c r="T124" s="7" t="str">
        <f t="shared" si="4"/>
        <v/>
      </c>
      <c r="U124" s="4" t="str">
        <f t="shared" si="12"/>
        <v/>
      </c>
      <c r="V124" s="4" t="str">
        <f t="array" ref="V124">XLOOKUP(R124,'Dados Funil'!$A:$A,'Dados Funil'!$K:$K,"")</f>
        <v/>
      </c>
      <c r="W124" s="4" t="str">
        <f t="array" ref="W124">XLOOKUP(R124,'Dados Funil'!$A:$A,'Dados Funil'!$L:$L,"")</f>
        <v/>
      </c>
      <c r="X124" s="4"/>
      <c r="Y124" s="4"/>
      <c r="Z124" s="7" t="str">
        <f t="shared" si="5"/>
        <v/>
      </c>
      <c r="AA124" s="4" t="str">
        <f t="shared" si="13"/>
        <v/>
      </c>
      <c r="AB124" s="4" t="str">
        <f t="array" ref="AB124">XLOOKUP(X124,'Dados Funil'!A:A,'Dados Funil'!O:O,"")</f>
        <v/>
      </c>
      <c r="AE124" s="7" t="str">
        <f t="shared" si="6"/>
        <v/>
      </c>
      <c r="AG124" s="4" t="str">
        <f t="array" ref="AG124">XLOOKUP(AC124,'Dados Funil'!A:A,'Dados Funil'!AM:AM,"")</f>
        <v/>
      </c>
      <c r="AH124" s="4" t="str">
        <f t="array" ref="AH124">XLOOKUP(AC124,'Dados Funil'!A:A,'Dados Funil'!AN:AN,"")</f>
        <v/>
      </c>
    </row>
    <row r="125">
      <c r="A125" s="4"/>
      <c r="B125" s="4"/>
      <c r="C125" s="7" t="str">
        <f t="shared" si="1"/>
        <v/>
      </c>
      <c r="D125" s="4" t="str">
        <f t="shared" si="9"/>
        <v/>
      </c>
      <c r="E125" s="4" t="str">
        <f t="array" ref="E125">XLOOKUP(A125,'Dados Funil'!$A:$A,'Dados Funil'!$K:$K,"")</f>
        <v/>
      </c>
      <c r="F125" s="4" t="str">
        <f t="array" ref="F125">XLOOKUP(A125,'Dados Funil'!$A:$A,'Dados Funil'!$L:$L,"")</f>
        <v/>
      </c>
      <c r="G125" s="4"/>
      <c r="H125" s="4"/>
      <c r="I125" s="7" t="str">
        <f t="shared" si="2"/>
        <v/>
      </c>
      <c r="J125" s="4" t="str">
        <f t="shared" si="10"/>
        <v/>
      </c>
      <c r="K125" s="4" t="str">
        <f t="array" ref="K125">XLOOKUP(G125,'Dados Funil'!A:A,'Dados Funil'!O:O,"")</f>
        <v/>
      </c>
      <c r="L125" s="4"/>
      <c r="M125" s="4"/>
      <c r="N125" s="7" t="str">
        <f t="shared" si="3"/>
        <v/>
      </c>
      <c r="O125" s="4" t="str">
        <f t="shared" si="11"/>
        <v/>
      </c>
      <c r="P125" s="4" t="str">
        <f t="array" ref="P125">XLOOKUP(L125,'Dados Funil'!A:A,'Dados Funil'!AM:AM,"")</f>
        <v/>
      </c>
      <c r="Q125" s="4" t="str">
        <f t="array" ref="Q125">XLOOKUP(L125,'Dados Funil'!A:A,'Dados Funil'!AN:AN,"")</f>
        <v/>
      </c>
      <c r="T125" s="7" t="str">
        <f t="shared" si="4"/>
        <v/>
      </c>
      <c r="U125" s="4" t="str">
        <f t="shared" si="12"/>
        <v/>
      </c>
      <c r="V125" s="4" t="str">
        <f t="array" ref="V125">XLOOKUP(R125,'Dados Funil'!$A:$A,'Dados Funil'!$K:$K,"")</f>
        <v/>
      </c>
      <c r="W125" s="4" t="str">
        <f t="array" ref="W125">XLOOKUP(R125,'Dados Funil'!$A:$A,'Dados Funil'!$L:$L,"")</f>
        <v/>
      </c>
      <c r="X125" s="4"/>
      <c r="Y125" s="4"/>
      <c r="Z125" s="7" t="str">
        <f t="shared" si="5"/>
        <v/>
      </c>
      <c r="AA125" s="4" t="str">
        <f t="shared" si="13"/>
        <v/>
      </c>
      <c r="AB125" s="4" t="str">
        <f t="array" ref="AB125">XLOOKUP(X125,'Dados Funil'!A:A,'Dados Funil'!O:O,"")</f>
        <v/>
      </c>
      <c r="AE125" s="7" t="str">
        <f t="shared" si="6"/>
        <v/>
      </c>
      <c r="AG125" s="4" t="str">
        <f t="array" ref="AG125">XLOOKUP(AC125,'Dados Funil'!A:A,'Dados Funil'!AM:AM,"")</f>
        <v/>
      </c>
      <c r="AH125" s="4" t="str">
        <f t="array" ref="AH125">XLOOKUP(AC125,'Dados Funil'!A:A,'Dados Funil'!AN:AN,"")</f>
        <v/>
      </c>
    </row>
    <row r="126">
      <c r="A126" s="4"/>
      <c r="B126" s="4"/>
      <c r="C126" s="7" t="str">
        <f t="shared" si="1"/>
        <v/>
      </c>
      <c r="D126" s="4" t="str">
        <f t="shared" si="9"/>
        <v/>
      </c>
      <c r="E126" s="4" t="str">
        <f t="array" ref="E126">XLOOKUP(A126,'Dados Funil'!$A:$A,'Dados Funil'!$K:$K,"")</f>
        <v/>
      </c>
      <c r="F126" s="4" t="str">
        <f t="array" ref="F126">XLOOKUP(A126,'Dados Funil'!$A:$A,'Dados Funil'!$L:$L,"")</f>
        <v/>
      </c>
      <c r="G126" s="4"/>
      <c r="H126" s="4"/>
      <c r="I126" s="7" t="str">
        <f t="shared" si="2"/>
        <v/>
      </c>
      <c r="J126" s="4" t="str">
        <f t="shared" si="10"/>
        <v/>
      </c>
      <c r="K126" s="4" t="str">
        <f t="array" ref="K126">XLOOKUP(G126,'Dados Funil'!A:A,'Dados Funil'!O:O,"")</f>
        <v/>
      </c>
      <c r="L126" s="4"/>
      <c r="M126" s="4"/>
      <c r="N126" s="7" t="str">
        <f t="shared" si="3"/>
        <v/>
      </c>
      <c r="O126" s="4" t="str">
        <f t="shared" si="11"/>
        <v/>
      </c>
      <c r="P126" s="4" t="str">
        <f t="array" ref="P126">XLOOKUP(L126,'Dados Funil'!A:A,'Dados Funil'!AM:AM,"")</f>
        <v/>
      </c>
      <c r="Q126" s="4" t="str">
        <f t="array" ref="Q126">XLOOKUP(L126,'Dados Funil'!A:A,'Dados Funil'!AN:AN,"")</f>
        <v/>
      </c>
      <c r="T126" s="7" t="str">
        <f t="shared" si="4"/>
        <v/>
      </c>
      <c r="U126" s="4" t="str">
        <f t="shared" si="12"/>
        <v/>
      </c>
      <c r="V126" s="4" t="str">
        <f t="array" ref="V126">XLOOKUP(R126,'Dados Funil'!$A:$A,'Dados Funil'!$K:$K,"")</f>
        <v/>
      </c>
      <c r="W126" s="4" t="str">
        <f t="array" ref="W126">XLOOKUP(R126,'Dados Funil'!$A:$A,'Dados Funil'!$L:$L,"")</f>
        <v/>
      </c>
      <c r="X126" s="4"/>
      <c r="Y126" s="4"/>
      <c r="Z126" s="7" t="str">
        <f t="shared" si="5"/>
        <v/>
      </c>
      <c r="AA126" s="4" t="str">
        <f t="shared" si="13"/>
        <v/>
      </c>
      <c r="AB126" s="4" t="str">
        <f t="array" ref="AB126">XLOOKUP(X126,'Dados Funil'!A:A,'Dados Funil'!O:O,"")</f>
        <v/>
      </c>
      <c r="AE126" s="7" t="str">
        <f t="shared" si="6"/>
        <v/>
      </c>
      <c r="AG126" s="4" t="str">
        <f t="array" ref="AG126">XLOOKUP(AC126,'Dados Funil'!A:A,'Dados Funil'!AM:AM,"")</f>
        <v/>
      </c>
      <c r="AH126" s="4" t="str">
        <f t="array" ref="AH126">XLOOKUP(AC126,'Dados Funil'!A:A,'Dados Funil'!AN:AN,"")</f>
        <v/>
      </c>
    </row>
    <row r="127">
      <c r="A127" s="4"/>
      <c r="B127" s="4"/>
      <c r="C127" s="7" t="str">
        <f t="shared" si="1"/>
        <v/>
      </c>
      <c r="D127" s="4" t="str">
        <f t="shared" si="9"/>
        <v/>
      </c>
      <c r="E127" s="4" t="str">
        <f t="array" ref="E127">XLOOKUP(A127,'Dados Funil'!$A:$A,'Dados Funil'!$K:$K,"")</f>
        <v/>
      </c>
      <c r="F127" s="4" t="str">
        <f t="array" ref="F127">XLOOKUP(A127,'Dados Funil'!$A:$A,'Dados Funil'!$L:$L,"")</f>
        <v/>
      </c>
      <c r="G127" s="4"/>
      <c r="H127" s="4"/>
      <c r="I127" s="7" t="str">
        <f t="shared" si="2"/>
        <v/>
      </c>
      <c r="J127" s="4" t="str">
        <f t="shared" si="10"/>
        <v/>
      </c>
      <c r="K127" s="4" t="str">
        <f t="array" ref="K127">XLOOKUP(G127,'Dados Funil'!A:A,'Dados Funil'!O:O,"")</f>
        <v/>
      </c>
      <c r="L127" s="4"/>
      <c r="M127" s="4"/>
      <c r="N127" s="7" t="str">
        <f t="shared" si="3"/>
        <v/>
      </c>
      <c r="O127" s="4" t="str">
        <f t="shared" si="11"/>
        <v/>
      </c>
      <c r="P127" s="4" t="str">
        <f t="array" ref="P127">XLOOKUP(L127,'Dados Funil'!A:A,'Dados Funil'!AM:AM,"")</f>
        <v/>
      </c>
      <c r="Q127" s="4" t="str">
        <f t="array" ref="Q127">XLOOKUP(L127,'Dados Funil'!A:A,'Dados Funil'!AN:AN,"")</f>
        <v/>
      </c>
      <c r="T127" s="7" t="str">
        <f t="shared" si="4"/>
        <v/>
      </c>
      <c r="U127" s="4" t="str">
        <f t="shared" si="12"/>
        <v/>
      </c>
      <c r="V127" s="4" t="str">
        <f t="array" ref="V127">XLOOKUP(R127,'Dados Funil'!$A:$A,'Dados Funil'!$K:$K,"")</f>
        <v/>
      </c>
      <c r="W127" s="4" t="str">
        <f t="array" ref="W127">XLOOKUP(R127,'Dados Funil'!$A:$A,'Dados Funil'!$L:$L,"")</f>
        <v/>
      </c>
      <c r="X127" s="4"/>
      <c r="Y127" s="4"/>
      <c r="Z127" s="7" t="str">
        <f t="shared" si="5"/>
        <v/>
      </c>
      <c r="AA127" s="4" t="str">
        <f t="shared" si="13"/>
        <v/>
      </c>
      <c r="AB127" s="4" t="str">
        <f t="array" ref="AB127">XLOOKUP(X127,'Dados Funil'!A:A,'Dados Funil'!O:O,"")</f>
        <v/>
      </c>
      <c r="AE127" s="7" t="str">
        <f t="shared" si="6"/>
        <v/>
      </c>
      <c r="AG127" s="4" t="str">
        <f t="array" ref="AG127">XLOOKUP(AC127,'Dados Funil'!A:A,'Dados Funil'!AM:AM,"")</f>
        <v/>
      </c>
      <c r="AH127" s="4" t="str">
        <f t="array" ref="AH127">XLOOKUP(AC127,'Dados Funil'!A:A,'Dados Funil'!AN:AN,"")</f>
        <v/>
      </c>
    </row>
    <row r="128">
      <c r="A128" s="4"/>
      <c r="B128" s="4"/>
      <c r="C128" s="7" t="str">
        <f t="shared" si="1"/>
        <v/>
      </c>
      <c r="D128" s="4" t="str">
        <f t="shared" si="9"/>
        <v/>
      </c>
      <c r="E128" s="4" t="str">
        <f t="array" ref="E128">XLOOKUP(A128,'Dados Funil'!$A:$A,'Dados Funil'!$K:$K,"")</f>
        <v/>
      </c>
      <c r="F128" s="4" t="str">
        <f t="array" ref="F128">XLOOKUP(A128,'Dados Funil'!$A:$A,'Dados Funil'!$L:$L,"")</f>
        <v/>
      </c>
      <c r="G128" s="4"/>
      <c r="H128" s="4"/>
      <c r="I128" s="7" t="str">
        <f t="shared" si="2"/>
        <v/>
      </c>
      <c r="J128" s="4" t="str">
        <f t="shared" si="10"/>
        <v/>
      </c>
      <c r="K128" s="4" t="str">
        <f t="array" ref="K128">XLOOKUP(G128,'Dados Funil'!A:A,'Dados Funil'!O:O,"")</f>
        <v/>
      </c>
      <c r="L128" s="4"/>
      <c r="M128" s="4"/>
      <c r="N128" s="7" t="str">
        <f t="shared" si="3"/>
        <v/>
      </c>
      <c r="O128" s="4" t="str">
        <f t="shared" si="11"/>
        <v/>
      </c>
      <c r="P128" s="4" t="str">
        <f t="array" ref="P128">XLOOKUP(L128,'Dados Funil'!A:A,'Dados Funil'!AM:AM,"")</f>
        <v/>
      </c>
      <c r="Q128" s="4" t="str">
        <f t="array" ref="Q128">XLOOKUP(L128,'Dados Funil'!A:A,'Dados Funil'!AN:AN,"")</f>
        <v/>
      </c>
      <c r="T128" s="7" t="str">
        <f t="shared" si="4"/>
        <v/>
      </c>
      <c r="U128" s="4" t="str">
        <f t="shared" si="12"/>
        <v/>
      </c>
      <c r="V128" s="4" t="str">
        <f t="array" ref="V128">XLOOKUP(R128,'Dados Funil'!$A:$A,'Dados Funil'!$K:$K,"")</f>
        <v/>
      </c>
      <c r="W128" s="4" t="str">
        <f t="array" ref="W128">XLOOKUP(R128,'Dados Funil'!$A:$A,'Dados Funil'!$L:$L,"")</f>
        <v/>
      </c>
      <c r="X128" s="4"/>
      <c r="Y128" s="4"/>
      <c r="Z128" s="7" t="str">
        <f t="shared" si="5"/>
        <v/>
      </c>
      <c r="AA128" s="4" t="str">
        <f t="shared" si="13"/>
        <v/>
      </c>
      <c r="AB128" s="4" t="str">
        <f t="array" ref="AB128">XLOOKUP(X128,'Dados Funil'!A:A,'Dados Funil'!O:O,"")</f>
        <v/>
      </c>
      <c r="AE128" s="7" t="str">
        <f t="shared" si="6"/>
        <v/>
      </c>
      <c r="AG128" s="4" t="str">
        <f t="array" ref="AG128">XLOOKUP(AC128,'Dados Funil'!A:A,'Dados Funil'!AM:AM,"")</f>
        <v/>
      </c>
      <c r="AH128" s="4" t="str">
        <f t="array" ref="AH128">XLOOKUP(AC128,'Dados Funil'!A:A,'Dados Funil'!AN:AN,"")</f>
        <v/>
      </c>
    </row>
    <row r="129">
      <c r="A129" s="4"/>
      <c r="B129" s="4"/>
      <c r="C129" s="7" t="str">
        <f t="shared" si="1"/>
        <v/>
      </c>
      <c r="D129" s="4" t="str">
        <f t="shared" si="9"/>
        <v/>
      </c>
      <c r="E129" s="4" t="str">
        <f t="array" ref="E129">XLOOKUP(A129,'Dados Funil'!$A:$A,'Dados Funil'!$K:$K,"")</f>
        <v/>
      </c>
      <c r="F129" s="4" t="str">
        <f t="array" ref="F129">XLOOKUP(A129,'Dados Funil'!$A:$A,'Dados Funil'!$L:$L,"")</f>
        <v/>
      </c>
      <c r="G129" s="4"/>
      <c r="H129" s="4"/>
      <c r="I129" s="7" t="str">
        <f t="shared" si="2"/>
        <v/>
      </c>
      <c r="J129" s="4" t="str">
        <f t="shared" si="10"/>
        <v/>
      </c>
      <c r="K129" s="4" t="str">
        <f t="array" ref="K129">XLOOKUP(G129,'Dados Funil'!A:A,'Dados Funil'!O:O,"")</f>
        <v/>
      </c>
      <c r="L129" s="4"/>
      <c r="M129" s="4"/>
      <c r="N129" s="7" t="str">
        <f t="shared" si="3"/>
        <v/>
      </c>
      <c r="O129" s="4" t="str">
        <f t="shared" si="11"/>
        <v/>
      </c>
      <c r="P129" s="4" t="str">
        <f t="array" ref="P129">XLOOKUP(L129,'Dados Funil'!A:A,'Dados Funil'!AM:AM,"")</f>
        <v/>
      </c>
      <c r="Q129" s="4" t="str">
        <f t="array" ref="Q129">XLOOKUP(L129,'Dados Funil'!A:A,'Dados Funil'!AN:AN,"")</f>
        <v/>
      </c>
      <c r="T129" s="7" t="str">
        <f t="shared" si="4"/>
        <v/>
      </c>
      <c r="U129" s="4" t="str">
        <f t="shared" si="12"/>
        <v/>
      </c>
      <c r="V129" s="4" t="str">
        <f t="array" ref="V129">XLOOKUP(R129,'Dados Funil'!$A:$A,'Dados Funil'!$K:$K,"")</f>
        <v/>
      </c>
      <c r="W129" s="4" t="str">
        <f t="array" ref="W129">XLOOKUP(R129,'Dados Funil'!$A:$A,'Dados Funil'!$L:$L,"")</f>
        <v/>
      </c>
      <c r="X129" s="4"/>
      <c r="Y129" s="4"/>
      <c r="Z129" s="7" t="str">
        <f t="shared" si="5"/>
        <v/>
      </c>
      <c r="AA129" s="4" t="str">
        <f t="shared" si="13"/>
        <v/>
      </c>
      <c r="AB129" s="4" t="str">
        <f t="array" ref="AB129">XLOOKUP(X129,'Dados Funil'!A:A,'Dados Funil'!O:O,"")</f>
        <v/>
      </c>
      <c r="AE129" s="7" t="str">
        <f t="shared" si="6"/>
        <v/>
      </c>
      <c r="AG129" s="4" t="str">
        <f t="array" ref="AG129">XLOOKUP(AC129,'Dados Funil'!A:A,'Dados Funil'!AM:AM,"")</f>
        <v/>
      </c>
      <c r="AH129" s="4" t="str">
        <f t="array" ref="AH129">XLOOKUP(AC129,'Dados Funil'!A:A,'Dados Funil'!AN:AN,"")</f>
        <v/>
      </c>
    </row>
    <row r="130">
      <c r="A130" s="4"/>
      <c r="B130" s="4"/>
      <c r="C130" s="7" t="str">
        <f t="shared" si="1"/>
        <v/>
      </c>
      <c r="D130" s="4" t="str">
        <f t="shared" si="9"/>
        <v/>
      </c>
      <c r="E130" s="4" t="str">
        <f t="array" ref="E130">XLOOKUP(A130,'Dados Funil'!$A:$A,'Dados Funil'!$K:$K,"")</f>
        <v/>
      </c>
      <c r="F130" s="4" t="str">
        <f t="array" ref="F130">XLOOKUP(A130,'Dados Funil'!$A:$A,'Dados Funil'!$L:$L,"")</f>
        <v/>
      </c>
      <c r="G130" s="4"/>
      <c r="H130" s="4"/>
      <c r="I130" s="7" t="str">
        <f t="shared" si="2"/>
        <v/>
      </c>
      <c r="J130" s="4" t="str">
        <f t="shared" si="10"/>
        <v/>
      </c>
      <c r="K130" s="4" t="str">
        <f t="array" ref="K130">XLOOKUP(G130,'Dados Funil'!A:A,'Dados Funil'!O:O,"")</f>
        <v/>
      </c>
      <c r="L130" s="4"/>
      <c r="M130" s="4"/>
      <c r="N130" s="7" t="str">
        <f t="shared" si="3"/>
        <v/>
      </c>
      <c r="O130" s="4" t="str">
        <f t="shared" si="11"/>
        <v/>
      </c>
      <c r="P130" s="4" t="str">
        <f t="array" ref="P130">XLOOKUP(L130,'Dados Funil'!A:A,'Dados Funil'!AM:AM,"")</f>
        <v/>
      </c>
      <c r="Q130" s="4" t="str">
        <f t="array" ref="Q130">XLOOKUP(L130,'Dados Funil'!A:A,'Dados Funil'!AN:AN,"")</f>
        <v/>
      </c>
      <c r="T130" s="7" t="str">
        <f t="shared" si="4"/>
        <v/>
      </c>
      <c r="U130" s="4" t="str">
        <f t="shared" si="12"/>
        <v/>
      </c>
      <c r="V130" s="4" t="str">
        <f t="array" ref="V130">XLOOKUP(R130,'Dados Funil'!$A:$A,'Dados Funil'!$K:$K,"")</f>
        <v/>
      </c>
      <c r="W130" s="4" t="str">
        <f t="array" ref="W130">XLOOKUP(R130,'Dados Funil'!$A:$A,'Dados Funil'!$L:$L,"")</f>
        <v/>
      </c>
      <c r="X130" s="4"/>
      <c r="Y130" s="4"/>
      <c r="Z130" s="7" t="str">
        <f t="shared" si="5"/>
        <v/>
      </c>
      <c r="AA130" s="4" t="str">
        <f t="shared" si="13"/>
        <v/>
      </c>
      <c r="AB130" s="4" t="str">
        <f t="array" ref="AB130">XLOOKUP(X130,'Dados Funil'!A:A,'Dados Funil'!O:O,"")</f>
        <v/>
      </c>
      <c r="AE130" s="7" t="str">
        <f t="shared" si="6"/>
        <v/>
      </c>
      <c r="AG130" s="4" t="str">
        <f t="array" ref="AG130">XLOOKUP(AC130,'Dados Funil'!A:A,'Dados Funil'!AM:AM,"")</f>
        <v/>
      </c>
      <c r="AH130" s="4" t="str">
        <f t="array" ref="AH130">XLOOKUP(AC130,'Dados Funil'!A:A,'Dados Funil'!AN:AN,"")</f>
        <v/>
      </c>
    </row>
    <row r="131">
      <c r="A131" s="4"/>
      <c r="B131" s="4"/>
      <c r="C131" s="7" t="str">
        <f t="shared" si="1"/>
        <v/>
      </c>
      <c r="D131" s="4" t="str">
        <f t="shared" si="9"/>
        <v/>
      </c>
      <c r="E131" s="4" t="str">
        <f t="array" ref="E131">XLOOKUP(A131,'Dados Funil'!$A:$A,'Dados Funil'!$K:$K,"")</f>
        <v/>
      </c>
      <c r="F131" s="4" t="str">
        <f t="array" ref="F131">XLOOKUP(A131,'Dados Funil'!$A:$A,'Dados Funil'!$L:$L,"")</f>
        <v/>
      </c>
      <c r="G131" s="4"/>
      <c r="H131" s="4"/>
      <c r="I131" s="7" t="str">
        <f t="shared" si="2"/>
        <v/>
      </c>
      <c r="J131" s="4" t="str">
        <f t="shared" si="10"/>
        <v/>
      </c>
      <c r="K131" s="4" t="str">
        <f t="array" ref="K131">XLOOKUP(G131,'Dados Funil'!A:A,'Dados Funil'!O:O,"")</f>
        <v/>
      </c>
      <c r="L131" s="4"/>
      <c r="M131" s="4"/>
      <c r="N131" s="7" t="str">
        <f t="shared" si="3"/>
        <v/>
      </c>
      <c r="O131" s="4" t="str">
        <f t="shared" si="11"/>
        <v/>
      </c>
      <c r="P131" s="4" t="str">
        <f t="array" ref="P131">XLOOKUP(L131,'Dados Funil'!A:A,'Dados Funil'!AM:AM,"")</f>
        <v/>
      </c>
      <c r="Q131" s="4" t="str">
        <f t="array" ref="Q131">XLOOKUP(L131,'Dados Funil'!A:A,'Dados Funil'!AN:AN,"")</f>
        <v/>
      </c>
      <c r="T131" s="7" t="str">
        <f t="shared" si="4"/>
        <v/>
      </c>
      <c r="U131" s="4" t="str">
        <f t="shared" si="12"/>
        <v/>
      </c>
      <c r="V131" s="4" t="str">
        <f t="array" ref="V131">XLOOKUP(R131,'Dados Funil'!$A:$A,'Dados Funil'!$K:$K,"")</f>
        <v/>
      </c>
      <c r="W131" s="4" t="str">
        <f t="array" ref="W131">XLOOKUP(R131,'Dados Funil'!$A:$A,'Dados Funil'!$L:$L,"")</f>
        <v/>
      </c>
      <c r="X131" s="4"/>
      <c r="Y131" s="4"/>
      <c r="Z131" s="7" t="str">
        <f t="shared" si="5"/>
        <v/>
      </c>
      <c r="AA131" s="4" t="str">
        <f t="shared" si="13"/>
        <v/>
      </c>
      <c r="AB131" s="4" t="str">
        <f t="array" ref="AB131">XLOOKUP(X131,'Dados Funil'!A:A,'Dados Funil'!O:O,"")</f>
        <v/>
      </c>
      <c r="AE131" s="7" t="str">
        <f t="shared" si="6"/>
        <v/>
      </c>
      <c r="AG131" s="4" t="str">
        <f t="array" ref="AG131">XLOOKUP(AC131,'Dados Funil'!A:A,'Dados Funil'!AM:AM,"")</f>
        <v/>
      </c>
      <c r="AH131" s="4" t="str">
        <f t="array" ref="AH131">XLOOKUP(AC131,'Dados Funil'!A:A,'Dados Funil'!AN:AN,"")</f>
        <v/>
      </c>
    </row>
    <row r="132">
      <c r="A132" s="4"/>
      <c r="B132" s="4"/>
      <c r="C132" s="7" t="str">
        <f t="shared" si="1"/>
        <v/>
      </c>
      <c r="D132" s="4" t="str">
        <f t="shared" si="9"/>
        <v/>
      </c>
      <c r="E132" s="4" t="str">
        <f t="array" ref="E132">XLOOKUP(A132,'Dados Funil'!$A:$A,'Dados Funil'!$K:$K,"")</f>
        <v/>
      </c>
      <c r="F132" s="4" t="str">
        <f t="array" ref="F132">XLOOKUP(A132,'Dados Funil'!$A:$A,'Dados Funil'!$L:$L,"")</f>
        <v/>
      </c>
      <c r="G132" s="4"/>
      <c r="H132" s="4"/>
      <c r="I132" s="7" t="str">
        <f t="shared" si="2"/>
        <v/>
      </c>
      <c r="J132" s="4" t="str">
        <f t="shared" si="10"/>
        <v/>
      </c>
      <c r="K132" s="4" t="str">
        <f t="array" ref="K132">XLOOKUP(G132,'Dados Funil'!A:A,'Dados Funil'!O:O,"")</f>
        <v/>
      </c>
      <c r="L132" s="4"/>
      <c r="M132" s="4"/>
      <c r="N132" s="7" t="str">
        <f t="shared" si="3"/>
        <v/>
      </c>
      <c r="O132" s="4" t="str">
        <f t="shared" si="11"/>
        <v/>
      </c>
      <c r="P132" s="4" t="str">
        <f t="array" ref="P132">XLOOKUP(L132,'Dados Funil'!A:A,'Dados Funil'!AM:AM,"")</f>
        <v/>
      </c>
      <c r="Q132" s="4" t="str">
        <f t="array" ref="Q132">XLOOKUP(L132,'Dados Funil'!A:A,'Dados Funil'!AN:AN,"")</f>
        <v/>
      </c>
      <c r="T132" s="7" t="str">
        <f t="shared" si="4"/>
        <v/>
      </c>
      <c r="U132" s="4" t="str">
        <f t="shared" si="12"/>
        <v/>
      </c>
      <c r="V132" s="4" t="str">
        <f t="array" ref="V132">XLOOKUP(R132,'Dados Funil'!$A:$A,'Dados Funil'!$K:$K,"")</f>
        <v/>
      </c>
      <c r="W132" s="4" t="str">
        <f t="array" ref="W132">XLOOKUP(R132,'Dados Funil'!$A:$A,'Dados Funil'!$L:$L,"")</f>
        <v/>
      </c>
      <c r="X132" s="4"/>
      <c r="Y132" s="4"/>
      <c r="Z132" s="7" t="str">
        <f t="shared" si="5"/>
        <v/>
      </c>
      <c r="AA132" s="4" t="str">
        <f t="shared" si="13"/>
        <v/>
      </c>
      <c r="AB132" s="4" t="str">
        <f t="array" ref="AB132">XLOOKUP(X132,'Dados Funil'!A:A,'Dados Funil'!O:O,"")</f>
        <v/>
      </c>
      <c r="AE132" s="7" t="str">
        <f t="shared" si="6"/>
        <v/>
      </c>
      <c r="AG132" s="4" t="str">
        <f t="array" ref="AG132">XLOOKUP(AC132,'Dados Funil'!A:A,'Dados Funil'!AM:AM,"")</f>
        <v/>
      </c>
      <c r="AH132" s="4" t="str">
        <f t="array" ref="AH132">XLOOKUP(AC132,'Dados Funil'!A:A,'Dados Funil'!AN:AN,"")</f>
        <v/>
      </c>
    </row>
    <row r="133">
      <c r="A133" s="4"/>
      <c r="B133" s="4"/>
      <c r="C133" s="7" t="str">
        <f t="shared" si="1"/>
        <v/>
      </c>
      <c r="D133" s="4" t="str">
        <f t="shared" si="9"/>
        <v/>
      </c>
      <c r="E133" s="4" t="str">
        <f t="array" ref="E133">XLOOKUP(A133,'Dados Funil'!$A:$A,'Dados Funil'!$K:$K,"")</f>
        <v/>
      </c>
      <c r="F133" s="4" t="str">
        <f t="array" ref="F133">XLOOKUP(A133,'Dados Funil'!$A:$A,'Dados Funil'!$L:$L,"")</f>
        <v/>
      </c>
      <c r="G133" s="4"/>
      <c r="H133" s="4"/>
      <c r="I133" s="7" t="str">
        <f t="shared" si="2"/>
        <v/>
      </c>
      <c r="J133" s="4" t="str">
        <f t="shared" si="10"/>
        <v/>
      </c>
      <c r="K133" s="4" t="str">
        <f t="array" ref="K133">XLOOKUP(G133,'Dados Funil'!A:A,'Dados Funil'!O:O,"")</f>
        <v/>
      </c>
      <c r="L133" s="4"/>
      <c r="M133" s="4"/>
      <c r="N133" s="7" t="str">
        <f t="shared" si="3"/>
        <v/>
      </c>
      <c r="O133" s="4" t="str">
        <f t="shared" si="11"/>
        <v/>
      </c>
      <c r="P133" s="4" t="str">
        <f t="array" ref="P133">XLOOKUP(L133,'Dados Funil'!A:A,'Dados Funil'!AM:AM,"")</f>
        <v/>
      </c>
      <c r="Q133" s="4" t="str">
        <f t="array" ref="Q133">XLOOKUP(L133,'Dados Funil'!A:A,'Dados Funil'!AN:AN,"")</f>
        <v/>
      </c>
      <c r="T133" s="7" t="str">
        <f t="shared" si="4"/>
        <v/>
      </c>
      <c r="U133" s="4" t="str">
        <f t="shared" si="12"/>
        <v/>
      </c>
      <c r="V133" s="4" t="str">
        <f t="array" ref="V133">XLOOKUP(R133,'Dados Funil'!$A:$A,'Dados Funil'!$K:$K,"")</f>
        <v/>
      </c>
      <c r="W133" s="4" t="str">
        <f t="array" ref="W133">XLOOKUP(R133,'Dados Funil'!$A:$A,'Dados Funil'!$L:$L,"")</f>
        <v/>
      </c>
      <c r="X133" s="4"/>
      <c r="Y133" s="4"/>
      <c r="Z133" s="7" t="str">
        <f t="shared" si="5"/>
        <v/>
      </c>
      <c r="AA133" s="4" t="str">
        <f t="shared" si="13"/>
        <v/>
      </c>
      <c r="AB133" s="4" t="str">
        <f t="array" ref="AB133">XLOOKUP(X133,'Dados Funil'!A:A,'Dados Funil'!O:O,"")</f>
        <v/>
      </c>
      <c r="AE133" s="7" t="str">
        <f t="shared" si="6"/>
        <v/>
      </c>
      <c r="AG133" s="4" t="str">
        <f t="array" ref="AG133">XLOOKUP(AC133,'Dados Funil'!A:A,'Dados Funil'!AM:AM,"")</f>
        <v/>
      </c>
      <c r="AH133" s="4" t="str">
        <f t="array" ref="AH133">XLOOKUP(AC133,'Dados Funil'!A:A,'Dados Funil'!AN:AN,"")</f>
        <v/>
      </c>
    </row>
    <row r="134">
      <c r="A134" s="4"/>
      <c r="B134" s="4"/>
      <c r="C134" s="7" t="str">
        <f t="shared" si="1"/>
        <v/>
      </c>
      <c r="D134" s="4" t="str">
        <f t="shared" si="9"/>
        <v/>
      </c>
      <c r="E134" s="4" t="str">
        <f t="array" ref="E134">XLOOKUP(A134,'Dados Funil'!$A:$A,'Dados Funil'!$K:$K,"")</f>
        <v/>
      </c>
      <c r="F134" s="4" t="str">
        <f t="array" ref="F134">XLOOKUP(A134,'Dados Funil'!$A:$A,'Dados Funil'!$L:$L,"")</f>
        <v/>
      </c>
      <c r="G134" s="4"/>
      <c r="H134" s="4"/>
      <c r="I134" s="7" t="str">
        <f t="shared" si="2"/>
        <v/>
      </c>
      <c r="J134" s="4" t="str">
        <f t="shared" si="10"/>
        <v/>
      </c>
      <c r="K134" s="4" t="str">
        <f t="array" ref="K134">XLOOKUP(G134,'Dados Funil'!A:A,'Dados Funil'!O:O,"")</f>
        <v/>
      </c>
      <c r="L134" s="4"/>
      <c r="M134" s="4"/>
      <c r="N134" s="7" t="str">
        <f t="shared" si="3"/>
        <v/>
      </c>
      <c r="O134" s="4" t="str">
        <f t="shared" si="11"/>
        <v/>
      </c>
      <c r="P134" s="4" t="str">
        <f t="array" ref="P134">XLOOKUP(L134,'Dados Funil'!A:A,'Dados Funil'!AM:AM,"")</f>
        <v/>
      </c>
      <c r="Q134" s="4" t="str">
        <f t="array" ref="Q134">XLOOKUP(L134,'Dados Funil'!A:A,'Dados Funil'!AN:AN,"")</f>
        <v/>
      </c>
      <c r="T134" s="7" t="str">
        <f t="shared" si="4"/>
        <v/>
      </c>
      <c r="U134" s="4" t="str">
        <f t="shared" si="12"/>
        <v/>
      </c>
      <c r="V134" s="4" t="str">
        <f t="array" ref="V134">XLOOKUP(R134,'Dados Funil'!$A:$A,'Dados Funil'!$K:$K,"")</f>
        <v/>
      </c>
      <c r="W134" s="4" t="str">
        <f t="array" ref="W134">XLOOKUP(R134,'Dados Funil'!$A:$A,'Dados Funil'!$L:$L,"")</f>
        <v/>
      </c>
      <c r="X134" s="4"/>
      <c r="Y134" s="4"/>
      <c r="Z134" s="7" t="str">
        <f t="shared" si="5"/>
        <v/>
      </c>
      <c r="AA134" s="4" t="str">
        <f t="shared" si="13"/>
        <v/>
      </c>
      <c r="AB134" s="4" t="str">
        <f t="array" ref="AB134">XLOOKUP(X134,'Dados Funil'!A:A,'Dados Funil'!O:O,"")</f>
        <v/>
      </c>
      <c r="AE134" s="7" t="str">
        <f t="shared" si="6"/>
        <v/>
      </c>
      <c r="AG134" s="4" t="str">
        <f t="array" ref="AG134">XLOOKUP(AC134,'Dados Funil'!A:A,'Dados Funil'!AM:AM,"")</f>
        <v/>
      </c>
      <c r="AH134" s="4" t="str">
        <f t="array" ref="AH134">XLOOKUP(AC134,'Dados Funil'!A:A,'Dados Funil'!AN:AN,"")</f>
        <v/>
      </c>
    </row>
    <row r="135">
      <c r="A135" s="4"/>
      <c r="B135" s="4"/>
      <c r="C135" s="7" t="str">
        <f t="shared" si="1"/>
        <v/>
      </c>
      <c r="D135" s="4" t="str">
        <f t="shared" si="9"/>
        <v/>
      </c>
      <c r="E135" s="4" t="str">
        <f t="array" ref="E135">XLOOKUP(A135,'Dados Funil'!$A:$A,'Dados Funil'!$K:$K,"")</f>
        <v/>
      </c>
      <c r="F135" s="4" t="str">
        <f t="array" ref="F135">XLOOKUP(A135,'Dados Funil'!$A:$A,'Dados Funil'!$L:$L,"")</f>
        <v/>
      </c>
      <c r="G135" s="4"/>
      <c r="H135" s="4"/>
      <c r="I135" s="7" t="str">
        <f t="shared" si="2"/>
        <v/>
      </c>
      <c r="J135" s="4" t="str">
        <f t="shared" si="10"/>
        <v/>
      </c>
      <c r="K135" s="4" t="str">
        <f t="array" ref="K135">XLOOKUP(G135,'Dados Funil'!A:A,'Dados Funil'!O:O,"")</f>
        <v/>
      </c>
      <c r="L135" s="4"/>
      <c r="M135" s="4"/>
      <c r="N135" s="7" t="str">
        <f t="shared" si="3"/>
        <v/>
      </c>
      <c r="O135" s="4" t="str">
        <f t="shared" si="11"/>
        <v/>
      </c>
      <c r="P135" s="4" t="str">
        <f t="array" ref="P135">XLOOKUP(L135,'Dados Funil'!A:A,'Dados Funil'!AM:AM,"")</f>
        <v/>
      </c>
      <c r="Q135" s="4" t="str">
        <f t="array" ref="Q135">XLOOKUP(L135,'Dados Funil'!A:A,'Dados Funil'!AN:AN,"")</f>
        <v/>
      </c>
      <c r="T135" s="7" t="str">
        <f t="shared" si="4"/>
        <v/>
      </c>
      <c r="U135" s="4" t="str">
        <f t="shared" si="12"/>
        <v/>
      </c>
      <c r="V135" s="4" t="str">
        <f t="array" ref="V135">XLOOKUP(R135,'Dados Funil'!$A:$A,'Dados Funil'!$K:$K,"")</f>
        <v/>
      </c>
      <c r="W135" s="4" t="str">
        <f t="array" ref="W135">XLOOKUP(R135,'Dados Funil'!$A:$A,'Dados Funil'!$L:$L,"")</f>
        <v/>
      </c>
      <c r="X135" s="4"/>
      <c r="Y135" s="4"/>
      <c r="Z135" s="7" t="str">
        <f t="shared" si="5"/>
        <v/>
      </c>
      <c r="AA135" s="4" t="str">
        <f t="shared" si="13"/>
        <v/>
      </c>
      <c r="AB135" s="4" t="str">
        <f t="array" ref="AB135">XLOOKUP(X135,'Dados Funil'!A:A,'Dados Funil'!O:O,"")</f>
        <v/>
      </c>
      <c r="AE135" s="7" t="str">
        <f t="shared" si="6"/>
        <v/>
      </c>
      <c r="AG135" s="4" t="str">
        <f t="array" ref="AG135">XLOOKUP(AC135,'Dados Funil'!A:A,'Dados Funil'!AM:AM,"")</f>
        <v/>
      </c>
      <c r="AH135" s="4" t="str">
        <f t="array" ref="AH135">XLOOKUP(AC135,'Dados Funil'!A:A,'Dados Funil'!AN:AN,"")</f>
        <v/>
      </c>
    </row>
    <row r="136">
      <c r="A136" s="4"/>
      <c r="B136" s="4"/>
      <c r="C136" s="7" t="str">
        <f t="shared" si="1"/>
        <v/>
      </c>
      <c r="D136" s="4" t="str">
        <f t="shared" si="9"/>
        <v/>
      </c>
      <c r="E136" s="4" t="str">
        <f t="array" ref="E136">XLOOKUP(A136,'Dados Funil'!$A:$A,'Dados Funil'!$K:$K,"")</f>
        <v/>
      </c>
      <c r="F136" s="4" t="str">
        <f t="array" ref="F136">XLOOKUP(A136,'Dados Funil'!$A:$A,'Dados Funil'!$L:$L,"")</f>
        <v/>
      </c>
      <c r="G136" s="4"/>
      <c r="H136" s="4"/>
      <c r="I136" s="7" t="str">
        <f t="shared" si="2"/>
        <v/>
      </c>
      <c r="J136" s="4" t="str">
        <f t="shared" si="10"/>
        <v/>
      </c>
      <c r="K136" s="4" t="str">
        <f t="array" ref="K136">XLOOKUP(G136,'Dados Funil'!A:A,'Dados Funil'!O:O,"")</f>
        <v/>
      </c>
      <c r="L136" s="4"/>
      <c r="M136" s="4"/>
      <c r="N136" s="7" t="str">
        <f t="shared" si="3"/>
        <v/>
      </c>
      <c r="O136" s="4" t="str">
        <f t="shared" si="11"/>
        <v/>
      </c>
      <c r="P136" s="4" t="str">
        <f t="array" ref="P136">XLOOKUP(L136,'Dados Funil'!A:A,'Dados Funil'!AM:AM,"")</f>
        <v/>
      </c>
      <c r="Q136" s="4" t="str">
        <f t="array" ref="Q136">XLOOKUP(L136,'Dados Funil'!A:A,'Dados Funil'!AN:AN,"")</f>
        <v/>
      </c>
      <c r="T136" s="7" t="str">
        <f t="shared" si="4"/>
        <v/>
      </c>
      <c r="U136" s="4" t="str">
        <f t="shared" si="12"/>
        <v/>
      </c>
      <c r="V136" s="4" t="str">
        <f t="array" ref="V136">XLOOKUP(R136,'Dados Funil'!$A:$A,'Dados Funil'!$K:$K,"")</f>
        <v/>
      </c>
      <c r="W136" s="4" t="str">
        <f t="array" ref="W136">XLOOKUP(R136,'Dados Funil'!$A:$A,'Dados Funil'!$L:$L,"")</f>
        <v/>
      </c>
      <c r="X136" s="4"/>
      <c r="Y136" s="4"/>
      <c r="Z136" s="7" t="str">
        <f t="shared" si="5"/>
        <v/>
      </c>
      <c r="AA136" s="4" t="str">
        <f t="shared" si="13"/>
        <v/>
      </c>
      <c r="AB136" s="4" t="str">
        <f t="array" ref="AB136">XLOOKUP(X136,'Dados Funil'!A:A,'Dados Funil'!O:O,"")</f>
        <v/>
      </c>
      <c r="AE136" s="7" t="str">
        <f t="shared" si="6"/>
        <v/>
      </c>
      <c r="AG136" s="4" t="str">
        <f t="array" ref="AG136">XLOOKUP(AC136,'Dados Funil'!A:A,'Dados Funil'!AM:AM,"")</f>
        <v/>
      </c>
      <c r="AH136" s="4" t="str">
        <f t="array" ref="AH136">XLOOKUP(AC136,'Dados Funil'!A:A,'Dados Funil'!AN:AN,"")</f>
        <v/>
      </c>
    </row>
    <row r="137">
      <c r="A137" s="4"/>
      <c r="B137" s="4"/>
      <c r="C137" s="7" t="str">
        <f t="shared" si="1"/>
        <v/>
      </c>
      <c r="D137" s="4" t="str">
        <f t="shared" si="9"/>
        <v/>
      </c>
      <c r="E137" s="4" t="str">
        <f t="array" ref="E137">XLOOKUP(A137,'Dados Funil'!$A:$A,'Dados Funil'!$K:$K,"")</f>
        <v/>
      </c>
      <c r="F137" s="4" t="str">
        <f t="array" ref="F137">XLOOKUP(A137,'Dados Funil'!$A:$A,'Dados Funil'!$L:$L,"")</f>
        <v/>
      </c>
      <c r="G137" s="4"/>
      <c r="H137" s="4"/>
      <c r="I137" s="7" t="str">
        <f t="shared" si="2"/>
        <v/>
      </c>
      <c r="J137" s="4" t="str">
        <f t="shared" si="10"/>
        <v/>
      </c>
      <c r="K137" s="4" t="str">
        <f t="array" ref="K137">XLOOKUP(G137,'Dados Funil'!A:A,'Dados Funil'!O:O,"")</f>
        <v/>
      </c>
      <c r="L137" s="4"/>
      <c r="M137" s="4"/>
      <c r="N137" s="7" t="str">
        <f t="shared" si="3"/>
        <v/>
      </c>
      <c r="O137" s="4" t="str">
        <f t="shared" si="11"/>
        <v/>
      </c>
      <c r="P137" s="4" t="str">
        <f t="array" ref="P137">XLOOKUP(L137,'Dados Funil'!A:A,'Dados Funil'!AM:AM,"")</f>
        <v/>
      </c>
      <c r="Q137" s="4" t="str">
        <f t="array" ref="Q137">XLOOKUP(L137,'Dados Funil'!A:A,'Dados Funil'!AN:AN,"")</f>
        <v/>
      </c>
      <c r="T137" s="7" t="str">
        <f t="shared" si="4"/>
        <v/>
      </c>
      <c r="U137" s="4" t="str">
        <f t="shared" si="12"/>
        <v/>
      </c>
      <c r="V137" s="4" t="str">
        <f t="array" ref="V137">XLOOKUP(R137,'Dados Funil'!$A:$A,'Dados Funil'!$K:$K,"")</f>
        <v/>
      </c>
      <c r="W137" s="4" t="str">
        <f t="array" ref="W137">XLOOKUP(R137,'Dados Funil'!$A:$A,'Dados Funil'!$L:$L,"")</f>
        <v/>
      </c>
      <c r="X137" s="4"/>
      <c r="Y137" s="4"/>
      <c r="Z137" s="7" t="str">
        <f t="shared" si="5"/>
        <v/>
      </c>
      <c r="AA137" s="4" t="str">
        <f t="shared" si="13"/>
        <v/>
      </c>
      <c r="AB137" s="4" t="str">
        <f t="array" ref="AB137">XLOOKUP(X137,'Dados Funil'!A:A,'Dados Funil'!O:O,"")</f>
        <v/>
      </c>
      <c r="AE137" s="7" t="str">
        <f t="shared" si="6"/>
        <v/>
      </c>
      <c r="AG137" s="4" t="str">
        <f t="array" ref="AG137">XLOOKUP(AC137,'Dados Funil'!A:A,'Dados Funil'!AM:AM,"")</f>
        <v/>
      </c>
      <c r="AH137" s="4" t="str">
        <f t="array" ref="AH137">XLOOKUP(AC137,'Dados Funil'!A:A,'Dados Funil'!AN:AN,"")</f>
        <v/>
      </c>
    </row>
    <row r="138">
      <c r="A138" s="4"/>
      <c r="B138" s="4"/>
      <c r="C138" s="7" t="str">
        <f t="shared" si="1"/>
        <v/>
      </c>
      <c r="D138" s="4" t="str">
        <f t="shared" si="9"/>
        <v/>
      </c>
      <c r="E138" s="4" t="str">
        <f t="array" ref="E138">XLOOKUP(A138,'Dados Funil'!$A:$A,'Dados Funil'!$K:$K,"")</f>
        <v/>
      </c>
      <c r="F138" s="4" t="str">
        <f t="array" ref="F138">XLOOKUP(A138,'Dados Funil'!$A:$A,'Dados Funil'!$L:$L,"")</f>
        <v/>
      </c>
      <c r="G138" s="4"/>
      <c r="H138" s="4"/>
      <c r="I138" s="7" t="str">
        <f t="shared" si="2"/>
        <v/>
      </c>
      <c r="J138" s="4" t="str">
        <f t="shared" si="10"/>
        <v/>
      </c>
      <c r="K138" s="4" t="str">
        <f t="array" ref="K138">XLOOKUP(G138,'Dados Funil'!A:A,'Dados Funil'!O:O,"")</f>
        <v/>
      </c>
      <c r="L138" s="4"/>
      <c r="M138" s="4"/>
      <c r="N138" s="7" t="str">
        <f t="shared" si="3"/>
        <v/>
      </c>
      <c r="O138" s="4" t="str">
        <f t="shared" si="11"/>
        <v/>
      </c>
      <c r="P138" s="4" t="str">
        <f t="array" ref="P138">XLOOKUP(L138,'Dados Funil'!A:A,'Dados Funil'!AM:AM,"")</f>
        <v/>
      </c>
      <c r="Q138" s="4" t="str">
        <f t="array" ref="Q138">XLOOKUP(L138,'Dados Funil'!A:A,'Dados Funil'!AN:AN,"")</f>
        <v/>
      </c>
      <c r="T138" s="7" t="str">
        <f t="shared" si="4"/>
        <v/>
      </c>
      <c r="U138" s="4" t="str">
        <f t="shared" si="12"/>
        <v/>
      </c>
      <c r="V138" s="4" t="str">
        <f t="array" ref="V138">XLOOKUP(R138,'Dados Funil'!$A:$A,'Dados Funil'!$K:$K,"")</f>
        <v/>
      </c>
      <c r="W138" s="4" t="str">
        <f t="array" ref="W138">XLOOKUP(R138,'Dados Funil'!$A:$A,'Dados Funil'!$L:$L,"")</f>
        <v/>
      </c>
      <c r="X138" s="4"/>
      <c r="Y138" s="4"/>
      <c r="Z138" s="7" t="str">
        <f t="shared" si="5"/>
        <v/>
      </c>
      <c r="AA138" s="4" t="str">
        <f t="shared" si="13"/>
        <v/>
      </c>
      <c r="AB138" s="4" t="str">
        <f t="array" ref="AB138">XLOOKUP(X138,'Dados Funil'!A:A,'Dados Funil'!O:O,"")</f>
        <v/>
      </c>
      <c r="AE138" s="7" t="str">
        <f t="shared" si="6"/>
        <v/>
      </c>
      <c r="AG138" s="4" t="str">
        <f t="array" ref="AG138">XLOOKUP(AC138,'Dados Funil'!A:A,'Dados Funil'!AM:AM,"")</f>
        <v/>
      </c>
      <c r="AH138" s="4" t="str">
        <f t="array" ref="AH138">XLOOKUP(AC138,'Dados Funil'!A:A,'Dados Funil'!AN:AN,"")</f>
        <v/>
      </c>
    </row>
    <row r="139">
      <c r="A139" s="4"/>
      <c r="B139" s="4"/>
      <c r="C139" s="7" t="str">
        <f t="shared" si="1"/>
        <v/>
      </c>
      <c r="D139" s="4" t="str">
        <f t="shared" si="9"/>
        <v/>
      </c>
      <c r="E139" s="4" t="str">
        <f t="array" ref="E139">XLOOKUP(A139,'Dados Funil'!$A:$A,'Dados Funil'!$K:$K,"")</f>
        <v/>
      </c>
      <c r="F139" s="4" t="str">
        <f t="array" ref="F139">XLOOKUP(A139,'Dados Funil'!$A:$A,'Dados Funil'!$L:$L,"")</f>
        <v/>
      </c>
      <c r="G139" s="4"/>
      <c r="H139" s="4"/>
      <c r="I139" s="7" t="str">
        <f t="shared" si="2"/>
        <v/>
      </c>
      <c r="J139" s="4" t="str">
        <f t="shared" si="10"/>
        <v/>
      </c>
      <c r="K139" s="4" t="str">
        <f t="array" ref="K139">XLOOKUP(G139,'Dados Funil'!A:A,'Dados Funil'!O:O,"")</f>
        <v/>
      </c>
      <c r="L139" s="4"/>
      <c r="M139" s="4"/>
      <c r="N139" s="7" t="str">
        <f t="shared" si="3"/>
        <v/>
      </c>
      <c r="O139" s="4" t="str">
        <f t="shared" si="11"/>
        <v/>
      </c>
      <c r="P139" s="4" t="str">
        <f t="array" ref="P139">XLOOKUP(L139,'Dados Funil'!A:A,'Dados Funil'!AM:AM,"")</f>
        <v/>
      </c>
      <c r="Q139" s="4" t="str">
        <f t="array" ref="Q139">XLOOKUP(L139,'Dados Funil'!A:A,'Dados Funil'!AN:AN,"")</f>
        <v/>
      </c>
      <c r="T139" s="7" t="str">
        <f t="shared" si="4"/>
        <v/>
      </c>
      <c r="U139" s="4" t="str">
        <f t="shared" si="12"/>
        <v/>
      </c>
      <c r="V139" s="4" t="str">
        <f t="array" ref="V139">XLOOKUP(R139,'Dados Funil'!$A:$A,'Dados Funil'!$K:$K,"")</f>
        <v/>
      </c>
      <c r="W139" s="4" t="str">
        <f t="array" ref="W139">XLOOKUP(R139,'Dados Funil'!$A:$A,'Dados Funil'!$L:$L,"")</f>
        <v/>
      </c>
      <c r="X139" s="4"/>
      <c r="Y139" s="4"/>
      <c r="Z139" s="7" t="str">
        <f t="shared" si="5"/>
        <v/>
      </c>
      <c r="AA139" s="4" t="str">
        <f t="shared" si="13"/>
        <v/>
      </c>
      <c r="AB139" s="4" t="str">
        <f t="array" ref="AB139">XLOOKUP(X139,'Dados Funil'!A:A,'Dados Funil'!O:O,"")</f>
        <v/>
      </c>
      <c r="AE139" s="7" t="str">
        <f t="shared" si="6"/>
        <v/>
      </c>
      <c r="AG139" s="4" t="str">
        <f t="array" ref="AG139">XLOOKUP(AC139,'Dados Funil'!A:A,'Dados Funil'!AM:AM,"")</f>
        <v/>
      </c>
      <c r="AH139" s="4" t="str">
        <f t="array" ref="AH139">XLOOKUP(AC139,'Dados Funil'!A:A,'Dados Funil'!AN:AN,"")</f>
        <v/>
      </c>
    </row>
    <row r="140">
      <c r="A140" s="4"/>
      <c r="B140" s="4"/>
      <c r="C140" s="7" t="str">
        <f t="shared" si="1"/>
        <v/>
      </c>
      <c r="D140" s="4" t="str">
        <f t="shared" si="9"/>
        <v/>
      </c>
      <c r="E140" s="4" t="str">
        <f t="array" ref="E140">XLOOKUP(A140,'Dados Funil'!$A:$A,'Dados Funil'!$K:$K,"")</f>
        <v/>
      </c>
      <c r="F140" s="4" t="str">
        <f t="array" ref="F140">XLOOKUP(A140,'Dados Funil'!$A:$A,'Dados Funil'!$L:$L,"")</f>
        <v/>
      </c>
      <c r="G140" s="4"/>
      <c r="H140" s="4"/>
      <c r="I140" s="7" t="str">
        <f t="shared" si="2"/>
        <v/>
      </c>
      <c r="J140" s="4" t="str">
        <f t="shared" si="10"/>
        <v/>
      </c>
      <c r="K140" s="4" t="str">
        <f t="array" ref="K140">XLOOKUP(G140,'Dados Funil'!A:A,'Dados Funil'!O:O,"")</f>
        <v/>
      </c>
      <c r="L140" s="4"/>
      <c r="M140" s="4"/>
      <c r="N140" s="7" t="str">
        <f t="shared" si="3"/>
        <v/>
      </c>
      <c r="O140" s="4" t="str">
        <f t="shared" si="11"/>
        <v/>
      </c>
      <c r="P140" s="4" t="str">
        <f t="array" ref="P140">XLOOKUP(L140,'Dados Funil'!A:A,'Dados Funil'!AM:AM,"")</f>
        <v/>
      </c>
      <c r="Q140" s="4" t="str">
        <f t="array" ref="Q140">XLOOKUP(L140,'Dados Funil'!A:A,'Dados Funil'!AN:AN,"")</f>
        <v/>
      </c>
      <c r="T140" s="7" t="str">
        <f t="shared" si="4"/>
        <v/>
      </c>
      <c r="U140" s="4" t="str">
        <f t="shared" si="12"/>
        <v/>
      </c>
      <c r="V140" s="4" t="str">
        <f t="array" ref="V140">XLOOKUP(R140,'Dados Funil'!$A:$A,'Dados Funil'!$K:$K,"")</f>
        <v/>
      </c>
      <c r="W140" s="4" t="str">
        <f t="array" ref="W140">XLOOKUP(R140,'Dados Funil'!$A:$A,'Dados Funil'!$L:$L,"")</f>
        <v/>
      </c>
      <c r="X140" s="4"/>
      <c r="Y140" s="4"/>
      <c r="Z140" s="7" t="str">
        <f t="shared" si="5"/>
        <v/>
      </c>
      <c r="AA140" s="4" t="str">
        <f t="shared" si="13"/>
        <v/>
      </c>
      <c r="AB140" s="4" t="str">
        <f t="array" ref="AB140">XLOOKUP(X140,'Dados Funil'!A:A,'Dados Funil'!O:O,"")</f>
        <v/>
      </c>
      <c r="AE140" s="7" t="str">
        <f t="shared" si="6"/>
        <v/>
      </c>
      <c r="AG140" s="4" t="str">
        <f t="array" ref="AG140">XLOOKUP(AC140,'Dados Funil'!A:A,'Dados Funil'!AM:AM,"")</f>
        <v/>
      </c>
      <c r="AH140" s="4" t="str">
        <f t="array" ref="AH140">XLOOKUP(AC140,'Dados Funil'!A:A,'Dados Funil'!AN:AN,"")</f>
        <v/>
      </c>
    </row>
    <row r="141">
      <c r="A141" s="4"/>
      <c r="B141" s="4"/>
      <c r="C141" s="7" t="str">
        <f t="shared" si="1"/>
        <v/>
      </c>
      <c r="D141" s="4" t="str">
        <f t="shared" si="9"/>
        <v/>
      </c>
      <c r="E141" s="4" t="str">
        <f t="array" ref="E141">XLOOKUP(A141,'Dados Funil'!$A:$A,'Dados Funil'!$K:$K,"")</f>
        <v/>
      </c>
      <c r="F141" s="4" t="str">
        <f t="array" ref="F141">XLOOKUP(A141,'Dados Funil'!$A:$A,'Dados Funil'!$L:$L,"")</f>
        <v/>
      </c>
      <c r="G141" s="4"/>
      <c r="H141" s="4"/>
      <c r="I141" s="7" t="str">
        <f t="shared" si="2"/>
        <v/>
      </c>
      <c r="J141" s="4" t="str">
        <f t="shared" si="10"/>
        <v/>
      </c>
      <c r="K141" s="4" t="str">
        <f t="array" ref="K141">XLOOKUP(G141,'Dados Funil'!A:A,'Dados Funil'!O:O,"")</f>
        <v/>
      </c>
      <c r="L141" s="4"/>
      <c r="M141" s="4"/>
      <c r="N141" s="7" t="str">
        <f t="shared" si="3"/>
        <v/>
      </c>
      <c r="O141" s="4" t="str">
        <f t="shared" si="11"/>
        <v/>
      </c>
      <c r="P141" s="4" t="str">
        <f t="array" ref="P141">XLOOKUP(L141,'Dados Funil'!A:A,'Dados Funil'!AM:AM,"")</f>
        <v/>
      </c>
      <c r="Q141" s="4" t="str">
        <f t="array" ref="Q141">XLOOKUP(L141,'Dados Funil'!A:A,'Dados Funil'!AN:AN,"")</f>
        <v/>
      </c>
      <c r="T141" s="7" t="str">
        <f t="shared" si="4"/>
        <v/>
      </c>
      <c r="U141" s="4" t="str">
        <f t="shared" si="12"/>
        <v/>
      </c>
      <c r="V141" s="4" t="str">
        <f t="array" ref="V141">XLOOKUP(R141,'Dados Funil'!$A:$A,'Dados Funil'!$K:$K,"")</f>
        <v/>
      </c>
      <c r="W141" s="4" t="str">
        <f t="array" ref="W141">XLOOKUP(R141,'Dados Funil'!$A:$A,'Dados Funil'!$L:$L,"")</f>
        <v/>
      </c>
      <c r="X141" s="4"/>
      <c r="Y141" s="4"/>
      <c r="Z141" s="7" t="str">
        <f t="shared" si="5"/>
        <v/>
      </c>
      <c r="AA141" s="4" t="str">
        <f t="shared" si="13"/>
        <v/>
      </c>
      <c r="AB141" s="4" t="str">
        <f t="array" ref="AB141">XLOOKUP(X141,'Dados Funil'!A:A,'Dados Funil'!O:O,"")</f>
        <v/>
      </c>
      <c r="AE141" s="7" t="str">
        <f t="shared" si="6"/>
        <v/>
      </c>
      <c r="AG141" s="4" t="str">
        <f t="array" ref="AG141">XLOOKUP(AC141,'Dados Funil'!A:A,'Dados Funil'!AM:AM,"")</f>
        <v/>
      </c>
      <c r="AH141" s="4" t="str">
        <f t="array" ref="AH141">XLOOKUP(AC141,'Dados Funil'!A:A,'Dados Funil'!AN:AN,"")</f>
        <v/>
      </c>
    </row>
    <row r="142">
      <c r="A142" s="4"/>
      <c r="B142" s="4"/>
      <c r="C142" s="7" t="str">
        <f t="shared" si="1"/>
        <v/>
      </c>
      <c r="D142" s="4" t="str">
        <f t="shared" si="9"/>
        <v/>
      </c>
      <c r="E142" s="4" t="str">
        <f t="array" ref="E142">XLOOKUP(A142,'Dados Funil'!$A:$A,'Dados Funil'!$K:$K,"")</f>
        <v/>
      </c>
      <c r="F142" s="4" t="str">
        <f t="array" ref="F142">XLOOKUP(A142,'Dados Funil'!$A:$A,'Dados Funil'!$L:$L,"")</f>
        <v/>
      </c>
      <c r="G142" s="4"/>
      <c r="H142" s="4"/>
      <c r="I142" s="7" t="str">
        <f t="shared" si="2"/>
        <v/>
      </c>
      <c r="J142" s="4" t="str">
        <f t="shared" si="10"/>
        <v/>
      </c>
      <c r="K142" s="4" t="str">
        <f t="array" ref="K142">XLOOKUP(G142,'Dados Funil'!A:A,'Dados Funil'!O:O,"")</f>
        <v/>
      </c>
      <c r="L142" s="4"/>
      <c r="M142" s="4"/>
      <c r="N142" s="7" t="str">
        <f t="shared" si="3"/>
        <v/>
      </c>
      <c r="O142" s="4" t="str">
        <f t="shared" si="11"/>
        <v/>
      </c>
      <c r="P142" s="4" t="str">
        <f t="array" ref="P142">XLOOKUP(L142,'Dados Funil'!A:A,'Dados Funil'!AM:AM,"")</f>
        <v/>
      </c>
      <c r="Q142" s="4" t="str">
        <f t="array" ref="Q142">XLOOKUP(L142,'Dados Funil'!A:A,'Dados Funil'!AN:AN,"")</f>
        <v/>
      </c>
      <c r="T142" s="7" t="str">
        <f t="shared" si="4"/>
        <v/>
      </c>
      <c r="U142" s="4" t="str">
        <f t="shared" si="12"/>
        <v/>
      </c>
      <c r="V142" s="4" t="str">
        <f t="array" ref="V142">XLOOKUP(R142,'Dados Funil'!$A:$A,'Dados Funil'!$K:$K,"")</f>
        <v/>
      </c>
      <c r="W142" s="4" t="str">
        <f t="array" ref="W142">XLOOKUP(R142,'Dados Funil'!$A:$A,'Dados Funil'!$L:$L,"")</f>
        <v/>
      </c>
      <c r="X142" s="4"/>
      <c r="Y142" s="4"/>
      <c r="Z142" s="7" t="str">
        <f t="shared" si="5"/>
        <v/>
      </c>
      <c r="AA142" s="4" t="str">
        <f t="shared" si="13"/>
        <v/>
      </c>
      <c r="AB142" s="4" t="str">
        <f t="array" ref="AB142">XLOOKUP(X142,'Dados Funil'!A:A,'Dados Funil'!O:O,"")</f>
        <v/>
      </c>
      <c r="AE142" s="7" t="str">
        <f t="shared" si="6"/>
        <v/>
      </c>
      <c r="AG142" s="4" t="str">
        <f t="array" ref="AG142">XLOOKUP(AC142,'Dados Funil'!A:A,'Dados Funil'!AM:AM,"")</f>
        <v/>
      </c>
      <c r="AH142" s="4" t="str">
        <f t="array" ref="AH142">XLOOKUP(AC142,'Dados Funil'!A:A,'Dados Funil'!AN:AN,"")</f>
        <v/>
      </c>
    </row>
    <row r="143">
      <c r="A143" s="4"/>
      <c r="B143" s="4"/>
      <c r="C143" s="7" t="str">
        <f t="shared" si="1"/>
        <v/>
      </c>
      <c r="D143" s="4" t="str">
        <f t="shared" si="9"/>
        <v/>
      </c>
      <c r="E143" s="4" t="str">
        <f t="array" ref="E143">XLOOKUP(A143,'Dados Funil'!$A:$A,'Dados Funil'!$K:$K,"")</f>
        <v/>
      </c>
      <c r="F143" s="4" t="str">
        <f t="array" ref="F143">XLOOKUP(A143,'Dados Funil'!$A:$A,'Dados Funil'!$L:$L,"")</f>
        <v/>
      </c>
      <c r="G143" s="4"/>
      <c r="H143" s="4"/>
      <c r="I143" s="7" t="str">
        <f t="shared" si="2"/>
        <v/>
      </c>
      <c r="J143" s="4" t="str">
        <f t="shared" si="10"/>
        <v/>
      </c>
      <c r="K143" s="4" t="str">
        <f t="array" ref="K143">XLOOKUP(G143,'Dados Funil'!A:A,'Dados Funil'!O:O,"")</f>
        <v/>
      </c>
      <c r="L143" s="4"/>
      <c r="M143" s="4"/>
      <c r="N143" s="7" t="str">
        <f t="shared" si="3"/>
        <v/>
      </c>
      <c r="O143" s="4" t="str">
        <f t="shared" si="11"/>
        <v/>
      </c>
      <c r="P143" s="4" t="str">
        <f t="array" ref="P143">XLOOKUP(L143,'Dados Funil'!A:A,'Dados Funil'!AM:AM,"")</f>
        <v/>
      </c>
      <c r="Q143" s="4" t="str">
        <f t="array" ref="Q143">XLOOKUP(L143,'Dados Funil'!A:A,'Dados Funil'!AN:AN,"")</f>
        <v/>
      </c>
      <c r="T143" s="7" t="str">
        <f t="shared" si="4"/>
        <v/>
      </c>
      <c r="U143" s="4" t="str">
        <f t="shared" si="12"/>
        <v/>
      </c>
      <c r="V143" s="4" t="str">
        <f t="array" ref="V143">XLOOKUP(R143,'Dados Funil'!$A:$A,'Dados Funil'!$K:$K,"")</f>
        <v/>
      </c>
      <c r="W143" s="4" t="str">
        <f t="array" ref="W143">XLOOKUP(R143,'Dados Funil'!$A:$A,'Dados Funil'!$L:$L,"")</f>
        <v/>
      </c>
      <c r="X143" s="4"/>
      <c r="Y143" s="4"/>
      <c r="Z143" s="7" t="str">
        <f t="shared" si="5"/>
        <v/>
      </c>
      <c r="AA143" s="4" t="str">
        <f t="shared" si="13"/>
        <v/>
      </c>
      <c r="AB143" s="4" t="str">
        <f t="array" ref="AB143">XLOOKUP(X143,'Dados Funil'!A:A,'Dados Funil'!O:O,"")</f>
        <v/>
      </c>
      <c r="AE143" s="7" t="str">
        <f t="shared" si="6"/>
        <v/>
      </c>
      <c r="AG143" s="4" t="str">
        <f t="array" ref="AG143">XLOOKUP(AC143,'Dados Funil'!A:A,'Dados Funil'!AM:AM,"")</f>
        <v/>
      </c>
      <c r="AH143" s="4" t="str">
        <f t="array" ref="AH143">XLOOKUP(AC143,'Dados Funil'!A:A,'Dados Funil'!AN:AN,"")</f>
        <v/>
      </c>
    </row>
    <row r="144">
      <c r="A144" s="4"/>
      <c r="B144" s="4"/>
      <c r="C144" s="7" t="str">
        <f t="shared" si="1"/>
        <v/>
      </c>
      <c r="D144" s="4" t="str">
        <f t="shared" si="9"/>
        <v/>
      </c>
      <c r="E144" s="4" t="str">
        <f t="array" ref="E144">XLOOKUP(A144,'Dados Funil'!$A:$A,'Dados Funil'!$K:$K,"")</f>
        <v/>
      </c>
      <c r="F144" s="4" t="str">
        <f t="array" ref="F144">XLOOKUP(A144,'Dados Funil'!$A:$A,'Dados Funil'!$L:$L,"")</f>
        <v/>
      </c>
      <c r="G144" s="4"/>
      <c r="H144" s="4"/>
      <c r="I144" s="7" t="str">
        <f t="shared" si="2"/>
        <v/>
      </c>
      <c r="J144" s="4" t="str">
        <f t="shared" si="10"/>
        <v/>
      </c>
      <c r="K144" s="4" t="str">
        <f t="array" ref="K144">XLOOKUP(G144,'Dados Funil'!A:A,'Dados Funil'!O:O,"")</f>
        <v/>
      </c>
      <c r="L144" s="4"/>
      <c r="M144" s="4"/>
      <c r="N144" s="7" t="str">
        <f t="shared" si="3"/>
        <v/>
      </c>
      <c r="O144" s="4" t="str">
        <f t="shared" si="11"/>
        <v/>
      </c>
      <c r="P144" s="4" t="str">
        <f t="array" ref="P144">XLOOKUP(L144,'Dados Funil'!A:A,'Dados Funil'!AM:AM,"")</f>
        <v/>
      </c>
      <c r="Q144" s="4" t="str">
        <f t="array" ref="Q144">XLOOKUP(L144,'Dados Funil'!A:A,'Dados Funil'!AN:AN,"")</f>
        <v/>
      </c>
      <c r="T144" s="7" t="str">
        <f t="shared" si="4"/>
        <v/>
      </c>
      <c r="U144" s="4" t="str">
        <f t="shared" si="12"/>
        <v/>
      </c>
      <c r="V144" s="4" t="str">
        <f t="array" ref="V144">XLOOKUP(R144,'Dados Funil'!$A:$A,'Dados Funil'!$K:$K,"")</f>
        <v/>
      </c>
      <c r="W144" s="4" t="str">
        <f t="array" ref="W144">XLOOKUP(R144,'Dados Funil'!$A:$A,'Dados Funil'!$L:$L,"")</f>
        <v/>
      </c>
      <c r="X144" s="4"/>
      <c r="Y144" s="4"/>
      <c r="Z144" s="7" t="str">
        <f t="shared" si="5"/>
        <v/>
      </c>
      <c r="AA144" s="4" t="str">
        <f t="shared" si="13"/>
        <v/>
      </c>
      <c r="AB144" s="4" t="str">
        <f t="array" ref="AB144">XLOOKUP(X144,'Dados Funil'!A:A,'Dados Funil'!O:O,"")</f>
        <v/>
      </c>
      <c r="AE144" s="7" t="str">
        <f t="shared" si="6"/>
        <v/>
      </c>
      <c r="AG144" s="4" t="str">
        <f t="array" ref="AG144">XLOOKUP(AC144,'Dados Funil'!A:A,'Dados Funil'!AM:AM,"")</f>
        <v/>
      </c>
      <c r="AH144" s="4" t="str">
        <f t="array" ref="AH144">XLOOKUP(AC144,'Dados Funil'!A:A,'Dados Funil'!AN:AN,"")</f>
        <v/>
      </c>
    </row>
    <row r="145">
      <c r="A145" s="4"/>
      <c r="B145" s="4"/>
      <c r="C145" s="7" t="str">
        <f t="shared" si="1"/>
        <v/>
      </c>
      <c r="D145" s="4" t="str">
        <f t="shared" si="9"/>
        <v/>
      </c>
      <c r="E145" s="4" t="str">
        <f t="array" ref="E145">XLOOKUP(A145,'Dados Funil'!$A:$A,'Dados Funil'!$K:$K,"")</f>
        <v/>
      </c>
      <c r="F145" s="4" t="str">
        <f t="array" ref="F145">XLOOKUP(A145,'Dados Funil'!$A:$A,'Dados Funil'!$L:$L,"")</f>
        <v/>
      </c>
      <c r="G145" s="4"/>
      <c r="H145" s="4"/>
      <c r="I145" s="7" t="str">
        <f t="shared" si="2"/>
        <v/>
      </c>
      <c r="J145" s="4" t="str">
        <f t="shared" si="10"/>
        <v/>
      </c>
      <c r="K145" s="4" t="str">
        <f t="array" ref="K145">XLOOKUP(G145,'Dados Funil'!A:A,'Dados Funil'!O:O,"")</f>
        <v/>
      </c>
      <c r="L145" s="4"/>
      <c r="M145" s="4"/>
      <c r="N145" s="7" t="str">
        <f t="shared" si="3"/>
        <v/>
      </c>
      <c r="O145" s="4" t="str">
        <f t="shared" si="11"/>
        <v/>
      </c>
      <c r="P145" s="4" t="str">
        <f t="array" ref="P145">XLOOKUP(L145,'Dados Funil'!A:A,'Dados Funil'!AM:AM,"")</f>
        <v/>
      </c>
      <c r="Q145" s="4" t="str">
        <f t="array" ref="Q145">XLOOKUP(L145,'Dados Funil'!A:A,'Dados Funil'!AN:AN,"")</f>
        <v/>
      </c>
      <c r="T145" s="7" t="str">
        <f t="shared" si="4"/>
        <v/>
      </c>
      <c r="U145" s="4" t="str">
        <f t="shared" si="12"/>
        <v/>
      </c>
      <c r="V145" s="4" t="str">
        <f t="array" ref="V145">XLOOKUP(R145,'Dados Funil'!$A:$A,'Dados Funil'!$K:$K,"")</f>
        <v/>
      </c>
      <c r="W145" s="4" t="str">
        <f t="array" ref="W145">XLOOKUP(R145,'Dados Funil'!$A:$A,'Dados Funil'!$L:$L,"")</f>
        <v/>
      </c>
      <c r="X145" s="4"/>
      <c r="Y145" s="4"/>
      <c r="Z145" s="7" t="str">
        <f t="shared" si="5"/>
        <v/>
      </c>
      <c r="AA145" s="4" t="str">
        <f t="shared" si="13"/>
        <v/>
      </c>
      <c r="AB145" s="4" t="str">
        <f t="array" ref="AB145">XLOOKUP(X145,'Dados Funil'!A:A,'Dados Funil'!O:O,"")</f>
        <v/>
      </c>
      <c r="AE145" s="7" t="str">
        <f t="shared" si="6"/>
        <v/>
      </c>
      <c r="AG145" s="4" t="str">
        <f t="array" ref="AG145">XLOOKUP(AC145,'Dados Funil'!A:A,'Dados Funil'!AM:AM,"")</f>
        <v/>
      </c>
      <c r="AH145" s="4" t="str">
        <f t="array" ref="AH145">XLOOKUP(AC145,'Dados Funil'!A:A,'Dados Funil'!AN:AN,"")</f>
        <v/>
      </c>
    </row>
    <row r="146">
      <c r="A146" s="4"/>
      <c r="B146" s="4"/>
      <c r="C146" s="7" t="str">
        <f t="shared" si="1"/>
        <v/>
      </c>
      <c r="D146" s="4" t="str">
        <f t="shared" si="9"/>
        <v/>
      </c>
      <c r="E146" s="4" t="str">
        <f t="array" ref="E146">XLOOKUP(A146,'Dados Funil'!$A:$A,'Dados Funil'!$K:$K,"")</f>
        <v/>
      </c>
      <c r="F146" s="4" t="str">
        <f t="array" ref="F146">XLOOKUP(A146,'Dados Funil'!$A:$A,'Dados Funil'!$L:$L,"")</f>
        <v/>
      </c>
      <c r="G146" s="4"/>
      <c r="H146" s="4"/>
      <c r="I146" s="7" t="str">
        <f t="shared" si="2"/>
        <v/>
      </c>
      <c r="J146" s="4" t="str">
        <f t="shared" si="10"/>
        <v/>
      </c>
      <c r="K146" s="4" t="str">
        <f t="array" ref="K146">XLOOKUP(G146,'Dados Funil'!A:A,'Dados Funil'!O:O,"")</f>
        <v/>
      </c>
      <c r="L146" s="4"/>
      <c r="M146" s="4"/>
      <c r="N146" s="7" t="str">
        <f t="shared" si="3"/>
        <v/>
      </c>
      <c r="O146" s="4" t="str">
        <f t="shared" si="11"/>
        <v/>
      </c>
      <c r="P146" s="4" t="str">
        <f t="array" ref="P146">XLOOKUP(L146,'Dados Funil'!A:A,'Dados Funil'!AM:AM,"")</f>
        <v/>
      </c>
      <c r="Q146" s="4" t="str">
        <f t="array" ref="Q146">XLOOKUP(L146,'Dados Funil'!A:A,'Dados Funil'!AN:AN,"")</f>
        <v/>
      </c>
      <c r="T146" s="7" t="str">
        <f t="shared" si="4"/>
        <v/>
      </c>
      <c r="U146" s="4" t="str">
        <f t="shared" si="12"/>
        <v/>
      </c>
      <c r="V146" s="4" t="str">
        <f t="array" ref="V146">XLOOKUP(R146,'Dados Funil'!$A:$A,'Dados Funil'!$K:$K,"")</f>
        <v/>
      </c>
      <c r="W146" s="4" t="str">
        <f t="array" ref="W146">XLOOKUP(R146,'Dados Funil'!$A:$A,'Dados Funil'!$L:$L,"")</f>
        <v/>
      </c>
      <c r="X146" s="4"/>
      <c r="Y146" s="4"/>
      <c r="Z146" s="7" t="str">
        <f t="shared" si="5"/>
        <v/>
      </c>
      <c r="AA146" s="4" t="str">
        <f t="shared" si="13"/>
        <v/>
      </c>
      <c r="AB146" s="4" t="str">
        <f t="array" ref="AB146">XLOOKUP(X146,'Dados Funil'!A:A,'Dados Funil'!O:O,"")</f>
        <v/>
      </c>
      <c r="AE146" s="7" t="str">
        <f t="shared" si="6"/>
        <v/>
      </c>
      <c r="AG146" s="4" t="str">
        <f t="array" ref="AG146">XLOOKUP(AC146,'Dados Funil'!A:A,'Dados Funil'!AM:AM,"")</f>
        <v/>
      </c>
      <c r="AH146" s="4" t="str">
        <f t="array" ref="AH146">XLOOKUP(AC146,'Dados Funil'!A:A,'Dados Funil'!AN:AN,"")</f>
        <v/>
      </c>
    </row>
    <row r="147">
      <c r="A147" s="4"/>
      <c r="B147" s="4"/>
      <c r="C147" s="7" t="str">
        <f t="shared" si="1"/>
        <v/>
      </c>
      <c r="D147" s="4" t="str">
        <f t="shared" si="9"/>
        <v/>
      </c>
      <c r="E147" s="4" t="str">
        <f t="array" ref="E147">XLOOKUP(A147,'Dados Funil'!$A:$A,'Dados Funil'!$K:$K,"")</f>
        <v/>
      </c>
      <c r="F147" s="4" t="str">
        <f t="array" ref="F147">XLOOKUP(A147,'Dados Funil'!$A:$A,'Dados Funil'!$L:$L,"")</f>
        <v/>
      </c>
      <c r="G147" s="4"/>
      <c r="H147" s="4"/>
      <c r="I147" s="7" t="str">
        <f t="shared" si="2"/>
        <v/>
      </c>
      <c r="J147" s="4" t="str">
        <f t="shared" si="10"/>
        <v/>
      </c>
      <c r="K147" s="4" t="str">
        <f t="array" ref="K147">XLOOKUP(G147,'Dados Funil'!A:A,'Dados Funil'!O:O,"")</f>
        <v/>
      </c>
      <c r="L147" s="4"/>
      <c r="M147" s="4"/>
      <c r="N147" s="7" t="str">
        <f t="shared" si="3"/>
        <v/>
      </c>
      <c r="O147" s="4" t="str">
        <f t="shared" si="11"/>
        <v/>
      </c>
      <c r="P147" s="4" t="str">
        <f t="array" ref="P147">XLOOKUP(L147,'Dados Funil'!A:A,'Dados Funil'!AM:AM,"")</f>
        <v/>
      </c>
      <c r="Q147" s="4" t="str">
        <f t="array" ref="Q147">XLOOKUP(L147,'Dados Funil'!A:A,'Dados Funil'!AN:AN,"")</f>
        <v/>
      </c>
      <c r="T147" s="7" t="str">
        <f t="shared" si="4"/>
        <v/>
      </c>
      <c r="U147" s="4" t="str">
        <f t="shared" si="12"/>
        <v/>
      </c>
      <c r="V147" s="4" t="str">
        <f t="array" ref="V147">XLOOKUP(R147,'Dados Funil'!$A:$A,'Dados Funil'!$K:$K,"")</f>
        <v/>
      </c>
      <c r="W147" s="4" t="str">
        <f t="array" ref="W147">XLOOKUP(R147,'Dados Funil'!$A:$A,'Dados Funil'!$L:$L,"")</f>
        <v/>
      </c>
      <c r="X147" s="4"/>
      <c r="Y147" s="4"/>
      <c r="Z147" s="7" t="str">
        <f t="shared" si="5"/>
        <v/>
      </c>
      <c r="AA147" s="4" t="str">
        <f t="shared" si="13"/>
        <v/>
      </c>
      <c r="AB147" s="4" t="str">
        <f t="array" ref="AB147">XLOOKUP(X147,'Dados Funil'!A:A,'Dados Funil'!O:O,"")</f>
        <v/>
      </c>
      <c r="AE147" s="7" t="str">
        <f t="shared" si="6"/>
        <v/>
      </c>
      <c r="AG147" s="4" t="str">
        <f t="array" ref="AG147">XLOOKUP(AC147,'Dados Funil'!A:A,'Dados Funil'!AM:AM,"")</f>
        <v/>
      </c>
      <c r="AH147" s="4" t="str">
        <f t="array" ref="AH147">XLOOKUP(AC147,'Dados Funil'!A:A,'Dados Funil'!AN:AN,"")</f>
        <v/>
      </c>
    </row>
    <row r="148">
      <c r="A148" s="4"/>
      <c r="B148" s="4"/>
      <c r="C148" s="7" t="str">
        <f t="shared" si="1"/>
        <v/>
      </c>
      <c r="D148" s="4" t="str">
        <f t="shared" si="9"/>
        <v/>
      </c>
      <c r="E148" s="4" t="str">
        <f t="array" ref="E148">XLOOKUP(A148,'Dados Funil'!$A:$A,'Dados Funil'!$K:$K,"")</f>
        <v/>
      </c>
      <c r="F148" s="4" t="str">
        <f t="array" ref="F148">XLOOKUP(A148,'Dados Funil'!$A:$A,'Dados Funil'!$L:$L,"")</f>
        <v/>
      </c>
      <c r="G148" s="4"/>
      <c r="H148" s="4"/>
      <c r="I148" s="7" t="str">
        <f t="shared" si="2"/>
        <v/>
      </c>
      <c r="J148" s="4" t="str">
        <f t="shared" si="10"/>
        <v/>
      </c>
      <c r="K148" s="4" t="str">
        <f t="array" ref="K148">XLOOKUP(G148,'Dados Funil'!A:A,'Dados Funil'!O:O,"")</f>
        <v/>
      </c>
      <c r="L148" s="4"/>
      <c r="M148" s="4"/>
      <c r="N148" s="7" t="str">
        <f t="shared" si="3"/>
        <v/>
      </c>
      <c r="O148" s="4" t="str">
        <f t="shared" si="11"/>
        <v/>
      </c>
      <c r="P148" s="4" t="str">
        <f t="array" ref="P148">XLOOKUP(L148,'Dados Funil'!A:A,'Dados Funil'!AM:AM,"")</f>
        <v/>
      </c>
      <c r="Q148" s="4" t="str">
        <f t="array" ref="Q148">XLOOKUP(L148,'Dados Funil'!A:A,'Dados Funil'!AN:AN,"")</f>
        <v/>
      </c>
      <c r="T148" s="7" t="str">
        <f t="shared" si="4"/>
        <v/>
      </c>
      <c r="U148" s="4" t="str">
        <f t="shared" si="12"/>
        <v/>
      </c>
      <c r="V148" s="4" t="str">
        <f t="array" ref="V148">XLOOKUP(R148,'Dados Funil'!$A:$A,'Dados Funil'!$K:$K,"")</f>
        <v/>
      </c>
      <c r="W148" s="4" t="str">
        <f t="array" ref="W148">XLOOKUP(R148,'Dados Funil'!$A:$A,'Dados Funil'!$L:$L,"")</f>
        <v/>
      </c>
      <c r="X148" s="4"/>
      <c r="Y148" s="4"/>
      <c r="Z148" s="7" t="str">
        <f t="shared" si="5"/>
        <v/>
      </c>
      <c r="AA148" s="4" t="str">
        <f t="shared" si="13"/>
        <v/>
      </c>
      <c r="AB148" s="4" t="str">
        <f t="array" ref="AB148">XLOOKUP(X148,'Dados Funil'!A:A,'Dados Funil'!O:O,"")</f>
        <v/>
      </c>
      <c r="AE148" s="7" t="str">
        <f t="shared" si="6"/>
        <v/>
      </c>
      <c r="AG148" s="4" t="str">
        <f t="array" ref="AG148">XLOOKUP(AC148,'Dados Funil'!A:A,'Dados Funil'!AM:AM,"")</f>
        <v/>
      </c>
      <c r="AH148" s="4" t="str">
        <f t="array" ref="AH148">XLOOKUP(AC148,'Dados Funil'!A:A,'Dados Funil'!AN:AN,"")</f>
        <v/>
      </c>
    </row>
    <row r="149">
      <c r="A149" s="4"/>
      <c r="B149" s="4"/>
      <c r="C149" s="7" t="str">
        <f t="shared" si="1"/>
        <v/>
      </c>
      <c r="D149" s="4" t="str">
        <f t="shared" si="9"/>
        <v/>
      </c>
      <c r="E149" s="4" t="str">
        <f t="array" ref="E149">XLOOKUP(A149,'Dados Funil'!$A:$A,'Dados Funil'!$K:$K,"")</f>
        <v/>
      </c>
      <c r="F149" s="4" t="str">
        <f t="array" ref="F149">XLOOKUP(A149,'Dados Funil'!$A:$A,'Dados Funil'!$L:$L,"")</f>
        <v/>
      </c>
      <c r="G149" s="4"/>
      <c r="H149" s="4"/>
      <c r="I149" s="7" t="str">
        <f t="shared" si="2"/>
        <v/>
      </c>
      <c r="J149" s="4" t="str">
        <f t="shared" si="10"/>
        <v/>
      </c>
      <c r="K149" s="4" t="str">
        <f t="array" ref="K149">XLOOKUP(G149,'Dados Funil'!A:A,'Dados Funil'!O:O,"")</f>
        <v/>
      </c>
      <c r="L149" s="4"/>
      <c r="M149" s="4"/>
      <c r="N149" s="7" t="str">
        <f t="shared" si="3"/>
        <v/>
      </c>
      <c r="O149" s="4" t="str">
        <f t="shared" si="11"/>
        <v/>
      </c>
      <c r="P149" s="4" t="str">
        <f t="array" ref="P149">XLOOKUP(L149,'Dados Funil'!A:A,'Dados Funil'!AM:AM,"")</f>
        <v/>
      </c>
      <c r="Q149" s="4" t="str">
        <f t="array" ref="Q149">XLOOKUP(L149,'Dados Funil'!A:A,'Dados Funil'!AN:AN,"")</f>
        <v/>
      </c>
      <c r="T149" s="7" t="str">
        <f t="shared" si="4"/>
        <v/>
      </c>
      <c r="U149" s="4" t="str">
        <f t="shared" si="12"/>
        <v/>
      </c>
      <c r="V149" s="4" t="str">
        <f t="array" ref="V149">XLOOKUP(R149,'Dados Funil'!$A:$A,'Dados Funil'!$K:$K,"")</f>
        <v/>
      </c>
      <c r="W149" s="4" t="str">
        <f t="array" ref="W149">XLOOKUP(R149,'Dados Funil'!$A:$A,'Dados Funil'!$L:$L,"")</f>
        <v/>
      </c>
      <c r="X149" s="4"/>
      <c r="Y149" s="4"/>
      <c r="Z149" s="7" t="str">
        <f t="shared" si="5"/>
        <v/>
      </c>
      <c r="AA149" s="4" t="str">
        <f t="shared" si="13"/>
        <v/>
      </c>
      <c r="AB149" s="4" t="str">
        <f t="array" ref="AB149">XLOOKUP(X149,'Dados Funil'!A:A,'Dados Funil'!O:O,"")</f>
        <v/>
      </c>
      <c r="AE149" s="7" t="str">
        <f t="shared" si="6"/>
        <v/>
      </c>
      <c r="AG149" s="4" t="str">
        <f t="array" ref="AG149">XLOOKUP(AC149,'Dados Funil'!A:A,'Dados Funil'!AM:AM,"")</f>
        <v/>
      </c>
      <c r="AH149" s="4" t="str">
        <f t="array" ref="AH149">XLOOKUP(AC149,'Dados Funil'!A:A,'Dados Funil'!AN:AN,"")</f>
        <v/>
      </c>
    </row>
    <row r="150">
      <c r="A150" s="4"/>
      <c r="B150" s="4"/>
      <c r="C150" s="7" t="str">
        <f t="shared" si="1"/>
        <v/>
      </c>
      <c r="D150" s="4" t="str">
        <f t="shared" si="9"/>
        <v/>
      </c>
      <c r="E150" s="4" t="str">
        <f t="array" ref="E150">XLOOKUP(A150,'Dados Funil'!$A:$A,'Dados Funil'!$K:$K,"")</f>
        <v/>
      </c>
      <c r="F150" s="4" t="str">
        <f t="array" ref="F150">XLOOKUP(A150,'Dados Funil'!$A:$A,'Dados Funil'!$L:$L,"")</f>
        <v/>
      </c>
      <c r="G150" s="4"/>
      <c r="H150" s="4"/>
      <c r="I150" s="7" t="str">
        <f t="shared" si="2"/>
        <v/>
      </c>
      <c r="J150" s="4" t="str">
        <f t="shared" si="10"/>
        <v/>
      </c>
      <c r="K150" s="4" t="str">
        <f t="array" ref="K150">XLOOKUP(G150,'Dados Funil'!A:A,'Dados Funil'!O:O,"")</f>
        <v/>
      </c>
      <c r="L150" s="4"/>
      <c r="M150" s="4"/>
      <c r="N150" s="7" t="str">
        <f t="shared" si="3"/>
        <v/>
      </c>
      <c r="O150" s="4" t="str">
        <f t="shared" si="11"/>
        <v/>
      </c>
      <c r="P150" s="4" t="str">
        <f t="array" ref="P150">XLOOKUP(L150,'Dados Funil'!A:A,'Dados Funil'!AM:AM,"")</f>
        <v/>
      </c>
      <c r="Q150" s="4" t="str">
        <f t="array" ref="Q150">XLOOKUP(L150,'Dados Funil'!A:A,'Dados Funil'!AN:AN,"")</f>
        <v/>
      </c>
      <c r="T150" s="7" t="str">
        <f t="shared" si="4"/>
        <v/>
      </c>
      <c r="U150" s="4" t="str">
        <f t="shared" si="12"/>
        <v/>
      </c>
      <c r="V150" s="4" t="str">
        <f t="array" ref="V150">XLOOKUP(R150,'Dados Funil'!$A:$A,'Dados Funil'!$K:$K,"")</f>
        <v/>
      </c>
      <c r="W150" s="4" t="str">
        <f t="array" ref="W150">XLOOKUP(R150,'Dados Funil'!$A:$A,'Dados Funil'!$L:$L,"")</f>
        <v/>
      </c>
      <c r="X150" s="4"/>
      <c r="Y150" s="4"/>
      <c r="Z150" s="7" t="str">
        <f t="shared" si="5"/>
        <v/>
      </c>
      <c r="AA150" s="4" t="str">
        <f t="shared" si="13"/>
        <v/>
      </c>
      <c r="AB150" s="4" t="str">
        <f t="array" ref="AB150">XLOOKUP(X150,'Dados Funil'!A:A,'Dados Funil'!O:O,"")</f>
        <v/>
      </c>
      <c r="AE150" s="7" t="str">
        <f t="shared" si="6"/>
        <v/>
      </c>
      <c r="AG150" s="4" t="str">
        <f t="array" ref="AG150">XLOOKUP(AC150,'Dados Funil'!A:A,'Dados Funil'!AM:AM,"")</f>
        <v/>
      </c>
      <c r="AH150" s="4" t="str">
        <f t="array" ref="AH150">XLOOKUP(AC150,'Dados Funil'!A:A,'Dados Funil'!AN:AN,"")</f>
        <v/>
      </c>
    </row>
    <row r="151">
      <c r="A151" s="4"/>
      <c r="B151" s="4"/>
      <c r="C151" s="7" t="str">
        <f t="shared" si="1"/>
        <v/>
      </c>
      <c r="D151" s="4" t="str">
        <f t="shared" si="9"/>
        <v/>
      </c>
      <c r="E151" s="4" t="str">
        <f t="array" ref="E151">XLOOKUP(A151,'Dados Funil'!$A:$A,'Dados Funil'!$K:$K,"")</f>
        <v/>
      </c>
      <c r="F151" s="4" t="str">
        <f t="array" ref="F151">XLOOKUP(A151,'Dados Funil'!$A:$A,'Dados Funil'!$L:$L,"")</f>
        <v/>
      </c>
      <c r="G151" s="4"/>
      <c r="H151" s="4"/>
      <c r="I151" s="7" t="str">
        <f t="shared" si="2"/>
        <v/>
      </c>
      <c r="J151" s="4" t="str">
        <f t="shared" si="10"/>
        <v/>
      </c>
      <c r="K151" s="4" t="str">
        <f t="array" ref="K151">XLOOKUP(G151,'Dados Funil'!A:A,'Dados Funil'!O:O,"")</f>
        <v/>
      </c>
      <c r="L151" s="4"/>
      <c r="M151" s="4"/>
      <c r="N151" s="7" t="str">
        <f t="shared" si="3"/>
        <v/>
      </c>
      <c r="O151" s="4" t="str">
        <f t="shared" si="11"/>
        <v/>
      </c>
      <c r="P151" s="4" t="str">
        <f t="array" ref="P151">XLOOKUP(L151,'Dados Funil'!A:A,'Dados Funil'!AM:AM,"")</f>
        <v/>
      </c>
      <c r="Q151" s="4" t="str">
        <f t="array" ref="Q151">XLOOKUP(L151,'Dados Funil'!A:A,'Dados Funil'!AN:AN,"")</f>
        <v/>
      </c>
      <c r="T151" s="7" t="str">
        <f t="shared" si="4"/>
        <v/>
      </c>
      <c r="U151" s="4" t="str">
        <f t="shared" si="12"/>
        <v/>
      </c>
      <c r="V151" s="4" t="str">
        <f t="array" ref="V151">XLOOKUP(R151,'Dados Funil'!$A:$A,'Dados Funil'!$K:$K,"")</f>
        <v/>
      </c>
      <c r="W151" s="4" t="str">
        <f t="array" ref="W151">XLOOKUP(R151,'Dados Funil'!$A:$A,'Dados Funil'!$L:$L,"")</f>
        <v/>
      </c>
      <c r="X151" s="4"/>
      <c r="Y151" s="4"/>
      <c r="Z151" s="7" t="str">
        <f t="shared" si="5"/>
        <v/>
      </c>
      <c r="AA151" s="4" t="str">
        <f t="shared" si="13"/>
        <v/>
      </c>
      <c r="AB151" s="4" t="str">
        <f t="array" ref="AB151">XLOOKUP(X151,'Dados Funil'!A:A,'Dados Funil'!O:O,"")</f>
        <v/>
      </c>
      <c r="AE151" s="7" t="str">
        <f t="shared" si="6"/>
        <v/>
      </c>
      <c r="AG151" s="4" t="str">
        <f t="array" ref="AG151">XLOOKUP(AC151,'Dados Funil'!A:A,'Dados Funil'!AM:AM,"")</f>
        <v/>
      </c>
      <c r="AH151" s="4" t="str">
        <f t="array" ref="AH151">XLOOKUP(AC151,'Dados Funil'!A:A,'Dados Funil'!AN:AN,"")</f>
        <v/>
      </c>
    </row>
    <row r="152">
      <c r="A152" s="4"/>
      <c r="B152" s="4"/>
      <c r="C152" s="7" t="str">
        <f t="shared" si="1"/>
        <v/>
      </c>
      <c r="D152" s="4" t="str">
        <f t="shared" si="9"/>
        <v/>
      </c>
      <c r="E152" s="4" t="str">
        <f t="array" ref="E152">XLOOKUP(A152,'Dados Funil'!$A:$A,'Dados Funil'!$K:$K,"")</f>
        <v/>
      </c>
      <c r="F152" s="4" t="str">
        <f t="array" ref="F152">XLOOKUP(A152,'Dados Funil'!$A:$A,'Dados Funil'!$L:$L,"")</f>
        <v/>
      </c>
      <c r="G152" s="4"/>
      <c r="H152" s="4"/>
      <c r="I152" s="7" t="str">
        <f t="shared" si="2"/>
        <v/>
      </c>
      <c r="J152" s="4" t="str">
        <f t="shared" si="10"/>
        <v/>
      </c>
      <c r="K152" s="4" t="str">
        <f t="array" ref="K152">XLOOKUP(G152,'Dados Funil'!A:A,'Dados Funil'!O:O,"")</f>
        <v/>
      </c>
      <c r="L152" s="4"/>
      <c r="M152" s="4"/>
      <c r="N152" s="7" t="str">
        <f t="shared" si="3"/>
        <v/>
      </c>
      <c r="O152" s="4" t="str">
        <f t="shared" si="11"/>
        <v/>
      </c>
      <c r="P152" s="4" t="str">
        <f t="array" ref="P152">XLOOKUP(L152,'Dados Funil'!A:A,'Dados Funil'!AM:AM,"")</f>
        <v/>
      </c>
      <c r="Q152" s="4" t="str">
        <f t="array" ref="Q152">XLOOKUP(L152,'Dados Funil'!A:A,'Dados Funil'!AN:AN,"")</f>
        <v/>
      </c>
      <c r="T152" s="7" t="str">
        <f t="shared" si="4"/>
        <v/>
      </c>
      <c r="U152" s="4" t="str">
        <f t="shared" si="12"/>
        <v/>
      </c>
      <c r="V152" s="4" t="str">
        <f t="array" ref="V152">XLOOKUP(R152,'Dados Funil'!$A:$A,'Dados Funil'!$K:$K,"")</f>
        <v/>
      </c>
      <c r="W152" s="4" t="str">
        <f t="array" ref="W152">XLOOKUP(R152,'Dados Funil'!$A:$A,'Dados Funil'!$L:$L,"")</f>
        <v/>
      </c>
      <c r="X152" s="4"/>
      <c r="Y152" s="4"/>
      <c r="Z152" s="7" t="str">
        <f t="shared" si="5"/>
        <v/>
      </c>
      <c r="AA152" s="4" t="str">
        <f t="shared" si="13"/>
        <v/>
      </c>
      <c r="AB152" s="4" t="str">
        <f t="array" ref="AB152">XLOOKUP(X152,'Dados Funil'!A:A,'Dados Funil'!O:O,"")</f>
        <v/>
      </c>
      <c r="AE152" s="7" t="str">
        <f t="shared" si="6"/>
        <v/>
      </c>
      <c r="AG152" s="4" t="str">
        <f t="array" ref="AG152">XLOOKUP(AC152,'Dados Funil'!A:A,'Dados Funil'!AM:AM,"")</f>
        <v/>
      </c>
      <c r="AH152" s="4" t="str">
        <f t="array" ref="AH152">XLOOKUP(AC152,'Dados Funil'!A:A,'Dados Funil'!AN:AN,"")</f>
        <v/>
      </c>
    </row>
    <row r="153">
      <c r="A153" s="4"/>
      <c r="B153" s="4"/>
      <c r="C153" s="7" t="str">
        <f t="shared" si="1"/>
        <v/>
      </c>
      <c r="D153" s="4" t="str">
        <f t="shared" si="9"/>
        <v/>
      </c>
      <c r="E153" s="4" t="str">
        <f t="array" ref="E153">XLOOKUP(A153,'Dados Funil'!$A:$A,'Dados Funil'!$K:$K,"")</f>
        <v/>
      </c>
      <c r="F153" s="4" t="str">
        <f t="array" ref="F153">XLOOKUP(A153,'Dados Funil'!$A:$A,'Dados Funil'!$L:$L,"")</f>
        <v/>
      </c>
      <c r="G153" s="4"/>
      <c r="H153" s="4"/>
      <c r="I153" s="7" t="str">
        <f t="shared" si="2"/>
        <v/>
      </c>
      <c r="J153" s="4" t="str">
        <f t="shared" si="10"/>
        <v/>
      </c>
      <c r="K153" s="4" t="str">
        <f t="array" ref="K153">XLOOKUP(G153,'Dados Funil'!A:A,'Dados Funil'!O:O,"")</f>
        <v/>
      </c>
      <c r="L153" s="4"/>
      <c r="M153" s="4"/>
      <c r="N153" s="7" t="str">
        <f t="shared" si="3"/>
        <v/>
      </c>
      <c r="O153" s="4" t="str">
        <f t="shared" si="11"/>
        <v/>
      </c>
      <c r="P153" s="4" t="str">
        <f t="array" ref="P153">XLOOKUP(L153,'Dados Funil'!A:A,'Dados Funil'!AM:AM,"")</f>
        <v/>
      </c>
      <c r="Q153" s="4" t="str">
        <f t="array" ref="Q153">XLOOKUP(L153,'Dados Funil'!A:A,'Dados Funil'!AN:AN,"")</f>
        <v/>
      </c>
      <c r="T153" s="7" t="str">
        <f t="shared" si="4"/>
        <v/>
      </c>
      <c r="U153" s="4" t="str">
        <f t="shared" si="12"/>
        <v/>
      </c>
      <c r="V153" s="4" t="str">
        <f t="array" ref="V153">XLOOKUP(R153,'Dados Funil'!$A:$A,'Dados Funil'!$K:$K,"")</f>
        <v/>
      </c>
      <c r="W153" s="4" t="str">
        <f t="array" ref="W153">XLOOKUP(R153,'Dados Funil'!$A:$A,'Dados Funil'!$L:$L,"")</f>
        <v/>
      </c>
      <c r="X153" s="4"/>
      <c r="Y153" s="4"/>
      <c r="Z153" s="7" t="str">
        <f t="shared" si="5"/>
        <v/>
      </c>
      <c r="AA153" s="4" t="str">
        <f t="shared" si="13"/>
        <v/>
      </c>
      <c r="AB153" s="4" t="str">
        <f t="array" ref="AB153">XLOOKUP(X153,'Dados Funil'!A:A,'Dados Funil'!O:O,"")</f>
        <v/>
      </c>
      <c r="AE153" s="7" t="str">
        <f t="shared" si="6"/>
        <v/>
      </c>
      <c r="AG153" s="4" t="str">
        <f t="array" ref="AG153">XLOOKUP(AC153,'Dados Funil'!A:A,'Dados Funil'!AM:AM,"")</f>
        <v/>
      </c>
      <c r="AH153" s="4" t="str">
        <f t="array" ref="AH153">XLOOKUP(AC153,'Dados Funil'!A:A,'Dados Funil'!AN:AN,"")</f>
        <v/>
      </c>
    </row>
    <row r="154">
      <c r="A154" s="4"/>
      <c r="B154" s="4"/>
      <c r="C154" s="7" t="str">
        <f t="shared" si="1"/>
        <v/>
      </c>
      <c r="D154" s="4" t="str">
        <f t="shared" si="9"/>
        <v/>
      </c>
      <c r="E154" s="4" t="str">
        <f t="array" ref="E154">XLOOKUP(A154,'Dados Funil'!$A:$A,'Dados Funil'!$K:$K,"")</f>
        <v/>
      </c>
      <c r="F154" s="4" t="str">
        <f t="array" ref="F154">XLOOKUP(A154,'Dados Funil'!$A:$A,'Dados Funil'!$L:$L,"")</f>
        <v/>
      </c>
      <c r="G154" s="4"/>
      <c r="H154" s="4"/>
      <c r="I154" s="7" t="str">
        <f t="shared" si="2"/>
        <v/>
      </c>
      <c r="J154" s="4" t="str">
        <f t="shared" si="10"/>
        <v/>
      </c>
      <c r="K154" s="4" t="str">
        <f t="array" ref="K154">XLOOKUP(G154,'Dados Funil'!A:A,'Dados Funil'!O:O,"")</f>
        <v/>
      </c>
      <c r="L154" s="4"/>
      <c r="M154" s="4"/>
      <c r="N154" s="7" t="str">
        <f t="shared" si="3"/>
        <v/>
      </c>
      <c r="O154" s="4" t="str">
        <f t="shared" si="11"/>
        <v/>
      </c>
      <c r="P154" s="4" t="str">
        <f t="array" ref="P154">XLOOKUP(L154,'Dados Funil'!A:A,'Dados Funil'!AM:AM,"")</f>
        <v/>
      </c>
      <c r="Q154" s="4" t="str">
        <f t="array" ref="Q154">XLOOKUP(L154,'Dados Funil'!A:A,'Dados Funil'!AN:AN,"")</f>
        <v/>
      </c>
      <c r="T154" s="7" t="str">
        <f t="shared" si="4"/>
        <v/>
      </c>
      <c r="U154" s="4" t="str">
        <f t="shared" si="12"/>
        <v/>
      </c>
      <c r="V154" s="4" t="str">
        <f t="array" ref="V154">XLOOKUP(R154,'Dados Funil'!$A:$A,'Dados Funil'!$K:$K,"")</f>
        <v/>
      </c>
      <c r="W154" s="4" t="str">
        <f t="array" ref="W154">XLOOKUP(R154,'Dados Funil'!$A:$A,'Dados Funil'!$L:$L,"")</f>
        <v/>
      </c>
      <c r="X154" s="4"/>
      <c r="Y154" s="4"/>
      <c r="Z154" s="7" t="str">
        <f t="shared" si="5"/>
        <v/>
      </c>
      <c r="AA154" s="4" t="str">
        <f t="shared" si="13"/>
        <v/>
      </c>
      <c r="AB154" s="4" t="str">
        <f t="array" ref="AB154">XLOOKUP(X154,'Dados Funil'!A:A,'Dados Funil'!O:O,"")</f>
        <v/>
      </c>
      <c r="AE154" s="7" t="str">
        <f t="shared" si="6"/>
        <v/>
      </c>
      <c r="AG154" s="4" t="str">
        <f t="array" ref="AG154">XLOOKUP(AC154,'Dados Funil'!A:A,'Dados Funil'!AM:AM,"")</f>
        <v/>
      </c>
      <c r="AH154" s="4" t="str">
        <f t="array" ref="AH154">XLOOKUP(AC154,'Dados Funil'!A:A,'Dados Funil'!AN:AN,"")</f>
        <v/>
      </c>
    </row>
    <row r="155">
      <c r="A155" s="4"/>
      <c r="B155" s="4"/>
      <c r="C155" s="7" t="str">
        <f t="shared" si="1"/>
        <v/>
      </c>
      <c r="D155" s="4" t="str">
        <f t="shared" si="9"/>
        <v/>
      </c>
      <c r="E155" s="4" t="str">
        <f t="array" ref="E155">XLOOKUP(A155,'Dados Funil'!$A:$A,'Dados Funil'!$K:$K,"")</f>
        <v/>
      </c>
      <c r="F155" s="4" t="str">
        <f t="array" ref="F155">XLOOKUP(A155,'Dados Funil'!$A:$A,'Dados Funil'!$L:$L,"")</f>
        <v/>
      </c>
      <c r="G155" s="4"/>
      <c r="H155" s="4"/>
      <c r="I155" s="7" t="str">
        <f t="shared" si="2"/>
        <v/>
      </c>
      <c r="J155" s="4" t="str">
        <f t="shared" si="10"/>
        <v/>
      </c>
      <c r="K155" s="4" t="str">
        <f t="array" ref="K155">XLOOKUP(G155,'Dados Funil'!A:A,'Dados Funil'!O:O,"")</f>
        <v/>
      </c>
      <c r="L155" s="4"/>
      <c r="M155" s="4"/>
      <c r="N155" s="7" t="str">
        <f t="shared" si="3"/>
        <v/>
      </c>
      <c r="O155" s="4" t="str">
        <f t="shared" si="11"/>
        <v/>
      </c>
      <c r="P155" s="4" t="str">
        <f t="array" ref="P155">XLOOKUP(L155,'Dados Funil'!A:A,'Dados Funil'!AM:AM,"")</f>
        <v/>
      </c>
      <c r="Q155" s="4" t="str">
        <f t="array" ref="Q155">XLOOKUP(L155,'Dados Funil'!A:A,'Dados Funil'!AN:AN,"")</f>
        <v/>
      </c>
      <c r="T155" s="7" t="str">
        <f t="shared" si="4"/>
        <v/>
      </c>
      <c r="U155" s="4" t="str">
        <f t="shared" si="12"/>
        <v/>
      </c>
      <c r="V155" s="4" t="str">
        <f t="array" ref="V155">XLOOKUP(R155,'Dados Funil'!$A:$A,'Dados Funil'!$K:$K,"")</f>
        <v/>
      </c>
      <c r="W155" s="4" t="str">
        <f t="array" ref="W155">XLOOKUP(R155,'Dados Funil'!$A:$A,'Dados Funil'!$L:$L,"")</f>
        <v/>
      </c>
      <c r="X155" s="4"/>
      <c r="Y155" s="4"/>
      <c r="Z155" s="7" t="str">
        <f t="shared" si="5"/>
        <v/>
      </c>
      <c r="AA155" s="4" t="str">
        <f t="shared" si="13"/>
        <v/>
      </c>
      <c r="AB155" s="4" t="str">
        <f t="array" ref="AB155">XLOOKUP(X155,'Dados Funil'!A:A,'Dados Funil'!O:O,"")</f>
        <v/>
      </c>
      <c r="AE155" s="7" t="str">
        <f t="shared" si="6"/>
        <v/>
      </c>
      <c r="AG155" s="4" t="str">
        <f t="array" ref="AG155">XLOOKUP(AC155,'Dados Funil'!A:A,'Dados Funil'!AM:AM,"")</f>
        <v/>
      </c>
      <c r="AH155" s="4" t="str">
        <f t="array" ref="AH155">XLOOKUP(AC155,'Dados Funil'!A:A,'Dados Funil'!AN:AN,"")</f>
        <v/>
      </c>
    </row>
    <row r="156">
      <c r="A156" s="4"/>
      <c r="B156" s="4"/>
      <c r="C156" s="7" t="str">
        <f t="shared" si="1"/>
        <v/>
      </c>
      <c r="D156" s="4" t="str">
        <f t="shared" si="9"/>
        <v/>
      </c>
      <c r="E156" s="4" t="str">
        <f t="array" ref="E156">XLOOKUP(A156,'Dados Funil'!$A:$A,'Dados Funil'!$K:$K,"")</f>
        <v/>
      </c>
      <c r="F156" s="4" t="str">
        <f t="array" ref="F156">XLOOKUP(A156,'Dados Funil'!$A:$A,'Dados Funil'!$L:$L,"")</f>
        <v/>
      </c>
      <c r="G156" s="4"/>
      <c r="H156" s="4"/>
      <c r="I156" s="7" t="str">
        <f t="shared" si="2"/>
        <v/>
      </c>
      <c r="J156" s="4" t="str">
        <f t="shared" si="10"/>
        <v/>
      </c>
      <c r="K156" s="4" t="str">
        <f t="array" ref="K156">XLOOKUP(G156,'Dados Funil'!A:A,'Dados Funil'!O:O,"")</f>
        <v/>
      </c>
      <c r="L156" s="4"/>
      <c r="M156" s="4"/>
      <c r="N156" s="7" t="str">
        <f t="shared" si="3"/>
        <v/>
      </c>
      <c r="O156" s="4" t="str">
        <f t="shared" si="11"/>
        <v/>
      </c>
      <c r="P156" s="4" t="str">
        <f t="array" ref="P156">XLOOKUP(L156,'Dados Funil'!A:A,'Dados Funil'!AM:AM,"")</f>
        <v/>
      </c>
      <c r="Q156" s="4" t="str">
        <f t="array" ref="Q156">XLOOKUP(L156,'Dados Funil'!A:A,'Dados Funil'!AN:AN,"")</f>
        <v/>
      </c>
      <c r="T156" s="7" t="str">
        <f t="shared" si="4"/>
        <v/>
      </c>
      <c r="U156" s="4" t="str">
        <f t="shared" si="12"/>
        <v/>
      </c>
      <c r="V156" s="4" t="str">
        <f t="array" ref="V156">XLOOKUP(R156,'Dados Funil'!$A:$A,'Dados Funil'!$K:$K,"")</f>
        <v/>
      </c>
      <c r="W156" s="4" t="str">
        <f t="array" ref="W156">XLOOKUP(R156,'Dados Funil'!$A:$A,'Dados Funil'!$L:$L,"")</f>
        <v/>
      </c>
      <c r="X156" s="4"/>
      <c r="Y156" s="4"/>
      <c r="Z156" s="7" t="str">
        <f t="shared" si="5"/>
        <v/>
      </c>
      <c r="AA156" s="4" t="str">
        <f t="shared" si="13"/>
        <v/>
      </c>
      <c r="AB156" s="4" t="str">
        <f t="array" ref="AB156">XLOOKUP(X156,'Dados Funil'!A:A,'Dados Funil'!O:O,"")</f>
        <v/>
      </c>
      <c r="AE156" s="7" t="str">
        <f t="shared" si="6"/>
        <v/>
      </c>
      <c r="AG156" s="4" t="str">
        <f t="array" ref="AG156">XLOOKUP(AC156,'Dados Funil'!A:A,'Dados Funil'!AM:AM,"")</f>
        <v/>
      </c>
      <c r="AH156" s="4" t="str">
        <f t="array" ref="AH156">XLOOKUP(AC156,'Dados Funil'!A:A,'Dados Funil'!AN:AN,"")</f>
        <v/>
      </c>
    </row>
    <row r="157">
      <c r="A157" s="4"/>
      <c r="B157" s="4"/>
      <c r="C157" s="7" t="str">
        <f t="shared" si="1"/>
        <v/>
      </c>
      <c r="D157" s="4" t="str">
        <f t="shared" si="9"/>
        <v/>
      </c>
      <c r="E157" s="4" t="str">
        <f t="array" ref="E157">XLOOKUP(A157,'Dados Funil'!$A:$A,'Dados Funil'!$K:$K,"")</f>
        <v/>
      </c>
      <c r="F157" s="4" t="str">
        <f t="array" ref="F157">XLOOKUP(A157,'Dados Funil'!$A:$A,'Dados Funil'!$L:$L,"")</f>
        <v/>
      </c>
      <c r="G157" s="4"/>
      <c r="H157" s="4"/>
      <c r="I157" s="7" t="str">
        <f t="shared" si="2"/>
        <v/>
      </c>
      <c r="J157" s="4" t="str">
        <f t="shared" si="10"/>
        <v/>
      </c>
      <c r="K157" s="4" t="str">
        <f t="array" ref="K157">XLOOKUP(G157,'Dados Funil'!A:A,'Dados Funil'!O:O,"")</f>
        <v/>
      </c>
      <c r="L157" s="4"/>
      <c r="M157" s="4"/>
      <c r="N157" s="7" t="str">
        <f t="shared" si="3"/>
        <v/>
      </c>
      <c r="O157" s="4" t="str">
        <f t="shared" si="11"/>
        <v/>
      </c>
      <c r="P157" s="4" t="str">
        <f t="array" ref="P157">XLOOKUP(L157,'Dados Funil'!A:A,'Dados Funil'!AM:AM,"")</f>
        <v/>
      </c>
      <c r="Q157" s="4" t="str">
        <f t="array" ref="Q157">XLOOKUP(L157,'Dados Funil'!A:A,'Dados Funil'!AN:AN,"")</f>
        <v/>
      </c>
      <c r="T157" s="7" t="str">
        <f t="shared" si="4"/>
        <v/>
      </c>
      <c r="U157" s="4" t="str">
        <f t="shared" si="12"/>
        <v/>
      </c>
      <c r="V157" s="4" t="str">
        <f t="array" ref="V157">XLOOKUP(R157,'Dados Funil'!$A:$A,'Dados Funil'!$K:$K,"")</f>
        <v/>
      </c>
      <c r="W157" s="4" t="str">
        <f t="array" ref="W157">XLOOKUP(R157,'Dados Funil'!$A:$A,'Dados Funil'!$L:$L,"")</f>
        <v/>
      </c>
      <c r="X157" s="4"/>
      <c r="Y157" s="4"/>
      <c r="Z157" s="7" t="str">
        <f t="shared" si="5"/>
        <v/>
      </c>
      <c r="AA157" s="4" t="str">
        <f t="shared" si="13"/>
        <v/>
      </c>
      <c r="AB157" s="4" t="str">
        <f t="array" ref="AB157">XLOOKUP(X157,'Dados Funil'!A:A,'Dados Funil'!O:O,"")</f>
        <v/>
      </c>
      <c r="AE157" s="7" t="str">
        <f t="shared" si="6"/>
        <v/>
      </c>
      <c r="AG157" s="4" t="str">
        <f t="array" ref="AG157">XLOOKUP(AC157,'Dados Funil'!A:A,'Dados Funil'!AM:AM,"")</f>
        <v/>
      </c>
      <c r="AH157" s="4" t="str">
        <f t="array" ref="AH157">XLOOKUP(AC157,'Dados Funil'!A:A,'Dados Funil'!AN:AN,"")</f>
        <v/>
      </c>
    </row>
    <row r="158">
      <c r="A158" s="4"/>
      <c r="B158" s="4"/>
      <c r="C158" s="7" t="str">
        <f t="shared" si="1"/>
        <v/>
      </c>
      <c r="D158" s="4" t="str">
        <f t="shared" si="9"/>
        <v/>
      </c>
      <c r="E158" s="4" t="str">
        <f t="array" ref="E158">XLOOKUP(A158,'Dados Funil'!$A:$A,'Dados Funil'!$K:$K,"")</f>
        <v/>
      </c>
      <c r="F158" s="4" t="str">
        <f t="array" ref="F158">XLOOKUP(A158,'Dados Funil'!$A:$A,'Dados Funil'!$L:$L,"")</f>
        <v/>
      </c>
      <c r="G158" s="4"/>
      <c r="H158" s="4"/>
      <c r="I158" s="7" t="str">
        <f t="shared" si="2"/>
        <v/>
      </c>
      <c r="J158" s="4" t="str">
        <f t="shared" si="10"/>
        <v/>
      </c>
      <c r="K158" s="4" t="str">
        <f t="array" ref="K158">XLOOKUP(G158,'Dados Funil'!A:A,'Dados Funil'!O:O,"")</f>
        <v/>
      </c>
      <c r="L158" s="4"/>
      <c r="M158" s="4"/>
      <c r="N158" s="7" t="str">
        <f t="shared" si="3"/>
        <v/>
      </c>
      <c r="O158" s="4" t="str">
        <f t="shared" si="11"/>
        <v/>
      </c>
      <c r="P158" s="4" t="str">
        <f t="array" ref="P158">XLOOKUP(L158,'Dados Funil'!A:A,'Dados Funil'!AM:AM,"")</f>
        <v/>
      </c>
      <c r="Q158" s="4" t="str">
        <f t="array" ref="Q158">XLOOKUP(L158,'Dados Funil'!A:A,'Dados Funil'!AN:AN,"")</f>
        <v/>
      </c>
      <c r="T158" s="7" t="str">
        <f t="shared" si="4"/>
        <v/>
      </c>
      <c r="U158" s="4" t="str">
        <f t="shared" si="12"/>
        <v/>
      </c>
      <c r="V158" s="4" t="str">
        <f t="array" ref="V158">XLOOKUP(R158,'Dados Funil'!$A:$A,'Dados Funil'!$K:$K,"")</f>
        <v/>
      </c>
      <c r="W158" s="4" t="str">
        <f t="array" ref="W158">XLOOKUP(R158,'Dados Funil'!$A:$A,'Dados Funil'!$L:$L,"")</f>
        <v/>
      </c>
      <c r="X158" s="4"/>
      <c r="Y158" s="4"/>
      <c r="Z158" s="7" t="str">
        <f t="shared" si="5"/>
        <v/>
      </c>
      <c r="AA158" s="4" t="str">
        <f t="shared" si="13"/>
        <v/>
      </c>
      <c r="AB158" s="4" t="str">
        <f t="array" ref="AB158">XLOOKUP(X158,'Dados Funil'!A:A,'Dados Funil'!O:O,"")</f>
        <v/>
      </c>
      <c r="AE158" s="7" t="str">
        <f t="shared" si="6"/>
        <v/>
      </c>
      <c r="AG158" s="4" t="str">
        <f t="array" ref="AG158">XLOOKUP(AC158,'Dados Funil'!A:A,'Dados Funil'!AM:AM,"")</f>
        <v/>
      </c>
      <c r="AH158" s="4" t="str">
        <f t="array" ref="AH158">XLOOKUP(AC158,'Dados Funil'!A:A,'Dados Funil'!AN:AN,"")</f>
        <v/>
      </c>
    </row>
    <row r="159">
      <c r="A159" s="4"/>
      <c r="B159" s="4"/>
      <c r="C159" s="7" t="str">
        <f t="shared" si="1"/>
        <v/>
      </c>
      <c r="D159" s="4" t="str">
        <f t="shared" si="9"/>
        <v/>
      </c>
      <c r="E159" s="4" t="str">
        <f t="array" ref="E159">XLOOKUP(A159,'Dados Funil'!$A:$A,'Dados Funil'!$K:$K,"")</f>
        <v/>
      </c>
      <c r="F159" s="4" t="str">
        <f t="array" ref="F159">XLOOKUP(A159,'Dados Funil'!$A:$A,'Dados Funil'!$L:$L,"")</f>
        <v/>
      </c>
      <c r="G159" s="4"/>
      <c r="H159" s="4"/>
      <c r="I159" s="7" t="str">
        <f t="shared" si="2"/>
        <v/>
      </c>
      <c r="J159" s="4" t="str">
        <f t="shared" si="10"/>
        <v/>
      </c>
      <c r="K159" s="4" t="str">
        <f t="array" ref="K159">XLOOKUP(G159,'Dados Funil'!A:A,'Dados Funil'!O:O,"")</f>
        <v/>
      </c>
      <c r="L159" s="4"/>
      <c r="M159" s="4"/>
      <c r="N159" s="7" t="str">
        <f t="shared" si="3"/>
        <v/>
      </c>
      <c r="O159" s="4" t="str">
        <f t="shared" si="11"/>
        <v/>
      </c>
      <c r="P159" s="4" t="str">
        <f t="array" ref="P159">XLOOKUP(L159,'Dados Funil'!A:A,'Dados Funil'!AM:AM,"")</f>
        <v/>
      </c>
      <c r="Q159" s="4" t="str">
        <f t="array" ref="Q159">XLOOKUP(L159,'Dados Funil'!A:A,'Dados Funil'!AN:AN,"")</f>
        <v/>
      </c>
      <c r="T159" s="7" t="str">
        <f t="shared" si="4"/>
        <v/>
      </c>
      <c r="U159" s="4" t="str">
        <f t="shared" si="12"/>
        <v/>
      </c>
      <c r="V159" s="4" t="str">
        <f t="array" ref="V159">XLOOKUP(R159,'Dados Funil'!$A:$A,'Dados Funil'!$K:$K,"")</f>
        <v/>
      </c>
      <c r="W159" s="4" t="str">
        <f t="array" ref="W159">XLOOKUP(R159,'Dados Funil'!$A:$A,'Dados Funil'!$L:$L,"")</f>
        <v/>
      </c>
      <c r="X159" s="4"/>
      <c r="Y159" s="4"/>
      <c r="Z159" s="7" t="str">
        <f t="shared" si="5"/>
        <v/>
      </c>
      <c r="AA159" s="4" t="str">
        <f t="shared" si="13"/>
        <v/>
      </c>
      <c r="AB159" s="4" t="str">
        <f t="array" ref="AB159">XLOOKUP(X159,'Dados Funil'!A:A,'Dados Funil'!O:O,"")</f>
        <v/>
      </c>
      <c r="AE159" s="7" t="str">
        <f t="shared" si="6"/>
        <v/>
      </c>
      <c r="AG159" s="4" t="str">
        <f t="array" ref="AG159">XLOOKUP(AC159,'Dados Funil'!A:A,'Dados Funil'!AM:AM,"")</f>
        <v/>
      </c>
      <c r="AH159" s="4" t="str">
        <f t="array" ref="AH159">XLOOKUP(AC159,'Dados Funil'!A:A,'Dados Funil'!AN:AN,"")</f>
        <v/>
      </c>
    </row>
    <row r="160">
      <c r="A160" s="4"/>
      <c r="B160" s="4"/>
      <c r="C160" s="7" t="str">
        <f t="shared" si="1"/>
        <v/>
      </c>
      <c r="D160" s="4" t="str">
        <f t="shared" si="9"/>
        <v/>
      </c>
      <c r="E160" s="4" t="str">
        <f t="array" ref="E160">XLOOKUP(A160,'Dados Funil'!$A:$A,'Dados Funil'!$K:$K,"")</f>
        <v/>
      </c>
      <c r="F160" s="4" t="str">
        <f t="array" ref="F160">XLOOKUP(A160,'Dados Funil'!$A:$A,'Dados Funil'!$L:$L,"")</f>
        <v/>
      </c>
      <c r="G160" s="4"/>
      <c r="H160" s="4"/>
      <c r="I160" s="7" t="str">
        <f t="shared" si="2"/>
        <v/>
      </c>
      <c r="J160" s="4" t="str">
        <f t="shared" si="10"/>
        <v/>
      </c>
      <c r="K160" s="4" t="str">
        <f t="array" ref="K160">XLOOKUP(G160,'Dados Funil'!A:A,'Dados Funil'!O:O,"")</f>
        <v/>
      </c>
      <c r="L160" s="4"/>
      <c r="M160" s="4"/>
      <c r="N160" s="7" t="str">
        <f t="shared" si="3"/>
        <v/>
      </c>
      <c r="O160" s="4" t="str">
        <f t="shared" si="11"/>
        <v/>
      </c>
      <c r="P160" s="4" t="str">
        <f t="array" ref="P160">XLOOKUP(L160,'Dados Funil'!A:A,'Dados Funil'!AM:AM,"")</f>
        <v/>
      </c>
      <c r="Q160" s="4" t="str">
        <f t="array" ref="Q160">XLOOKUP(L160,'Dados Funil'!A:A,'Dados Funil'!AN:AN,"")</f>
        <v/>
      </c>
      <c r="T160" s="7" t="str">
        <f t="shared" si="4"/>
        <v/>
      </c>
      <c r="U160" s="4" t="str">
        <f t="shared" si="12"/>
        <v/>
      </c>
      <c r="V160" s="4" t="str">
        <f t="array" ref="V160">XLOOKUP(R160,'Dados Funil'!$A:$A,'Dados Funil'!$K:$K,"")</f>
        <v/>
      </c>
      <c r="W160" s="4" t="str">
        <f t="array" ref="W160">XLOOKUP(R160,'Dados Funil'!$A:$A,'Dados Funil'!$L:$L,"")</f>
        <v/>
      </c>
      <c r="X160" s="4"/>
      <c r="Y160" s="4"/>
      <c r="Z160" s="7" t="str">
        <f t="shared" si="5"/>
        <v/>
      </c>
      <c r="AA160" s="4" t="str">
        <f t="shared" si="13"/>
        <v/>
      </c>
      <c r="AB160" s="4" t="str">
        <f t="array" ref="AB160">XLOOKUP(X160,'Dados Funil'!A:A,'Dados Funil'!O:O,"")</f>
        <v/>
      </c>
      <c r="AE160" s="7" t="str">
        <f t="shared" si="6"/>
        <v/>
      </c>
      <c r="AG160" s="4" t="str">
        <f t="array" ref="AG160">XLOOKUP(AC160,'Dados Funil'!A:A,'Dados Funil'!AM:AM,"")</f>
        <v/>
      </c>
      <c r="AH160" s="4" t="str">
        <f t="array" ref="AH160">XLOOKUP(AC160,'Dados Funil'!A:A,'Dados Funil'!AN:AN,"")</f>
        <v/>
      </c>
    </row>
    <row r="161">
      <c r="A161" s="4"/>
      <c r="B161" s="4"/>
      <c r="C161" s="7" t="str">
        <f t="shared" si="1"/>
        <v/>
      </c>
      <c r="D161" s="4" t="str">
        <f t="shared" si="9"/>
        <v/>
      </c>
      <c r="E161" s="4" t="str">
        <f t="array" ref="E161">XLOOKUP(A161,'Dados Funil'!$A:$A,'Dados Funil'!$K:$K,"")</f>
        <v/>
      </c>
      <c r="F161" s="4" t="str">
        <f t="array" ref="F161">XLOOKUP(A161,'Dados Funil'!$A:$A,'Dados Funil'!$L:$L,"")</f>
        <v/>
      </c>
      <c r="G161" s="4"/>
      <c r="H161" s="4"/>
      <c r="I161" s="7" t="str">
        <f t="shared" si="2"/>
        <v/>
      </c>
      <c r="J161" s="4" t="str">
        <f t="shared" si="10"/>
        <v/>
      </c>
      <c r="K161" s="4" t="str">
        <f t="array" ref="K161">XLOOKUP(G161,'Dados Funil'!A:A,'Dados Funil'!O:O,"")</f>
        <v/>
      </c>
      <c r="L161" s="4"/>
      <c r="M161" s="4"/>
      <c r="N161" s="7" t="str">
        <f t="shared" si="3"/>
        <v/>
      </c>
      <c r="O161" s="4" t="str">
        <f t="shared" si="11"/>
        <v/>
      </c>
      <c r="P161" s="4" t="str">
        <f t="array" ref="P161">XLOOKUP(L161,'Dados Funil'!A:A,'Dados Funil'!AM:AM,"")</f>
        <v/>
      </c>
      <c r="Q161" s="4" t="str">
        <f t="array" ref="Q161">XLOOKUP(L161,'Dados Funil'!A:A,'Dados Funil'!AN:AN,"")</f>
        <v/>
      </c>
      <c r="T161" s="7" t="str">
        <f t="shared" si="4"/>
        <v/>
      </c>
      <c r="U161" s="4" t="str">
        <f t="shared" si="12"/>
        <v/>
      </c>
      <c r="V161" s="4" t="str">
        <f t="array" ref="V161">XLOOKUP(R161,'Dados Funil'!$A:$A,'Dados Funil'!$K:$K,"")</f>
        <v/>
      </c>
      <c r="W161" s="4" t="str">
        <f t="array" ref="W161">XLOOKUP(R161,'Dados Funil'!$A:$A,'Dados Funil'!$L:$L,"")</f>
        <v/>
      </c>
      <c r="X161" s="4"/>
      <c r="Y161" s="4"/>
      <c r="Z161" s="7" t="str">
        <f t="shared" si="5"/>
        <v/>
      </c>
      <c r="AA161" s="4" t="str">
        <f t="shared" si="13"/>
        <v/>
      </c>
      <c r="AB161" s="4" t="str">
        <f t="array" ref="AB161">XLOOKUP(X161,'Dados Funil'!A:A,'Dados Funil'!O:O,"")</f>
        <v/>
      </c>
      <c r="AE161" s="7" t="str">
        <f t="shared" si="6"/>
        <v/>
      </c>
      <c r="AG161" s="4" t="str">
        <f t="array" ref="AG161">XLOOKUP(AC161,'Dados Funil'!A:A,'Dados Funil'!AM:AM,"")</f>
        <v/>
      </c>
      <c r="AH161" s="4" t="str">
        <f t="array" ref="AH161">XLOOKUP(AC161,'Dados Funil'!A:A,'Dados Funil'!AN:AN,"")</f>
        <v/>
      </c>
    </row>
    <row r="162">
      <c r="A162" s="4"/>
      <c r="B162" s="4"/>
      <c r="C162" s="7" t="str">
        <f t="shared" si="1"/>
        <v/>
      </c>
      <c r="D162" s="4" t="str">
        <f t="shared" si="9"/>
        <v/>
      </c>
      <c r="E162" s="4" t="str">
        <f t="array" ref="E162">XLOOKUP(A162,'Dados Funil'!$A:$A,'Dados Funil'!$K:$K,"")</f>
        <v/>
      </c>
      <c r="F162" s="4" t="str">
        <f t="array" ref="F162">XLOOKUP(A162,'Dados Funil'!$A:$A,'Dados Funil'!$L:$L,"")</f>
        <v/>
      </c>
      <c r="G162" s="4"/>
      <c r="H162" s="4"/>
      <c r="I162" s="7" t="str">
        <f t="shared" si="2"/>
        <v/>
      </c>
      <c r="J162" s="4" t="str">
        <f t="shared" si="10"/>
        <v/>
      </c>
      <c r="K162" s="4" t="str">
        <f t="array" ref="K162">XLOOKUP(G162,'Dados Funil'!A:A,'Dados Funil'!O:O,"")</f>
        <v/>
      </c>
      <c r="L162" s="4"/>
      <c r="M162" s="4"/>
      <c r="N162" s="7" t="str">
        <f t="shared" si="3"/>
        <v/>
      </c>
      <c r="O162" s="4" t="str">
        <f t="shared" si="11"/>
        <v/>
      </c>
      <c r="P162" s="4" t="str">
        <f t="array" ref="P162">XLOOKUP(L162,'Dados Funil'!A:A,'Dados Funil'!AM:AM,"")</f>
        <v/>
      </c>
      <c r="Q162" s="4" t="str">
        <f t="array" ref="Q162">XLOOKUP(L162,'Dados Funil'!A:A,'Dados Funil'!AN:AN,"")</f>
        <v/>
      </c>
      <c r="T162" s="7" t="str">
        <f t="shared" si="4"/>
        <v/>
      </c>
      <c r="U162" s="4" t="str">
        <f t="shared" si="12"/>
        <v/>
      </c>
      <c r="V162" s="4" t="str">
        <f t="array" ref="V162">XLOOKUP(R162,'Dados Funil'!$A:$A,'Dados Funil'!$K:$K,"")</f>
        <v/>
      </c>
      <c r="W162" s="4" t="str">
        <f t="array" ref="W162">XLOOKUP(R162,'Dados Funil'!$A:$A,'Dados Funil'!$L:$L,"")</f>
        <v/>
      </c>
      <c r="X162" s="4"/>
      <c r="Y162" s="4"/>
      <c r="Z162" s="7" t="str">
        <f t="shared" si="5"/>
        <v/>
      </c>
      <c r="AA162" s="4" t="str">
        <f t="shared" si="13"/>
        <v/>
      </c>
      <c r="AB162" s="4" t="str">
        <f t="array" ref="AB162">XLOOKUP(X162,'Dados Funil'!A:A,'Dados Funil'!O:O,"")</f>
        <v/>
      </c>
      <c r="AE162" s="7" t="str">
        <f t="shared" si="6"/>
        <v/>
      </c>
      <c r="AG162" s="4" t="str">
        <f t="array" ref="AG162">XLOOKUP(AC162,'Dados Funil'!A:A,'Dados Funil'!AM:AM,"")</f>
        <v/>
      </c>
      <c r="AH162" s="4" t="str">
        <f t="array" ref="AH162">XLOOKUP(AC162,'Dados Funil'!A:A,'Dados Funil'!AN:AN,"")</f>
        <v/>
      </c>
    </row>
    <row r="163">
      <c r="A163" s="4"/>
      <c r="B163" s="4"/>
      <c r="C163" s="7" t="str">
        <f t="shared" si="1"/>
        <v/>
      </c>
      <c r="D163" s="4" t="str">
        <f t="shared" si="9"/>
        <v/>
      </c>
      <c r="E163" s="4" t="str">
        <f t="array" ref="E163">XLOOKUP(A163,'Dados Funil'!$A:$A,'Dados Funil'!$K:$K,"")</f>
        <v/>
      </c>
      <c r="F163" s="4" t="str">
        <f t="array" ref="F163">XLOOKUP(A163,'Dados Funil'!$A:$A,'Dados Funil'!$L:$L,"")</f>
        <v/>
      </c>
      <c r="G163" s="4"/>
      <c r="H163" s="4"/>
      <c r="I163" s="7" t="str">
        <f t="shared" si="2"/>
        <v/>
      </c>
      <c r="J163" s="4" t="str">
        <f t="shared" si="10"/>
        <v/>
      </c>
      <c r="K163" s="4" t="str">
        <f t="array" ref="K163">XLOOKUP(G163,'Dados Funil'!A:A,'Dados Funil'!O:O,"")</f>
        <v/>
      </c>
      <c r="L163" s="4"/>
      <c r="M163" s="4"/>
      <c r="N163" s="7" t="str">
        <f t="shared" si="3"/>
        <v/>
      </c>
      <c r="O163" s="4" t="str">
        <f t="shared" si="11"/>
        <v/>
      </c>
      <c r="P163" s="4" t="str">
        <f t="array" ref="P163">XLOOKUP(L163,'Dados Funil'!A:A,'Dados Funil'!AM:AM,"")</f>
        <v/>
      </c>
      <c r="Q163" s="4" t="str">
        <f t="array" ref="Q163">XLOOKUP(L163,'Dados Funil'!A:A,'Dados Funil'!AN:AN,"")</f>
        <v/>
      </c>
      <c r="T163" s="7" t="str">
        <f t="shared" si="4"/>
        <v/>
      </c>
      <c r="U163" s="4" t="str">
        <f t="shared" si="12"/>
        <v/>
      </c>
      <c r="V163" s="4" t="str">
        <f t="array" ref="V163">XLOOKUP(R163,'Dados Funil'!$A:$A,'Dados Funil'!$K:$K,"")</f>
        <v/>
      </c>
      <c r="W163" s="4" t="str">
        <f t="array" ref="W163">XLOOKUP(R163,'Dados Funil'!$A:$A,'Dados Funil'!$L:$L,"")</f>
        <v/>
      </c>
      <c r="X163" s="4"/>
      <c r="Y163" s="4"/>
      <c r="Z163" s="7" t="str">
        <f t="shared" si="5"/>
        <v/>
      </c>
      <c r="AA163" s="4" t="str">
        <f t="shared" si="13"/>
        <v/>
      </c>
      <c r="AB163" s="4" t="str">
        <f t="array" ref="AB163">XLOOKUP(X163,'Dados Funil'!A:A,'Dados Funil'!O:O,"")</f>
        <v/>
      </c>
      <c r="AE163" s="7" t="str">
        <f t="shared" si="6"/>
        <v/>
      </c>
      <c r="AG163" s="4" t="str">
        <f t="array" ref="AG163">XLOOKUP(AC163,'Dados Funil'!A:A,'Dados Funil'!AM:AM,"")</f>
        <v/>
      </c>
      <c r="AH163" s="4" t="str">
        <f t="array" ref="AH163">XLOOKUP(AC163,'Dados Funil'!A:A,'Dados Funil'!AN:AN,"")</f>
        <v/>
      </c>
    </row>
    <row r="164">
      <c r="A164" s="4"/>
      <c r="B164" s="4"/>
      <c r="C164" s="7" t="str">
        <f t="shared" si="1"/>
        <v/>
      </c>
      <c r="D164" s="4" t="str">
        <f t="shared" si="9"/>
        <v/>
      </c>
      <c r="E164" s="4" t="str">
        <f t="array" ref="E164">XLOOKUP(A164,'Dados Funil'!$A:$A,'Dados Funil'!$K:$K,"")</f>
        <v/>
      </c>
      <c r="F164" s="4" t="str">
        <f t="array" ref="F164">XLOOKUP(A164,'Dados Funil'!$A:$A,'Dados Funil'!$L:$L,"")</f>
        <v/>
      </c>
      <c r="G164" s="4"/>
      <c r="H164" s="4"/>
      <c r="I164" s="7" t="str">
        <f t="shared" si="2"/>
        <v/>
      </c>
      <c r="J164" s="4" t="str">
        <f t="shared" si="10"/>
        <v/>
      </c>
      <c r="K164" s="4" t="str">
        <f t="array" ref="K164">XLOOKUP(G164,'Dados Funil'!A:A,'Dados Funil'!O:O,"")</f>
        <v/>
      </c>
      <c r="L164" s="4"/>
      <c r="M164" s="4"/>
      <c r="N164" s="7" t="str">
        <f t="shared" si="3"/>
        <v/>
      </c>
      <c r="O164" s="4" t="str">
        <f t="shared" si="11"/>
        <v/>
      </c>
      <c r="P164" s="4" t="str">
        <f t="array" ref="P164">XLOOKUP(L164,'Dados Funil'!A:A,'Dados Funil'!AM:AM,"")</f>
        <v/>
      </c>
      <c r="Q164" s="4" t="str">
        <f t="array" ref="Q164">XLOOKUP(L164,'Dados Funil'!A:A,'Dados Funil'!AN:AN,"")</f>
        <v/>
      </c>
      <c r="T164" s="7" t="str">
        <f t="shared" si="4"/>
        <v/>
      </c>
      <c r="U164" s="4" t="str">
        <f t="shared" si="12"/>
        <v/>
      </c>
      <c r="V164" s="4" t="str">
        <f t="array" ref="V164">XLOOKUP(R164,'Dados Funil'!$A:$A,'Dados Funil'!$K:$K,"")</f>
        <v/>
      </c>
      <c r="W164" s="4" t="str">
        <f t="array" ref="W164">XLOOKUP(R164,'Dados Funil'!$A:$A,'Dados Funil'!$L:$L,"")</f>
        <v/>
      </c>
      <c r="X164" s="4"/>
      <c r="Y164" s="4"/>
      <c r="Z164" s="7" t="str">
        <f t="shared" si="5"/>
        <v/>
      </c>
      <c r="AA164" s="4" t="str">
        <f t="shared" si="13"/>
        <v/>
      </c>
      <c r="AB164" s="4" t="str">
        <f t="array" ref="AB164">XLOOKUP(X164,'Dados Funil'!A:A,'Dados Funil'!O:O,"")</f>
        <v/>
      </c>
      <c r="AE164" s="7" t="str">
        <f t="shared" si="6"/>
        <v/>
      </c>
      <c r="AG164" s="4" t="str">
        <f t="array" ref="AG164">XLOOKUP(AC164,'Dados Funil'!A:A,'Dados Funil'!AM:AM,"")</f>
        <v/>
      </c>
      <c r="AH164" s="4" t="str">
        <f t="array" ref="AH164">XLOOKUP(AC164,'Dados Funil'!A:A,'Dados Funil'!AN:AN,"")</f>
        <v/>
      </c>
    </row>
    <row r="165">
      <c r="A165" s="4"/>
      <c r="B165" s="4"/>
      <c r="C165" s="7" t="str">
        <f t="shared" si="1"/>
        <v/>
      </c>
      <c r="D165" s="4" t="str">
        <f t="shared" si="9"/>
        <v/>
      </c>
      <c r="E165" s="4" t="str">
        <f t="array" ref="E165">XLOOKUP(A165,'Dados Funil'!$A:$A,'Dados Funil'!$K:$K,"")</f>
        <v/>
      </c>
      <c r="F165" s="4" t="str">
        <f t="array" ref="F165">XLOOKUP(A165,'Dados Funil'!$A:$A,'Dados Funil'!$L:$L,"")</f>
        <v/>
      </c>
      <c r="G165" s="4"/>
      <c r="H165" s="4"/>
      <c r="I165" s="7" t="str">
        <f t="shared" si="2"/>
        <v/>
      </c>
      <c r="J165" s="4" t="str">
        <f t="shared" si="10"/>
        <v/>
      </c>
      <c r="K165" s="4" t="str">
        <f t="array" ref="K165">XLOOKUP(G165,'Dados Funil'!A:A,'Dados Funil'!O:O,"")</f>
        <v/>
      </c>
      <c r="L165" s="4"/>
      <c r="M165" s="4"/>
      <c r="N165" s="7" t="str">
        <f t="shared" si="3"/>
        <v/>
      </c>
      <c r="O165" s="4" t="str">
        <f t="shared" si="11"/>
        <v/>
      </c>
      <c r="P165" s="4" t="str">
        <f t="array" ref="P165">XLOOKUP(L165,'Dados Funil'!A:A,'Dados Funil'!AM:AM,"")</f>
        <v/>
      </c>
      <c r="Q165" s="4" t="str">
        <f t="array" ref="Q165">XLOOKUP(L165,'Dados Funil'!A:A,'Dados Funil'!AN:AN,"")</f>
        <v/>
      </c>
      <c r="T165" s="7" t="str">
        <f t="shared" si="4"/>
        <v/>
      </c>
      <c r="U165" s="4" t="str">
        <f t="shared" si="12"/>
        <v/>
      </c>
      <c r="V165" s="4" t="str">
        <f t="array" ref="V165">XLOOKUP(R165,'Dados Funil'!$A:$A,'Dados Funil'!$K:$K,"")</f>
        <v/>
      </c>
      <c r="W165" s="4" t="str">
        <f t="array" ref="W165">XLOOKUP(R165,'Dados Funil'!$A:$A,'Dados Funil'!$L:$L,"")</f>
        <v/>
      </c>
      <c r="X165" s="4"/>
      <c r="Y165" s="4"/>
      <c r="Z165" s="7" t="str">
        <f t="shared" si="5"/>
        <v/>
      </c>
      <c r="AA165" s="4" t="str">
        <f t="shared" si="13"/>
        <v/>
      </c>
      <c r="AB165" s="4" t="str">
        <f t="array" ref="AB165">XLOOKUP(X165,'Dados Funil'!A:A,'Dados Funil'!O:O,"")</f>
        <v/>
      </c>
      <c r="AE165" s="7" t="str">
        <f t="shared" si="6"/>
        <v/>
      </c>
      <c r="AG165" s="4" t="str">
        <f t="array" ref="AG165">XLOOKUP(AC165,'Dados Funil'!A:A,'Dados Funil'!AM:AM,"")</f>
        <v/>
      </c>
      <c r="AH165" s="4" t="str">
        <f t="array" ref="AH165">XLOOKUP(AC165,'Dados Funil'!A:A,'Dados Funil'!AN:AN,"")</f>
        <v/>
      </c>
    </row>
    <row r="166">
      <c r="A166" s="4"/>
      <c r="B166" s="4"/>
      <c r="C166" s="7" t="str">
        <f t="shared" si="1"/>
        <v/>
      </c>
      <c r="D166" s="4" t="str">
        <f t="shared" si="9"/>
        <v/>
      </c>
      <c r="E166" s="4" t="str">
        <f t="array" ref="E166">XLOOKUP(A166,'Dados Funil'!$A:$A,'Dados Funil'!$K:$K,"")</f>
        <v/>
      </c>
      <c r="F166" s="4" t="str">
        <f t="array" ref="F166">XLOOKUP(A166,'Dados Funil'!$A:$A,'Dados Funil'!$L:$L,"")</f>
        <v/>
      </c>
      <c r="G166" s="4"/>
      <c r="H166" s="4"/>
      <c r="I166" s="7" t="str">
        <f t="shared" si="2"/>
        <v/>
      </c>
      <c r="J166" s="4" t="str">
        <f t="shared" si="10"/>
        <v/>
      </c>
      <c r="K166" s="4" t="str">
        <f t="array" ref="K166">XLOOKUP(G166,'Dados Funil'!A:A,'Dados Funil'!O:O,"")</f>
        <v/>
      </c>
      <c r="L166" s="4"/>
      <c r="M166" s="4"/>
      <c r="N166" s="7" t="str">
        <f t="shared" si="3"/>
        <v/>
      </c>
      <c r="O166" s="4" t="str">
        <f t="shared" si="11"/>
        <v/>
      </c>
      <c r="P166" s="4" t="str">
        <f t="array" ref="P166">XLOOKUP(L166,'Dados Funil'!A:A,'Dados Funil'!AM:AM,"")</f>
        <v/>
      </c>
      <c r="Q166" s="4" t="str">
        <f t="array" ref="Q166">XLOOKUP(L166,'Dados Funil'!A:A,'Dados Funil'!AN:AN,"")</f>
        <v/>
      </c>
      <c r="T166" s="7" t="str">
        <f t="shared" si="4"/>
        <v/>
      </c>
      <c r="U166" s="4" t="str">
        <f t="shared" si="12"/>
        <v/>
      </c>
      <c r="V166" s="4" t="str">
        <f t="array" ref="V166">XLOOKUP(R166,'Dados Funil'!$A:$A,'Dados Funil'!$K:$K,"")</f>
        <v/>
      </c>
      <c r="W166" s="4" t="str">
        <f t="array" ref="W166">XLOOKUP(R166,'Dados Funil'!$A:$A,'Dados Funil'!$L:$L,"")</f>
        <v/>
      </c>
      <c r="X166" s="4"/>
      <c r="Y166" s="4"/>
      <c r="Z166" s="7" t="str">
        <f t="shared" si="5"/>
        <v/>
      </c>
      <c r="AA166" s="4" t="str">
        <f t="shared" si="13"/>
        <v/>
      </c>
      <c r="AB166" s="4" t="str">
        <f t="array" ref="AB166">XLOOKUP(X166,'Dados Funil'!A:A,'Dados Funil'!O:O,"")</f>
        <v/>
      </c>
      <c r="AE166" s="7" t="str">
        <f t="shared" si="6"/>
        <v/>
      </c>
      <c r="AG166" s="4" t="str">
        <f t="array" ref="AG166">XLOOKUP(AC166,'Dados Funil'!A:A,'Dados Funil'!AM:AM,"")</f>
        <v/>
      </c>
      <c r="AH166" s="4" t="str">
        <f t="array" ref="AH166">XLOOKUP(AC166,'Dados Funil'!A:A,'Dados Funil'!AN:AN,"")</f>
        <v/>
      </c>
    </row>
    <row r="167">
      <c r="A167" s="4"/>
      <c r="B167" s="4"/>
      <c r="C167" s="7" t="str">
        <f t="shared" si="1"/>
        <v/>
      </c>
      <c r="D167" s="4" t="str">
        <f t="shared" si="9"/>
        <v/>
      </c>
      <c r="E167" s="4" t="str">
        <f t="array" ref="E167">XLOOKUP(A167,'Dados Funil'!$A:$A,'Dados Funil'!$K:$K,"")</f>
        <v/>
      </c>
      <c r="F167" s="4" t="str">
        <f t="array" ref="F167">XLOOKUP(A167,'Dados Funil'!$A:$A,'Dados Funil'!$L:$L,"")</f>
        <v/>
      </c>
      <c r="G167" s="4"/>
      <c r="H167" s="4"/>
      <c r="I167" s="7" t="str">
        <f t="shared" si="2"/>
        <v/>
      </c>
      <c r="J167" s="4" t="str">
        <f t="shared" si="10"/>
        <v/>
      </c>
      <c r="K167" s="4" t="str">
        <f t="array" ref="K167">XLOOKUP(G167,'Dados Funil'!A:A,'Dados Funil'!O:O,"")</f>
        <v/>
      </c>
      <c r="L167" s="4"/>
      <c r="M167" s="4"/>
      <c r="N167" s="7" t="str">
        <f t="shared" si="3"/>
        <v/>
      </c>
      <c r="O167" s="4" t="str">
        <f t="shared" si="11"/>
        <v/>
      </c>
      <c r="P167" s="4" t="str">
        <f t="array" ref="P167">XLOOKUP(L167,'Dados Funil'!A:A,'Dados Funil'!AM:AM,"")</f>
        <v/>
      </c>
      <c r="Q167" s="4" t="str">
        <f t="array" ref="Q167">XLOOKUP(L167,'Dados Funil'!A:A,'Dados Funil'!AN:AN,"")</f>
        <v/>
      </c>
      <c r="T167" s="7" t="str">
        <f t="shared" si="4"/>
        <v/>
      </c>
      <c r="U167" s="4" t="str">
        <f t="shared" si="12"/>
        <v/>
      </c>
      <c r="V167" s="4" t="str">
        <f t="array" ref="V167">XLOOKUP(R167,'Dados Funil'!$A:$A,'Dados Funil'!$K:$K,"")</f>
        <v/>
      </c>
      <c r="W167" s="4" t="str">
        <f t="array" ref="W167">XLOOKUP(R167,'Dados Funil'!$A:$A,'Dados Funil'!$L:$L,"")</f>
        <v/>
      </c>
      <c r="X167" s="4"/>
      <c r="Y167" s="4"/>
      <c r="Z167" s="7" t="str">
        <f t="shared" si="5"/>
        <v/>
      </c>
      <c r="AA167" s="4" t="str">
        <f t="shared" si="13"/>
        <v/>
      </c>
      <c r="AB167" s="4" t="str">
        <f t="array" ref="AB167">XLOOKUP(X167,'Dados Funil'!A:A,'Dados Funil'!O:O,"")</f>
        <v/>
      </c>
      <c r="AE167" s="7" t="str">
        <f t="shared" si="6"/>
        <v/>
      </c>
      <c r="AG167" s="4" t="str">
        <f t="array" ref="AG167">XLOOKUP(AC167,'Dados Funil'!A:A,'Dados Funil'!AM:AM,"")</f>
        <v/>
      </c>
      <c r="AH167" s="4" t="str">
        <f t="array" ref="AH167">XLOOKUP(AC167,'Dados Funil'!A:A,'Dados Funil'!AN:AN,"")</f>
        <v/>
      </c>
    </row>
    <row r="168">
      <c r="A168" s="4"/>
      <c r="B168" s="4"/>
      <c r="C168" s="7" t="str">
        <f t="shared" si="1"/>
        <v/>
      </c>
      <c r="D168" s="4" t="str">
        <f t="shared" si="9"/>
        <v/>
      </c>
      <c r="E168" s="4" t="str">
        <f t="array" ref="E168">XLOOKUP(A168,'Dados Funil'!$A:$A,'Dados Funil'!$K:$K,"")</f>
        <v/>
      </c>
      <c r="F168" s="4" t="str">
        <f t="array" ref="F168">XLOOKUP(A168,'Dados Funil'!$A:$A,'Dados Funil'!$L:$L,"")</f>
        <v/>
      </c>
      <c r="G168" s="4"/>
      <c r="H168" s="4"/>
      <c r="I168" s="7" t="str">
        <f t="shared" si="2"/>
        <v/>
      </c>
      <c r="J168" s="4" t="str">
        <f t="shared" si="10"/>
        <v/>
      </c>
      <c r="K168" s="4" t="str">
        <f t="array" ref="K168">XLOOKUP(G168,'Dados Funil'!A:A,'Dados Funil'!O:O,"")</f>
        <v/>
      </c>
      <c r="L168" s="4"/>
      <c r="M168" s="4"/>
      <c r="N168" s="7" t="str">
        <f t="shared" si="3"/>
        <v/>
      </c>
      <c r="O168" s="4" t="str">
        <f t="shared" si="11"/>
        <v/>
      </c>
      <c r="P168" s="4" t="str">
        <f t="array" ref="P168">XLOOKUP(L168,'Dados Funil'!A:A,'Dados Funil'!AM:AM,"")</f>
        <v/>
      </c>
      <c r="Q168" s="4" t="str">
        <f t="array" ref="Q168">XLOOKUP(L168,'Dados Funil'!A:A,'Dados Funil'!AN:AN,"")</f>
        <v/>
      </c>
      <c r="T168" s="7" t="str">
        <f t="shared" si="4"/>
        <v/>
      </c>
      <c r="U168" s="4" t="str">
        <f t="shared" si="12"/>
        <v/>
      </c>
      <c r="V168" s="4" t="str">
        <f t="array" ref="V168">XLOOKUP(R168,'Dados Funil'!$A:$A,'Dados Funil'!$K:$K,"")</f>
        <v/>
      </c>
      <c r="W168" s="4" t="str">
        <f t="array" ref="W168">XLOOKUP(R168,'Dados Funil'!$A:$A,'Dados Funil'!$L:$L,"")</f>
        <v/>
      </c>
      <c r="X168" s="4"/>
      <c r="Y168" s="4"/>
      <c r="Z168" s="7" t="str">
        <f t="shared" si="5"/>
        <v/>
      </c>
      <c r="AA168" s="4" t="str">
        <f t="shared" si="13"/>
        <v/>
      </c>
      <c r="AB168" s="4" t="str">
        <f t="array" ref="AB168">XLOOKUP(X168,'Dados Funil'!A:A,'Dados Funil'!O:O,"")</f>
        <v/>
      </c>
      <c r="AE168" s="7" t="str">
        <f t="shared" si="6"/>
        <v/>
      </c>
      <c r="AG168" s="4" t="str">
        <f t="array" ref="AG168">XLOOKUP(AC168,'Dados Funil'!A:A,'Dados Funil'!AM:AM,"")</f>
        <v/>
      </c>
      <c r="AH168" s="4" t="str">
        <f t="array" ref="AH168">XLOOKUP(AC168,'Dados Funil'!A:A,'Dados Funil'!AN:AN,"")</f>
        <v/>
      </c>
    </row>
    <row r="169">
      <c r="A169" s="4"/>
      <c r="B169" s="4"/>
      <c r="C169" s="7" t="str">
        <f t="shared" si="1"/>
        <v/>
      </c>
      <c r="D169" s="4" t="str">
        <f t="shared" si="9"/>
        <v/>
      </c>
      <c r="E169" s="4" t="str">
        <f t="array" ref="E169">XLOOKUP(A169,'Dados Funil'!$A:$A,'Dados Funil'!$K:$K,"")</f>
        <v/>
      </c>
      <c r="F169" s="4" t="str">
        <f t="array" ref="F169">XLOOKUP(A169,'Dados Funil'!$A:$A,'Dados Funil'!$L:$L,"")</f>
        <v/>
      </c>
      <c r="G169" s="4"/>
      <c r="H169" s="4"/>
      <c r="I169" s="7" t="str">
        <f t="shared" si="2"/>
        <v/>
      </c>
      <c r="J169" s="4" t="str">
        <f t="shared" si="10"/>
        <v/>
      </c>
      <c r="K169" s="4" t="str">
        <f t="array" ref="K169">XLOOKUP(G169,'Dados Funil'!A:A,'Dados Funil'!O:O,"")</f>
        <v/>
      </c>
      <c r="L169" s="4"/>
      <c r="M169" s="4"/>
      <c r="N169" s="7" t="str">
        <f t="shared" si="3"/>
        <v/>
      </c>
      <c r="O169" s="4" t="str">
        <f t="shared" si="11"/>
        <v/>
      </c>
      <c r="P169" s="4" t="str">
        <f t="array" ref="P169">XLOOKUP(L169,'Dados Funil'!A:A,'Dados Funil'!AM:AM,"")</f>
        <v/>
      </c>
      <c r="Q169" s="4" t="str">
        <f t="array" ref="Q169">XLOOKUP(L169,'Dados Funil'!A:A,'Dados Funil'!AN:AN,"")</f>
        <v/>
      </c>
      <c r="T169" s="7" t="str">
        <f t="shared" si="4"/>
        <v/>
      </c>
      <c r="U169" s="4" t="str">
        <f t="shared" si="12"/>
        <v/>
      </c>
      <c r="V169" s="4" t="str">
        <f t="array" ref="V169">XLOOKUP(R169,'Dados Funil'!$A:$A,'Dados Funil'!$K:$K,"")</f>
        <v/>
      </c>
      <c r="W169" s="4" t="str">
        <f t="array" ref="W169">XLOOKUP(R169,'Dados Funil'!$A:$A,'Dados Funil'!$L:$L,"")</f>
        <v/>
      </c>
      <c r="X169" s="4"/>
      <c r="Y169" s="4"/>
      <c r="Z169" s="7" t="str">
        <f t="shared" si="5"/>
        <v/>
      </c>
      <c r="AA169" s="4" t="str">
        <f t="shared" si="13"/>
        <v/>
      </c>
      <c r="AB169" s="4" t="str">
        <f t="array" ref="AB169">XLOOKUP(X169,'Dados Funil'!A:A,'Dados Funil'!O:O,"")</f>
        <v/>
      </c>
      <c r="AE169" s="7" t="str">
        <f t="shared" si="6"/>
        <v/>
      </c>
      <c r="AG169" s="4" t="str">
        <f t="array" ref="AG169">XLOOKUP(AC169,'Dados Funil'!A:A,'Dados Funil'!AM:AM,"")</f>
        <v/>
      </c>
      <c r="AH169" s="4" t="str">
        <f t="array" ref="AH169">XLOOKUP(AC169,'Dados Funil'!A:A,'Dados Funil'!AN:AN,"")</f>
        <v/>
      </c>
    </row>
    <row r="170">
      <c r="A170" s="4"/>
      <c r="B170" s="4"/>
      <c r="C170" s="7" t="str">
        <f t="shared" si="1"/>
        <v/>
      </c>
      <c r="D170" s="4" t="str">
        <f t="shared" si="9"/>
        <v/>
      </c>
      <c r="E170" s="4" t="str">
        <f t="array" ref="E170">XLOOKUP(A170,'Dados Funil'!$A:$A,'Dados Funil'!$K:$K,"")</f>
        <v/>
      </c>
      <c r="F170" s="4" t="str">
        <f t="array" ref="F170">XLOOKUP(A170,'Dados Funil'!$A:$A,'Dados Funil'!$L:$L,"")</f>
        <v/>
      </c>
      <c r="G170" s="4"/>
      <c r="H170" s="4"/>
      <c r="I170" s="7" t="str">
        <f t="shared" si="2"/>
        <v/>
      </c>
      <c r="J170" s="4" t="str">
        <f t="shared" si="10"/>
        <v/>
      </c>
      <c r="K170" s="4" t="str">
        <f t="array" ref="K170">XLOOKUP(G170,'Dados Funil'!A:A,'Dados Funil'!O:O,"")</f>
        <v/>
      </c>
      <c r="L170" s="4"/>
      <c r="M170" s="4"/>
      <c r="N170" s="7" t="str">
        <f t="shared" si="3"/>
        <v/>
      </c>
      <c r="O170" s="4" t="str">
        <f t="shared" si="11"/>
        <v/>
      </c>
      <c r="P170" s="4" t="str">
        <f t="array" ref="P170">XLOOKUP(L170,'Dados Funil'!A:A,'Dados Funil'!AM:AM,"")</f>
        <v/>
      </c>
      <c r="Q170" s="4" t="str">
        <f t="array" ref="Q170">XLOOKUP(L170,'Dados Funil'!A:A,'Dados Funil'!AN:AN,"")</f>
        <v/>
      </c>
      <c r="T170" s="7" t="str">
        <f t="shared" si="4"/>
        <v/>
      </c>
      <c r="U170" s="4" t="str">
        <f t="shared" si="12"/>
        <v/>
      </c>
      <c r="V170" s="4" t="str">
        <f t="array" ref="V170">XLOOKUP(R170,'Dados Funil'!$A:$A,'Dados Funil'!$K:$K,"")</f>
        <v/>
      </c>
      <c r="W170" s="4" t="str">
        <f t="array" ref="W170">XLOOKUP(R170,'Dados Funil'!$A:$A,'Dados Funil'!$L:$L,"")</f>
        <v/>
      </c>
      <c r="X170" s="4"/>
      <c r="Y170" s="4"/>
      <c r="Z170" s="7" t="str">
        <f t="shared" si="5"/>
        <v/>
      </c>
      <c r="AA170" s="4" t="str">
        <f t="shared" si="13"/>
        <v/>
      </c>
      <c r="AB170" s="4" t="str">
        <f t="array" ref="AB170">XLOOKUP(X170,'Dados Funil'!A:A,'Dados Funil'!O:O,"")</f>
        <v/>
      </c>
      <c r="AE170" s="7" t="str">
        <f t="shared" si="6"/>
        <v/>
      </c>
      <c r="AG170" s="4" t="str">
        <f t="array" ref="AG170">XLOOKUP(AC170,'Dados Funil'!A:A,'Dados Funil'!AM:AM,"")</f>
        <v/>
      </c>
      <c r="AH170" s="4" t="str">
        <f t="array" ref="AH170">XLOOKUP(AC170,'Dados Funil'!A:A,'Dados Funil'!AN:AN,"")</f>
        <v/>
      </c>
    </row>
    <row r="171">
      <c r="A171" s="4"/>
      <c r="B171" s="4"/>
      <c r="C171" s="7" t="str">
        <f t="shared" si="1"/>
        <v/>
      </c>
      <c r="D171" s="4" t="str">
        <f t="shared" si="9"/>
        <v/>
      </c>
      <c r="E171" s="4" t="str">
        <f t="array" ref="E171">XLOOKUP(A171,'Dados Funil'!$A:$A,'Dados Funil'!$K:$K,"")</f>
        <v/>
      </c>
      <c r="F171" s="4" t="str">
        <f t="array" ref="F171">XLOOKUP(A171,'Dados Funil'!$A:$A,'Dados Funil'!$L:$L,"")</f>
        <v/>
      </c>
      <c r="G171" s="4"/>
      <c r="H171" s="4"/>
      <c r="I171" s="7" t="str">
        <f t="shared" si="2"/>
        <v/>
      </c>
      <c r="J171" s="4" t="str">
        <f t="shared" si="10"/>
        <v/>
      </c>
      <c r="K171" s="4" t="str">
        <f t="array" ref="K171">XLOOKUP(G171,'Dados Funil'!A:A,'Dados Funil'!O:O,"")</f>
        <v/>
      </c>
      <c r="L171" s="4"/>
      <c r="M171" s="4"/>
      <c r="N171" s="7" t="str">
        <f t="shared" si="3"/>
        <v/>
      </c>
      <c r="O171" s="4" t="str">
        <f t="shared" si="11"/>
        <v/>
      </c>
      <c r="P171" s="4" t="str">
        <f t="array" ref="P171">XLOOKUP(L171,'Dados Funil'!A:A,'Dados Funil'!AM:AM,"")</f>
        <v/>
      </c>
      <c r="Q171" s="4" t="str">
        <f t="array" ref="Q171">XLOOKUP(L171,'Dados Funil'!A:A,'Dados Funil'!AN:AN,"")</f>
        <v/>
      </c>
      <c r="T171" s="7" t="str">
        <f t="shared" si="4"/>
        <v/>
      </c>
      <c r="U171" s="4" t="str">
        <f t="shared" si="12"/>
        <v/>
      </c>
      <c r="V171" s="4" t="str">
        <f t="array" ref="V171">XLOOKUP(R171,'Dados Funil'!$A:$A,'Dados Funil'!$K:$K,"")</f>
        <v/>
      </c>
      <c r="W171" s="4" t="str">
        <f t="array" ref="W171">XLOOKUP(R171,'Dados Funil'!$A:$A,'Dados Funil'!$L:$L,"")</f>
        <v/>
      </c>
      <c r="X171" s="4"/>
      <c r="Y171" s="4"/>
      <c r="Z171" s="7" t="str">
        <f t="shared" si="5"/>
        <v/>
      </c>
      <c r="AA171" s="4" t="str">
        <f t="shared" si="13"/>
        <v/>
      </c>
      <c r="AB171" s="4" t="str">
        <f t="array" ref="AB171">XLOOKUP(X171,'Dados Funil'!A:A,'Dados Funil'!O:O,"")</f>
        <v/>
      </c>
      <c r="AE171" s="7" t="str">
        <f t="shared" si="6"/>
        <v/>
      </c>
      <c r="AG171" s="4" t="str">
        <f t="array" ref="AG171">XLOOKUP(AC171,'Dados Funil'!A:A,'Dados Funil'!AM:AM,"")</f>
        <v/>
      </c>
      <c r="AH171" s="4" t="str">
        <f t="array" ref="AH171">XLOOKUP(AC171,'Dados Funil'!A:A,'Dados Funil'!AN:AN,"")</f>
        <v/>
      </c>
    </row>
    <row r="172">
      <c r="A172" s="4"/>
      <c r="B172" s="4"/>
      <c r="C172" s="7" t="str">
        <f t="shared" si="1"/>
        <v/>
      </c>
      <c r="D172" s="4" t="str">
        <f t="shared" si="9"/>
        <v/>
      </c>
      <c r="E172" s="4" t="str">
        <f t="array" ref="E172">XLOOKUP(A172,'Dados Funil'!$A:$A,'Dados Funil'!$K:$K,"")</f>
        <v/>
      </c>
      <c r="F172" s="4" t="str">
        <f t="array" ref="F172">XLOOKUP(A172,'Dados Funil'!$A:$A,'Dados Funil'!$L:$L,"")</f>
        <v/>
      </c>
      <c r="G172" s="4"/>
      <c r="H172" s="4"/>
      <c r="I172" s="7" t="str">
        <f t="shared" si="2"/>
        <v/>
      </c>
      <c r="J172" s="4" t="str">
        <f t="shared" si="10"/>
        <v/>
      </c>
      <c r="K172" s="4" t="str">
        <f t="array" ref="K172">XLOOKUP(G172,'Dados Funil'!A:A,'Dados Funil'!O:O,"")</f>
        <v/>
      </c>
      <c r="L172" s="4"/>
      <c r="M172" s="4"/>
      <c r="N172" s="7" t="str">
        <f t="shared" si="3"/>
        <v/>
      </c>
      <c r="O172" s="4" t="str">
        <f t="shared" si="11"/>
        <v/>
      </c>
      <c r="P172" s="4" t="str">
        <f t="array" ref="P172">XLOOKUP(L172,'Dados Funil'!A:A,'Dados Funil'!AM:AM,"")</f>
        <v/>
      </c>
      <c r="Q172" s="4" t="str">
        <f t="array" ref="Q172">XLOOKUP(L172,'Dados Funil'!A:A,'Dados Funil'!AN:AN,"")</f>
        <v/>
      </c>
      <c r="T172" s="7" t="str">
        <f t="shared" si="4"/>
        <v/>
      </c>
      <c r="U172" s="4" t="str">
        <f t="shared" si="12"/>
        <v/>
      </c>
      <c r="V172" s="4" t="str">
        <f t="array" ref="V172">XLOOKUP(R172,'Dados Funil'!$A:$A,'Dados Funil'!$K:$K,"")</f>
        <v/>
      </c>
      <c r="W172" s="4" t="str">
        <f t="array" ref="W172">XLOOKUP(R172,'Dados Funil'!$A:$A,'Dados Funil'!$L:$L,"")</f>
        <v/>
      </c>
      <c r="X172" s="4"/>
      <c r="Y172" s="4"/>
      <c r="Z172" s="7" t="str">
        <f t="shared" si="5"/>
        <v/>
      </c>
      <c r="AA172" s="4" t="str">
        <f t="shared" si="13"/>
        <v/>
      </c>
      <c r="AB172" s="4" t="str">
        <f t="array" ref="AB172">XLOOKUP(X172,'Dados Funil'!A:A,'Dados Funil'!O:O,"")</f>
        <v/>
      </c>
      <c r="AE172" s="7" t="str">
        <f t="shared" si="6"/>
        <v/>
      </c>
      <c r="AG172" s="4" t="str">
        <f t="array" ref="AG172">XLOOKUP(AC172,'Dados Funil'!A:A,'Dados Funil'!AM:AM,"")</f>
        <v/>
      </c>
      <c r="AH172" s="4" t="str">
        <f t="array" ref="AH172">XLOOKUP(AC172,'Dados Funil'!A:A,'Dados Funil'!AN:AN,"")</f>
        <v/>
      </c>
    </row>
    <row r="173">
      <c r="A173" s="4"/>
      <c r="B173" s="4"/>
      <c r="C173" s="7" t="str">
        <f t="shared" si="1"/>
        <v/>
      </c>
      <c r="D173" s="4" t="str">
        <f t="shared" si="9"/>
        <v/>
      </c>
      <c r="E173" s="4" t="str">
        <f t="array" ref="E173">XLOOKUP(A173,'Dados Funil'!$A:$A,'Dados Funil'!$K:$K,"")</f>
        <v/>
      </c>
      <c r="F173" s="4" t="str">
        <f t="array" ref="F173">XLOOKUP(A173,'Dados Funil'!$A:$A,'Dados Funil'!$L:$L,"")</f>
        <v/>
      </c>
      <c r="G173" s="4"/>
      <c r="H173" s="4"/>
      <c r="I173" s="7" t="str">
        <f t="shared" si="2"/>
        <v/>
      </c>
      <c r="J173" s="4" t="str">
        <f t="shared" si="10"/>
        <v/>
      </c>
      <c r="K173" s="4" t="str">
        <f t="array" ref="K173">XLOOKUP(G173,'Dados Funil'!A:A,'Dados Funil'!O:O,"")</f>
        <v/>
      </c>
      <c r="L173" s="4"/>
      <c r="M173" s="4"/>
      <c r="N173" s="7" t="str">
        <f t="shared" si="3"/>
        <v/>
      </c>
      <c r="O173" s="4" t="str">
        <f t="shared" si="11"/>
        <v/>
      </c>
      <c r="P173" s="4" t="str">
        <f t="array" ref="P173">XLOOKUP(L173,'Dados Funil'!A:A,'Dados Funil'!AM:AM,"")</f>
        <v/>
      </c>
      <c r="Q173" s="4" t="str">
        <f t="array" ref="Q173">XLOOKUP(L173,'Dados Funil'!A:A,'Dados Funil'!AN:AN,"")</f>
        <v/>
      </c>
      <c r="T173" s="7" t="str">
        <f t="shared" si="4"/>
        <v/>
      </c>
      <c r="U173" s="4" t="str">
        <f t="shared" si="12"/>
        <v/>
      </c>
      <c r="V173" s="4" t="str">
        <f t="array" ref="V173">XLOOKUP(R173,'Dados Funil'!$A:$A,'Dados Funil'!$K:$K,"")</f>
        <v/>
      </c>
      <c r="W173" s="4" t="str">
        <f t="array" ref="W173">XLOOKUP(R173,'Dados Funil'!$A:$A,'Dados Funil'!$L:$L,"")</f>
        <v/>
      </c>
      <c r="X173" s="4"/>
      <c r="Y173" s="4"/>
      <c r="Z173" s="7" t="str">
        <f t="shared" si="5"/>
        <v/>
      </c>
      <c r="AA173" s="4" t="str">
        <f t="shared" si="13"/>
        <v/>
      </c>
      <c r="AB173" s="4" t="str">
        <f t="array" ref="AB173">XLOOKUP(X173,'Dados Funil'!A:A,'Dados Funil'!O:O,"")</f>
        <v/>
      </c>
      <c r="AE173" s="7" t="str">
        <f t="shared" si="6"/>
        <v/>
      </c>
      <c r="AG173" s="4" t="str">
        <f t="array" ref="AG173">XLOOKUP(AC173,'Dados Funil'!A:A,'Dados Funil'!AM:AM,"")</f>
        <v/>
      </c>
      <c r="AH173" s="4" t="str">
        <f t="array" ref="AH173">XLOOKUP(AC173,'Dados Funil'!A:A,'Dados Funil'!AN:AN,"")</f>
        <v/>
      </c>
    </row>
    <row r="174">
      <c r="A174" s="4"/>
      <c r="B174" s="4"/>
      <c r="C174" s="7" t="str">
        <f t="shared" si="1"/>
        <v/>
      </c>
      <c r="D174" s="4" t="str">
        <f t="shared" si="9"/>
        <v/>
      </c>
      <c r="E174" s="4" t="str">
        <f t="array" ref="E174">XLOOKUP(A174,'Dados Funil'!$A:$A,'Dados Funil'!$K:$K,"")</f>
        <v/>
      </c>
      <c r="F174" s="4" t="str">
        <f t="array" ref="F174">XLOOKUP(A174,'Dados Funil'!$A:$A,'Dados Funil'!$L:$L,"")</f>
        <v/>
      </c>
      <c r="G174" s="4"/>
      <c r="H174" s="4"/>
      <c r="I174" s="7" t="str">
        <f t="shared" si="2"/>
        <v/>
      </c>
      <c r="J174" s="4" t="str">
        <f t="shared" si="10"/>
        <v/>
      </c>
      <c r="K174" s="4" t="str">
        <f t="array" ref="K174">XLOOKUP(G174,'Dados Funil'!A:A,'Dados Funil'!O:O,"")</f>
        <v/>
      </c>
      <c r="L174" s="4"/>
      <c r="M174" s="4"/>
      <c r="N174" s="7" t="str">
        <f t="shared" si="3"/>
        <v/>
      </c>
      <c r="O174" s="4" t="str">
        <f t="shared" si="11"/>
        <v/>
      </c>
      <c r="P174" s="4" t="str">
        <f t="array" ref="P174">XLOOKUP(L174,'Dados Funil'!A:A,'Dados Funil'!AM:AM,"")</f>
        <v/>
      </c>
      <c r="Q174" s="4" t="str">
        <f t="array" ref="Q174">XLOOKUP(L174,'Dados Funil'!A:A,'Dados Funil'!AN:AN,"")</f>
        <v/>
      </c>
      <c r="T174" s="7" t="str">
        <f t="shared" si="4"/>
        <v/>
      </c>
      <c r="U174" s="4" t="str">
        <f t="shared" si="12"/>
        <v/>
      </c>
      <c r="V174" s="4" t="str">
        <f t="array" ref="V174">XLOOKUP(R174,'Dados Funil'!$A:$A,'Dados Funil'!$K:$K,"")</f>
        <v/>
      </c>
      <c r="W174" s="4" t="str">
        <f t="array" ref="W174">XLOOKUP(R174,'Dados Funil'!$A:$A,'Dados Funil'!$L:$L,"")</f>
        <v/>
      </c>
      <c r="X174" s="4"/>
      <c r="Y174" s="4"/>
      <c r="Z174" s="7" t="str">
        <f t="shared" si="5"/>
        <v/>
      </c>
      <c r="AA174" s="4" t="str">
        <f t="shared" si="13"/>
        <v/>
      </c>
      <c r="AB174" s="4" t="str">
        <f t="array" ref="AB174">XLOOKUP(X174,'Dados Funil'!A:A,'Dados Funil'!O:O,"")</f>
        <v/>
      </c>
      <c r="AE174" s="7" t="str">
        <f t="shared" si="6"/>
        <v/>
      </c>
      <c r="AG174" s="4" t="str">
        <f t="array" ref="AG174">XLOOKUP(AC174,'Dados Funil'!A:A,'Dados Funil'!AM:AM,"")</f>
        <v/>
      </c>
      <c r="AH174" s="4" t="str">
        <f t="array" ref="AH174">XLOOKUP(AC174,'Dados Funil'!A:A,'Dados Funil'!AN:AN,"")</f>
        <v/>
      </c>
    </row>
    <row r="175">
      <c r="A175" s="4"/>
      <c r="B175" s="4"/>
      <c r="C175" s="7" t="str">
        <f t="shared" si="1"/>
        <v/>
      </c>
      <c r="D175" s="4" t="str">
        <f t="shared" si="9"/>
        <v/>
      </c>
      <c r="E175" s="4" t="str">
        <f t="array" ref="E175">XLOOKUP(A175,'Dados Funil'!$A:$A,'Dados Funil'!$K:$K,"")</f>
        <v/>
      </c>
      <c r="F175" s="4" t="str">
        <f t="array" ref="F175">XLOOKUP(A175,'Dados Funil'!$A:$A,'Dados Funil'!$L:$L,"")</f>
        <v/>
      </c>
      <c r="G175" s="4"/>
      <c r="H175" s="4"/>
      <c r="I175" s="7" t="str">
        <f t="shared" si="2"/>
        <v/>
      </c>
      <c r="J175" s="4" t="str">
        <f t="shared" si="10"/>
        <v/>
      </c>
      <c r="K175" s="4" t="str">
        <f t="array" ref="K175">XLOOKUP(G175,'Dados Funil'!A:A,'Dados Funil'!O:O,"")</f>
        <v/>
      </c>
      <c r="L175" s="4"/>
      <c r="M175" s="4"/>
      <c r="N175" s="7" t="str">
        <f t="shared" si="3"/>
        <v/>
      </c>
      <c r="O175" s="4" t="str">
        <f t="shared" si="11"/>
        <v/>
      </c>
      <c r="P175" s="4" t="str">
        <f t="array" ref="P175">XLOOKUP(L175,'Dados Funil'!A:A,'Dados Funil'!AM:AM,"")</f>
        <v/>
      </c>
      <c r="Q175" s="4" t="str">
        <f t="array" ref="Q175">XLOOKUP(L175,'Dados Funil'!A:A,'Dados Funil'!AN:AN,"")</f>
        <v/>
      </c>
      <c r="T175" s="7" t="str">
        <f t="shared" si="4"/>
        <v/>
      </c>
      <c r="U175" s="4" t="str">
        <f t="shared" si="12"/>
        <v/>
      </c>
      <c r="V175" s="4" t="str">
        <f t="array" ref="V175">XLOOKUP(R175,'Dados Funil'!$A:$A,'Dados Funil'!$K:$K,"")</f>
        <v/>
      </c>
      <c r="W175" s="4" t="str">
        <f t="array" ref="W175">XLOOKUP(R175,'Dados Funil'!$A:$A,'Dados Funil'!$L:$L,"")</f>
        <v/>
      </c>
      <c r="X175" s="4"/>
      <c r="Y175" s="4"/>
      <c r="Z175" s="7" t="str">
        <f t="shared" si="5"/>
        <v/>
      </c>
      <c r="AA175" s="4" t="str">
        <f t="shared" si="13"/>
        <v/>
      </c>
      <c r="AB175" s="4" t="str">
        <f t="array" ref="AB175">XLOOKUP(X175,'Dados Funil'!A:A,'Dados Funil'!O:O,"")</f>
        <v/>
      </c>
      <c r="AE175" s="7" t="str">
        <f t="shared" si="6"/>
        <v/>
      </c>
      <c r="AG175" s="4" t="str">
        <f t="array" ref="AG175">XLOOKUP(AC175,'Dados Funil'!A:A,'Dados Funil'!AM:AM,"")</f>
        <v/>
      </c>
      <c r="AH175" s="4" t="str">
        <f t="array" ref="AH175">XLOOKUP(AC175,'Dados Funil'!A:A,'Dados Funil'!AN:AN,"")</f>
        <v/>
      </c>
    </row>
    <row r="176">
      <c r="A176" s="4"/>
      <c r="B176" s="4"/>
      <c r="C176" s="7" t="str">
        <f t="shared" si="1"/>
        <v/>
      </c>
      <c r="D176" s="4" t="str">
        <f t="shared" si="9"/>
        <v/>
      </c>
      <c r="E176" s="4" t="str">
        <f t="array" ref="E176">XLOOKUP(A176,'Dados Funil'!$A:$A,'Dados Funil'!$K:$K,"")</f>
        <v/>
      </c>
      <c r="F176" s="4" t="str">
        <f t="array" ref="F176">XLOOKUP(A176,'Dados Funil'!$A:$A,'Dados Funil'!$L:$L,"")</f>
        <v/>
      </c>
      <c r="G176" s="4"/>
      <c r="H176" s="4"/>
      <c r="I176" s="7" t="str">
        <f t="shared" si="2"/>
        <v/>
      </c>
      <c r="J176" s="4" t="str">
        <f t="shared" si="10"/>
        <v/>
      </c>
      <c r="K176" s="4" t="str">
        <f t="array" ref="K176">XLOOKUP(G176,'Dados Funil'!A:A,'Dados Funil'!O:O,"")</f>
        <v/>
      </c>
      <c r="L176" s="4"/>
      <c r="M176" s="4"/>
      <c r="N176" s="7" t="str">
        <f t="shared" si="3"/>
        <v/>
      </c>
      <c r="O176" s="4" t="str">
        <f t="shared" si="11"/>
        <v/>
      </c>
      <c r="P176" s="4" t="str">
        <f t="array" ref="P176">XLOOKUP(L176,'Dados Funil'!A:A,'Dados Funil'!AM:AM,"")</f>
        <v/>
      </c>
      <c r="Q176" s="4" t="str">
        <f t="array" ref="Q176">XLOOKUP(L176,'Dados Funil'!A:A,'Dados Funil'!AN:AN,"")</f>
        <v/>
      </c>
      <c r="T176" s="7" t="str">
        <f t="shared" si="4"/>
        <v/>
      </c>
      <c r="U176" s="4" t="str">
        <f t="shared" si="12"/>
        <v/>
      </c>
      <c r="V176" s="4" t="str">
        <f t="array" ref="V176">XLOOKUP(R176,'Dados Funil'!$A:$A,'Dados Funil'!$K:$K,"")</f>
        <v/>
      </c>
      <c r="W176" s="4" t="str">
        <f t="array" ref="W176">XLOOKUP(R176,'Dados Funil'!$A:$A,'Dados Funil'!$L:$L,"")</f>
        <v/>
      </c>
      <c r="X176" s="4"/>
      <c r="Y176" s="4"/>
      <c r="Z176" s="7" t="str">
        <f t="shared" si="5"/>
        <v/>
      </c>
      <c r="AA176" s="4" t="str">
        <f t="shared" si="13"/>
        <v/>
      </c>
      <c r="AB176" s="4" t="str">
        <f t="array" ref="AB176">XLOOKUP(X176,'Dados Funil'!A:A,'Dados Funil'!O:O,"")</f>
        <v/>
      </c>
      <c r="AE176" s="7" t="str">
        <f t="shared" si="6"/>
        <v/>
      </c>
      <c r="AG176" s="4" t="str">
        <f t="array" ref="AG176">XLOOKUP(AC176,'Dados Funil'!A:A,'Dados Funil'!AM:AM,"")</f>
        <v/>
      </c>
      <c r="AH176" s="4" t="str">
        <f t="array" ref="AH176">XLOOKUP(AC176,'Dados Funil'!A:A,'Dados Funil'!AN:AN,"")</f>
        <v/>
      </c>
    </row>
    <row r="177">
      <c r="A177" s="4"/>
      <c r="B177" s="4"/>
      <c r="C177" s="7" t="str">
        <f t="shared" si="1"/>
        <v/>
      </c>
      <c r="D177" s="4" t="str">
        <f t="shared" si="9"/>
        <v/>
      </c>
      <c r="E177" s="4" t="str">
        <f t="array" ref="E177">XLOOKUP(A177,'Dados Funil'!$A:$A,'Dados Funil'!$K:$K,"")</f>
        <v/>
      </c>
      <c r="F177" s="4" t="str">
        <f t="array" ref="F177">XLOOKUP(A177,'Dados Funil'!$A:$A,'Dados Funil'!$L:$L,"")</f>
        <v/>
      </c>
      <c r="G177" s="4"/>
      <c r="H177" s="4"/>
      <c r="I177" s="7" t="str">
        <f t="shared" si="2"/>
        <v/>
      </c>
      <c r="J177" s="4" t="str">
        <f t="shared" si="10"/>
        <v/>
      </c>
      <c r="K177" s="4" t="str">
        <f t="array" ref="K177">XLOOKUP(G177,'Dados Funil'!A:A,'Dados Funil'!O:O,"")</f>
        <v/>
      </c>
      <c r="L177" s="4"/>
      <c r="M177" s="4"/>
      <c r="N177" s="7" t="str">
        <f t="shared" si="3"/>
        <v/>
      </c>
      <c r="O177" s="4" t="str">
        <f t="shared" si="11"/>
        <v/>
      </c>
      <c r="P177" s="4" t="str">
        <f t="array" ref="P177">XLOOKUP(L177,'Dados Funil'!A:A,'Dados Funil'!AM:AM,"")</f>
        <v/>
      </c>
      <c r="Q177" s="4" t="str">
        <f t="array" ref="Q177">XLOOKUP(L177,'Dados Funil'!A:A,'Dados Funil'!AN:AN,"")</f>
        <v/>
      </c>
      <c r="T177" s="7" t="str">
        <f t="shared" si="4"/>
        <v/>
      </c>
      <c r="U177" s="4" t="str">
        <f t="shared" si="12"/>
        <v/>
      </c>
      <c r="V177" s="4" t="str">
        <f t="array" ref="V177">XLOOKUP(R177,'Dados Funil'!$A:$A,'Dados Funil'!$K:$K,"")</f>
        <v/>
      </c>
      <c r="W177" s="4" t="str">
        <f t="array" ref="W177">XLOOKUP(R177,'Dados Funil'!$A:$A,'Dados Funil'!$L:$L,"")</f>
        <v/>
      </c>
      <c r="X177" s="4"/>
      <c r="Y177" s="4"/>
      <c r="Z177" s="7" t="str">
        <f t="shared" si="5"/>
        <v/>
      </c>
      <c r="AA177" s="4" t="str">
        <f t="shared" si="13"/>
        <v/>
      </c>
      <c r="AB177" s="4" t="str">
        <f t="array" ref="AB177">XLOOKUP(X177,'Dados Funil'!A:A,'Dados Funil'!O:O,"")</f>
        <v/>
      </c>
      <c r="AE177" s="7" t="str">
        <f t="shared" si="6"/>
        <v/>
      </c>
      <c r="AG177" s="4" t="str">
        <f t="array" ref="AG177">XLOOKUP(AC177,'Dados Funil'!A:A,'Dados Funil'!AM:AM,"")</f>
        <v/>
      </c>
      <c r="AH177" s="4" t="str">
        <f t="array" ref="AH177">XLOOKUP(AC177,'Dados Funil'!A:A,'Dados Funil'!AN:AN,"")</f>
        <v/>
      </c>
    </row>
    <row r="178">
      <c r="A178" s="4"/>
      <c r="B178" s="4"/>
      <c r="C178" s="7" t="str">
        <f t="shared" si="1"/>
        <v/>
      </c>
      <c r="D178" s="4" t="str">
        <f t="shared" si="9"/>
        <v/>
      </c>
      <c r="E178" s="4" t="str">
        <f t="array" ref="E178">XLOOKUP(A178,'Dados Funil'!$A:$A,'Dados Funil'!$K:$K,"")</f>
        <v/>
      </c>
      <c r="F178" s="4" t="str">
        <f t="array" ref="F178">XLOOKUP(A178,'Dados Funil'!$A:$A,'Dados Funil'!$L:$L,"")</f>
        <v/>
      </c>
      <c r="G178" s="4"/>
      <c r="H178" s="4"/>
      <c r="I178" s="7" t="str">
        <f t="shared" si="2"/>
        <v/>
      </c>
      <c r="J178" s="4" t="str">
        <f t="shared" si="10"/>
        <v/>
      </c>
      <c r="K178" s="4" t="str">
        <f t="array" ref="K178">XLOOKUP(G178,'Dados Funil'!A:A,'Dados Funil'!O:O,"")</f>
        <v/>
      </c>
      <c r="L178" s="4"/>
      <c r="M178" s="4"/>
      <c r="N178" s="7" t="str">
        <f t="shared" si="3"/>
        <v/>
      </c>
      <c r="O178" s="4" t="str">
        <f t="shared" si="11"/>
        <v/>
      </c>
      <c r="P178" s="4" t="str">
        <f t="array" ref="P178">XLOOKUP(L178,'Dados Funil'!A:A,'Dados Funil'!AM:AM,"")</f>
        <v/>
      </c>
      <c r="Q178" s="4" t="str">
        <f t="array" ref="Q178">XLOOKUP(L178,'Dados Funil'!A:A,'Dados Funil'!AN:AN,"")</f>
        <v/>
      </c>
      <c r="T178" s="7" t="str">
        <f t="shared" si="4"/>
        <v/>
      </c>
      <c r="U178" s="4" t="str">
        <f t="shared" si="12"/>
        <v/>
      </c>
      <c r="V178" s="4" t="str">
        <f t="array" ref="V178">XLOOKUP(R178,'Dados Funil'!$A:$A,'Dados Funil'!$K:$K,"")</f>
        <v/>
      </c>
      <c r="W178" s="4" t="str">
        <f t="array" ref="W178">XLOOKUP(R178,'Dados Funil'!$A:$A,'Dados Funil'!$L:$L,"")</f>
        <v/>
      </c>
      <c r="X178" s="4"/>
      <c r="Y178" s="4"/>
      <c r="Z178" s="7" t="str">
        <f t="shared" si="5"/>
        <v/>
      </c>
      <c r="AA178" s="4" t="str">
        <f t="shared" si="13"/>
        <v/>
      </c>
      <c r="AB178" s="4" t="str">
        <f t="array" ref="AB178">XLOOKUP(X178,'Dados Funil'!A:A,'Dados Funil'!O:O,"")</f>
        <v/>
      </c>
      <c r="AE178" s="7" t="str">
        <f t="shared" si="6"/>
        <v/>
      </c>
      <c r="AG178" s="4" t="str">
        <f t="array" ref="AG178">XLOOKUP(AC178,'Dados Funil'!A:A,'Dados Funil'!AM:AM,"")</f>
        <v/>
      </c>
      <c r="AH178" s="4" t="str">
        <f t="array" ref="AH178">XLOOKUP(AC178,'Dados Funil'!A:A,'Dados Funil'!AN:AN,"")</f>
        <v/>
      </c>
    </row>
    <row r="179">
      <c r="A179" s="4"/>
      <c r="B179" s="4"/>
      <c r="C179" s="7" t="str">
        <f t="shared" si="1"/>
        <v/>
      </c>
      <c r="D179" s="4" t="str">
        <f t="shared" si="9"/>
        <v/>
      </c>
      <c r="E179" s="4" t="str">
        <f t="array" ref="E179">XLOOKUP(A179,'Dados Funil'!$A:$A,'Dados Funil'!$K:$K,"")</f>
        <v/>
      </c>
      <c r="F179" s="4" t="str">
        <f t="array" ref="F179">XLOOKUP(A179,'Dados Funil'!$A:$A,'Dados Funil'!$L:$L,"")</f>
        <v/>
      </c>
      <c r="G179" s="4"/>
      <c r="H179" s="4"/>
      <c r="I179" s="7" t="str">
        <f t="shared" si="2"/>
        <v/>
      </c>
      <c r="J179" s="4" t="str">
        <f t="shared" si="10"/>
        <v/>
      </c>
      <c r="K179" s="4" t="str">
        <f t="array" ref="K179">XLOOKUP(G179,'Dados Funil'!A:A,'Dados Funil'!O:O,"")</f>
        <v/>
      </c>
      <c r="L179" s="4"/>
      <c r="M179" s="4"/>
      <c r="N179" s="7" t="str">
        <f t="shared" si="3"/>
        <v/>
      </c>
      <c r="O179" s="4" t="str">
        <f t="shared" si="11"/>
        <v/>
      </c>
      <c r="P179" s="4" t="str">
        <f t="array" ref="P179">XLOOKUP(L179,'Dados Funil'!A:A,'Dados Funil'!AM:AM,"")</f>
        <v/>
      </c>
      <c r="Q179" s="4" t="str">
        <f t="array" ref="Q179">XLOOKUP(L179,'Dados Funil'!A:A,'Dados Funil'!AN:AN,"")</f>
        <v/>
      </c>
      <c r="T179" s="7" t="str">
        <f t="shared" si="4"/>
        <v/>
      </c>
      <c r="U179" s="4" t="str">
        <f t="shared" si="12"/>
        <v/>
      </c>
      <c r="V179" s="4" t="str">
        <f t="array" ref="V179">XLOOKUP(R179,'Dados Funil'!$A:$A,'Dados Funil'!$K:$K,"")</f>
        <v/>
      </c>
      <c r="W179" s="4" t="str">
        <f t="array" ref="W179">XLOOKUP(R179,'Dados Funil'!$A:$A,'Dados Funil'!$L:$L,"")</f>
        <v/>
      </c>
      <c r="X179" s="4"/>
      <c r="Y179" s="4"/>
      <c r="Z179" s="7" t="str">
        <f t="shared" si="5"/>
        <v/>
      </c>
      <c r="AA179" s="4" t="str">
        <f t="shared" si="13"/>
        <v/>
      </c>
      <c r="AB179" s="4" t="str">
        <f t="array" ref="AB179">XLOOKUP(X179,'Dados Funil'!A:A,'Dados Funil'!O:O,"")</f>
        <v/>
      </c>
      <c r="AE179" s="7" t="str">
        <f t="shared" si="6"/>
        <v/>
      </c>
      <c r="AG179" s="4" t="str">
        <f t="array" ref="AG179">XLOOKUP(AC179,'Dados Funil'!A:A,'Dados Funil'!AM:AM,"")</f>
        <v/>
      </c>
      <c r="AH179" s="4" t="str">
        <f t="array" ref="AH179">XLOOKUP(AC179,'Dados Funil'!A:A,'Dados Funil'!AN:AN,"")</f>
        <v/>
      </c>
    </row>
    <row r="180">
      <c r="A180" s="4"/>
      <c r="B180" s="4"/>
      <c r="C180" s="7" t="str">
        <f t="shared" si="1"/>
        <v/>
      </c>
      <c r="D180" s="4" t="str">
        <f t="shared" si="9"/>
        <v/>
      </c>
      <c r="E180" s="4" t="str">
        <f t="array" ref="E180">XLOOKUP(A180,'Dados Funil'!$A:$A,'Dados Funil'!$K:$K,"")</f>
        <v/>
      </c>
      <c r="F180" s="4" t="str">
        <f t="array" ref="F180">XLOOKUP(A180,'Dados Funil'!$A:$A,'Dados Funil'!$L:$L,"")</f>
        <v/>
      </c>
      <c r="G180" s="4"/>
      <c r="H180" s="4"/>
      <c r="I180" s="7" t="str">
        <f t="shared" si="2"/>
        <v/>
      </c>
      <c r="J180" s="4" t="str">
        <f t="shared" si="10"/>
        <v/>
      </c>
      <c r="K180" s="4" t="str">
        <f t="array" ref="K180">XLOOKUP(G180,'Dados Funil'!A:A,'Dados Funil'!O:O,"")</f>
        <v/>
      </c>
      <c r="L180" s="4"/>
      <c r="M180" s="4"/>
      <c r="N180" s="7" t="str">
        <f t="shared" si="3"/>
        <v/>
      </c>
      <c r="O180" s="4" t="str">
        <f t="shared" si="11"/>
        <v/>
      </c>
      <c r="P180" s="4" t="str">
        <f t="array" ref="P180">XLOOKUP(L180,'Dados Funil'!A:A,'Dados Funil'!AM:AM,"")</f>
        <v/>
      </c>
      <c r="Q180" s="4" t="str">
        <f t="array" ref="Q180">XLOOKUP(L180,'Dados Funil'!A:A,'Dados Funil'!AN:AN,"")</f>
        <v/>
      </c>
      <c r="T180" s="7" t="str">
        <f t="shared" si="4"/>
        <v/>
      </c>
      <c r="U180" s="4" t="str">
        <f t="shared" si="12"/>
        <v/>
      </c>
      <c r="V180" s="4" t="str">
        <f t="array" ref="V180">XLOOKUP(R180,'Dados Funil'!$A:$A,'Dados Funil'!$K:$K,"")</f>
        <v/>
      </c>
      <c r="W180" s="4" t="str">
        <f t="array" ref="W180">XLOOKUP(R180,'Dados Funil'!$A:$A,'Dados Funil'!$L:$L,"")</f>
        <v/>
      </c>
      <c r="X180" s="4"/>
      <c r="Y180" s="4"/>
      <c r="Z180" s="7" t="str">
        <f t="shared" si="5"/>
        <v/>
      </c>
      <c r="AA180" s="4" t="str">
        <f t="shared" si="13"/>
        <v/>
      </c>
      <c r="AB180" s="4" t="str">
        <f t="array" ref="AB180">XLOOKUP(X180,'Dados Funil'!A:A,'Dados Funil'!O:O,"")</f>
        <v/>
      </c>
      <c r="AE180" s="7" t="str">
        <f t="shared" si="6"/>
        <v/>
      </c>
      <c r="AG180" s="4" t="str">
        <f t="array" ref="AG180">XLOOKUP(AC180,'Dados Funil'!A:A,'Dados Funil'!AM:AM,"")</f>
        <v/>
      </c>
      <c r="AH180" s="4" t="str">
        <f t="array" ref="AH180">XLOOKUP(AC180,'Dados Funil'!A:A,'Dados Funil'!AN:AN,"")</f>
        <v/>
      </c>
    </row>
    <row r="181">
      <c r="A181" s="4"/>
      <c r="B181" s="4"/>
      <c r="C181" s="7" t="str">
        <f t="shared" si="1"/>
        <v/>
      </c>
      <c r="D181" s="4" t="str">
        <f t="shared" si="9"/>
        <v/>
      </c>
      <c r="E181" s="4" t="str">
        <f t="array" ref="E181">XLOOKUP(A181,'Dados Funil'!$A:$A,'Dados Funil'!$K:$K,"")</f>
        <v/>
      </c>
      <c r="F181" s="4" t="str">
        <f t="array" ref="F181">XLOOKUP(A181,'Dados Funil'!$A:$A,'Dados Funil'!$L:$L,"")</f>
        <v/>
      </c>
      <c r="G181" s="4"/>
      <c r="H181" s="4"/>
      <c r="I181" s="7" t="str">
        <f t="shared" si="2"/>
        <v/>
      </c>
      <c r="J181" s="4" t="str">
        <f t="shared" si="10"/>
        <v/>
      </c>
      <c r="K181" s="4" t="str">
        <f t="array" ref="K181">XLOOKUP(G181,'Dados Funil'!A:A,'Dados Funil'!O:O,"")</f>
        <v/>
      </c>
      <c r="L181" s="4"/>
      <c r="M181" s="4"/>
      <c r="N181" s="7" t="str">
        <f t="shared" si="3"/>
        <v/>
      </c>
      <c r="O181" s="4" t="str">
        <f t="shared" si="11"/>
        <v/>
      </c>
      <c r="P181" s="4" t="str">
        <f t="array" ref="P181">XLOOKUP(L181,'Dados Funil'!A:A,'Dados Funil'!AM:AM,"")</f>
        <v/>
      </c>
      <c r="Q181" s="4" t="str">
        <f t="array" ref="Q181">XLOOKUP(L181,'Dados Funil'!A:A,'Dados Funil'!AN:AN,"")</f>
        <v/>
      </c>
      <c r="T181" s="7" t="str">
        <f t="shared" si="4"/>
        <v/>
      </c>
      <c r="U181" s="4" t="str">
        <f t="shared" si="12"/>
        <v/>
      </c>
      <c r="V181" s="4" t="str">
        <f t="array" ref="V181">XLOOKUP(R181,'Dados Funil'!$A:$A,'Dados Funil'!$K:$K,"")</f>
        <v/>
      </c>
      <c r="W181" s="4" t="str">
        <f t="array" ref="W181">XLOOKUP(R181,'Dados Funil'!$A:$A,'Dados Funil'!$L:$L,"")</f>
        <v/>
      </c>
      <c r="X181" s="4"/>
      <c r="Y181" s="4"/>
      <c r="Z181" s="7" t="str">
        <f t="shared" si="5"/>
        <v/>
      </c>
      <c r="AA181" s="4" t="str">
        <f t="shared" si="13"/>
        <v/>
      </c>
      <c r="AB181" s="4" t="str">
        <f t="array" ref="AB181">XLOOKUP(X181,'Dados Funil'!A:A,'Dados Funil'!O:O,"")</f>
        <v/>
      </c>
      <c r="AE181" s="7" t="str">
        <f t="shared" si="6"/>
        <v/>
      </c>
      <c r="AG181" s="4" t="str">
        <f t="array" ref="AG181">XLOOKUP(AC181,'Dados Funil'!A:A,'Dados Funil'!AM:AM,"")</f>
        <v/>
      </c>
      <c r="AH181" s="4" t="str">
        <f t="array" ref="AH181">XLOOKUP(AC181,'Dados Funil'!A:A,'Dados Funil'!AN:AN,"")</f>
        <v/>
      </c>
    </row>
    <row r="182">
      <c r="A182" s="4"/>
      <c r="B182" s="4"/>
      <c r="C182" s="7" t="str">
        <f t="shared" si="1"/>
        <v/>
      </c>
      <c r="D182" s="4" t="str">
        <f t="shared" si="9"/>
        <v/>
      </c>
      <c r="E182" s="4" t="str">
        <f t="array" ref="E182">XLOOKUP(A182,'Dados Funil'!$A:$A,'Dados Funil'!$K:$K,"")</f>
        <v/>
      </c>
      <c r="F182" s="4" t="str">
        <f t="array" ref="F182">XLOOKUP(A182,'Dados Funil'!$A:$A,'Dados Funil'!$L:$L,"")</f>
        <v/>
      </c>
      <c r="G182" s="4"/>
      <c r="H182" s="4"/>
      <c r="I182" s="7" t="str">
        <f t="shared" si="2"/>
        <v/>
      </c>
      <c r="J182" s="4" t="str">
        <f t="shared" si="10"/>
        <v/>
      </c>
      <c r="K182" s="4" t="str">
        <f t="array" ref="K182">XLOOKUP(G182,'Dados Funil'!A:A,'Dados Funil'!O:O,"")</f>
        <v/>
      </c>
      <c r="L182" s="4"/>
      <c r="M182" s="4"/>
      <c r="N182" s="7" t="str">
        <f t="shared" si="3"/>
        <v/>
      </c>
      <c r="O182" s="4" t="str">
        <f t="shared" si="11"/>
        <v/>
      </c>
      <c r="P182" s="4" t="str">
        <f t="array" ref="P182">XLOOKUP(L182,'Dados Funil'!A:A,'Dados Funil'!AM:AM,"")</f>
        <v/>
      </c>
      <c r="Q182" s="4" t="str">
        <f t="array" ref="Q182">XLOOKUP(L182,'Dados Funil'!A:A,'Dados Funil'!AN:AN,"")</f>
        <v/>
      </c>
      <c r="T182" s="7" t="str">
        <f t="shared" si="4"/>
        <v/>
      </c>
      <c r="U182" s="4" t="str">
        <f t="shared" si="12"/>
        <v/>
      </c>
      <c r="V182" s="4" t="str">
        <f t="array" ref="V182">XLOOKUP(R182,'Dados Funil'!$A:$A,'Dados Funil'!$K:$K,"")</f>
        <v/>
      </c>
      <c r="W182" s="4" t="str">
        <f t="array" ref="W182">XLOOKUP(R182,'Dados Funil'!$A:$A,'Dados Funil'!$L:$L,"")</f>
        <v/>
      </c>
      <c r="X182" s="4"/>
      <c r="Y182" s="4"/>
      <c r="Z182" s="7" t="str">
        <f t="shared" si="5"/>
        <v/>
      </c>
      <c r="AA182" s="4" t="str">
        <f t="shared" si="13"/>
        <v/>
      </c>
      <c r="AB182" s="4" t="str">
        <f t="array" ref="AB182">XLOOKUP(X182,'Dados Funil'!A:A,'Dados Funil'!O:O,"")</f>
        <v/>
      </c>
      <c r="AE182" s="7" t="str">
        <f t="shared" si="6"/>
        <v/>
      </c>
      <c r="AG182" s="4" t="str">
        <f t="array" ref="AG182">XLOOKUP(AC182,'Dados Funil'!A:A,'Dados Funil'!AM:AM,"")</f>
        <v/>
      </c>
      <c r="AH182" s="4" t="str">
        <f t="array" ref="AH182">XLOOKUP(AC182,'Dados Funil'!A:A,'Dados Funil'!AN:AN,"")</f>
        <v/>
      </c>
    </row>
    <row r="183">
      <c r="A183" s="4"/>
      <c r="B183" s="4"/>
      <c r="C183" s="7" t="str">
        <f t="shared" si="1"/>
        <v/>
      </c>
      <c r="D183" s="4" t="str">
        <f t="shared" si="9"/>
        <v/>
      </c>
      <c r="E183" s="4" t="str">
        <f t="array" ref="E183">XLOOKUP(A183,'Dados Funil'!$A:$A,'Dados Funil'!$K:$K,"")</f>
        <v/>
      </c>
      <c r="F183" s="4" t="str">
        <f t="array" ref="F183">XLOOKUP(A183,'Dados Funil'!$A:$A,'Dados Funil'!$L:$L,"")</f>
        <v/>
      </c>
      <c r="G183" s="4"/>
      <c r="H183" s="4"/>
      <c r="I183" s="7" t="str">
        <f t="shared" si="2"/>
        <v/>
      </c>
      <c r="J183" s="4" t="str">
        <f t="shared" si="10"/>
        <v/>
      </c>
      <c r="K183" s="4" t="str">
        <f t="array" ref="K183">XLOOKUP(G183,'Dados Funil'!A:A,'Dados Funil'!O:O,"")</f>
        <v/>
      </c>
      <c r="L183" s="4"/>
      <c r="M183" s="4"/>
      <c r="N183" s="7" t="str">
        <f t="shared" si="3"/>
        <v/>
      </c>
      <c r="O183" s="4" t="str">
        <f t="shared" si="11"/>
        <v/>
      </c>
      <c r="P183" s="4" t="str">
        <f t="array" ref="P183">XLOOKUP(L183,'Dados Funil'!A:A,'Dados Funil'!AM:AM,"")</f>
        <v/>
      </c>
      <c r="Q183" s="4" t="str">
        <f t="array" ref="Q183">XLOOKUP(L183,'Dados Funil'!A:A,'Dados Funil'!AN:AN,"")</f>
        <v/>
      </c>
      <c r="T183" s="7" t="str">
        <f t="shared" si="4"/>
        <v/>
      </c>
      <c r="U183" s="4" t="str">
        <f t="shared" si="12"/>
        <v/>
      </c>
      <c r="V183" s="4" t="str">
        <f t="array" ref="V183">XLOOKUP(R183,'Dados Funil'!$A:$A,'Dados Funil'!$K:$K,"")</f>
        <v/>
      </c>
      <c r="W183" s="4" t="str">
        <f t="array" ref="W183">XLOOKUP(R183,'Dados Funil'!$A:$A,'Dados Funil'!$L:$L,"")</f>
        <v/>
      </c>
      <c r="X183" s="4"/>
      <c r="Y183" s="4"/>
      <c r="Z183" s="7" t="str">
        <f t="shared" si="5"/>
        <v/>
      </c>
      <c r="AA183" s="4" t="str">
        <f t="shared" si="13"/>
        <v/>
      </c>
      <c r="AB183" s="4" t="str">
        <f t="array" ref="AB183">XLOOKUP(X183,'Dados Funil'!A:A,'Dados Funil'!O:O,"")</f>
        <v/>
      </c>
      <c r="AE183" s="7" t="str">
        <f t="shared" si="6"/>
        <v/>
      </c>
      <c r="AG183" s="4" t="str">
        <f t="array" ref="AG183">XLOOKUP(AC183,'Dados Funil'!A:A,'Dados Funil'!AM:AM,"")</f>
        <v/>
      </c>
      <c r="AH183" s="4" t="str">
        <f t="array" ref="AH183">XLOOKUP(AC183,'Dados Funil'!A:A,'Dados Funil'!AN:AN,"")</f>
        <v/>
      </c>
    </row>
    <row r="184">
      <c r="A184" s="4"/>
      <c r="B184" s="4"/>
      <c r="C184" s="7" t="str">
        <f t="shared" si="1"/>
        <v/>
      </c>
      <c r="D184" s="4" t="str">
        <f t="shared" si="9"/>
        <v/>
      </c>
      <c r="E184" s="4" t="str">
        <f t="array" ref="E184">XLOOKUP(A184,'Dados Funil'!$A:$A,'Dados Funil'!$K:$K,"")</f>
        <v/>
      </c>
      <c r="F184" s="4" t="str">
        <f t="array" ref="F184">XLOOKUP(A184,'Dados Funil'!$A:$A,'Dados Funil'!$L:$L,"")</f>
        <v/>
      </c>
      <c r="G184" s="4"/>
      <c r="H184" s="4"/>
      <c r="I184" s="7" t="str">
        <f t="shared" si="2"/>
        <v/>
      </c>
      <c r="J184" s="4" t="str">
        <f t="shared" si="10"/>
        <v/>
      </c>
      <c r="K184" s="4" t="str">
        <f t="array" ref="K184">XLOOKUP(G184,'Dados Funil'!A:A,'Dados Funil'!O:O,"")</f>
        <v/>
      </c>
      <c r="L184" s="4"/>
      <c r="M184" s="4"/>
      <c r="N184" s="7" t="str">
        <f t="shared" si="3"/>
        <v/>
      </c>
      <c r="O184" s="4" t="str">
        <f t="shared" si="11"/>
        <v/>
      </c>
      <c r="P184" s="4" t="str">
        <f t="array" ref="P184">XLOOKUP(L184,'Dados Funil'!A:A,'Dados Funil'!AM:AM,"")</f>
        <v/>
      </c>
      <c r="Q184" s="4" t="str">
        <f t="array" ref="Q184">XLOOKUP(L184,'Dados Funil'!A:A,'Dados Funil'!AN:AN,"")</f>
        <v/>
      </c>
      <c r="T184" s="7" t="str">
        <f t="shared" si="4"/>
        <v/>
      </c>
      <c r="U184" s="4" t="str">
        <f t="shared" si="12"/>
        <v/>
      </c>
      <c r="V184" s="4" t="str">
        <f t="array" ref="V184">XLOOKUP(R184,'Dados Funil'!$A:$A,'Dados Funil'!$K:$K,"")</f>
        <v/>
      </c>
      <c r="W184" s="4" t="str">
        <f t="array" ref="W184">XLOOKUP(R184,'Dados Funil'!$A:$A,'Dados Funil'!$L:$L,"")</f>
        <v/>
      </c>
      <c r="X184" s="4"/>
      <c r="Y184" s="4"/>
      <c r="Z184" s="7" t="str">
        <f t="shared" si="5"/>
        <v/>
      </c>
      <c r="AA184" s="4" t="str">
        <f t="shared" si="13"/>
        <v/>
      </c>
      <c r="AB184" s="4" t="str">
        <f t="array" ref="AB184">XLOOKUP(X184,'Dados Funil'!A:A,'Dados Funil'!O:O,"")</f>
        <v/>
      </c>
      <c r="AE184" s="7" t="str">
        <f t="shared" si="6"/>
        <v/>
      </c>
      <c r="AG184" s="4" t="str">
        <f t="array" ref="AG184">XLOOKUP(AC184,'Dados Funil'!A:A,'Dados Funil'!AM:AM,"")</f>
        <v/>
      </c>
      <c r="AH184" s="4" t="str">
        <f t="array" ref="AH184">XLOOKUP(AC184,'Dados Funil'!A:A,'Dados Funil'!AN:AN,"")</f>
        <v/>
      </c>
    </row>
    <row r="185">
      <c r="A185" s="4"/>
      <c r="B185" s="4"/>
      <c r="C185" s="7" t="str">
        <f t="shared" si="1"/>
        <v/>
      </c>
      <c r="D185" s="4" t="str">
        <f t="shared" si="9"/>
        <v/>
      </c>
      <c r="E185" s="4" t="str">
        <f t="array" ref="E185">XLOOKUP(A185,'Dados Funil'!$A:$A,'Dados Funil'!$K:$K,"")</f>
        <v/>
      </c>
      <c r="F185" s="4" t="str">
        <f t="array" ref="F185">XLOOKUP(A185,'Dados Funil'!$A:$A,'Dados Funil'!$L:$L,"")</f>
        <v/>
      </c>
      <c r="G185" s="4"/>
      <c r="H185" s="4"/>
      <c r="I185" s="7" t="str">
        <f t="shared" si="2"/>
        <v/>
      </c>
      <c r="J185" s="4" t="str">
        <f t="shared" si="10"/>
        <v/>
      </c>
      <c r="K185" s="4" t="str">
        <f t="array" ref="K185">XLOOKUP(G185,'Dados Funil'!A:A,'Dados Funil'!O:O,"")</f>
        <v/>
      </c>
      <c r="L185" s="4"/>
      <c r="M185" s="4"/>
      <c r="N185" s="7" t="str">
        <f t="shared" si="3"/>
        <v/>
      </c>
      <c r="O185" s="4" t="str">
        <f t="shared" si="11"/>
        <v/>
      </c>
      <c r="P185" s="4" t="str">
        <f t="array" ref="P185">XLOOKUP(L185,'Dados Funil'!A:A,'Dados Funil'!AM:AM,"")</f>
        <v/>
      </c>
      <c r="Q185" s="4" t="str">
        <f t="array" ref="Q185">XLOOKUP(L185,'Dados Funil'!A:A,'Dados Funil'!AN:AN,"")</f>
        <v/>
      </c>
      <c r="T185" s="7" t="str">
        <f t="shared" si="4"/>
        <v/>
      </c>
      <c r="U185" s="4" t="str">
        <f t="shared" si="12"/>
        <v/>
      </c>
      <c r="V185" s="4" t="str">
        <f t="array" ref="V185">XLOOKUP(R185,'Dados Funil'!$A:$A,'Dados Funil'!$K:$K,"")</f>
        <v/>
      </c>
      <c r="W185" s="4" t="str">
        <f t="array" ref="W185">XLOOKUP(R185,'Dados Funil'!$A:$A,'Dados Funil'!$L:$L,"")</f>
        <v/>
      </c>
      <c r="X185" s="4"/>
      <c r="Y185" s="4"/>
      <c r="Z185" s="7" t="str">
        <f t="shared" si="5"/>
        <v/>
      </c>
      <c r="AA185" s="4" t="str">
        <f t="shared" si="13"/>
        <v/>
      </c>
      <c r="AB185" s="4" t="str">
        <f t="array" ref="AB185">XLOOKUP(X185,'Dados Funil'!A:A,'Dados Funil'!O:O,"")</f>
        <v/>
      </c>
      <c r="AE185" s="7" t="str">
        <f t="shared" si="6"/>
        <v/>
      </c>
      <c r="AG185" s="4" t="str">
        <f t="array" ref="AG185">XLOOKUP(AC185,'Dados Funil'!A:A,'Dados Funil'!AM:AM,"")</f>
        <v/>
      </c>
      <c r="AH185" s="4" t="str">
        <f t="array" ref="AH185">XLOOKUP(AC185,'Dados Funil'!A:A,'Dados Funil'!AN:AN,"")</f>
        <v/>
      </c>
    </row>
    <row r="186">
      <c r="A186" s="4"/>
      <c r="B186" s="4"/>
      <c r="C186" s="7" t="str">
        <f t="shared" si="1"/>
        <v/>
      </c>
      <c r="D186" s="4" t="str">
        <f t="shared" si="9"/>
        <v/>
      </c>
      <c r="E186" s="4" t="str">
        <f t="array" ref="E186">XLOOKUP(A186,'Dados Funil'!$A:$A,'Dados Funil'!$K:$K,"")</f>
        <v/>
      </c>
      <c r="F186" s="4" t="str">
        <f t="array" ref="F186">XLOOKUP(A186,'Dados Funil'!$A:$A,'Dados Funil'!$L:$L,"")</f>
        <v/>
      </c>
      <c r="G186" s="4"/>
      <c r="H186" s="4"/>
      <c r="I186" s="7" t="str">
        <f t="shared" si="2"/>
        <v/>
      </c>
      <c r="J186" s="4" t="str">
        <f t="shared" si="10"/>
        <v/>
      </c>
      <c r="K186" s="4" t="str">
        <f t="array" ref="K186">XLOOKUP(G186,'Dados Funil'!A:A,'Dados Funil'!O:O,"")</f>
        <v/>
      </c>
      <c r="L186" s="4"/>
      <c r="M186" s="4"/>
      <c r="N186" s="7" t="str">
        <f t="shared" si="3"/>
        <v/>
      </c>
      <c r="O186" s="4" t="str">
        <f t="shared" si="11"/>
        <v/>
      </c>
      <c r="P186" s="4" t="str">
        <f t="array" ref="P186">XLOOKUP(L186,'Dados Funil'!A:A,'Dados Funil'!AM:AM,"")</f>
        <v/>
      </c>
      <c r="Q186" s="4" t="str">
        <f t="array" ref="Q186">XLOOKUP(L186,'Dados Funil'!A:A,'Dados Funil'!AN:AN,"")</f>
        <v/>
      </c>
      <c r="T186" s="7" t="str">
        <f t="shared" si="4"/>
        <v/>
      </c>
      <c r="U186" s="4" t="str">
        <f t="shared" si="12"/>
        <v/>
      </c>
      <c r="V186" s="4" t="str">
        <f t="array" ref="V186">XLOOKUP(R186,'Dados Funil'!$A:$A,'Dados Funil'!$K:$K,"")</f>
        <v/>
      </c>
      <c r="W186" s="4" t="str">
        <f t="array" ref="W186">XLOOKUP(R186,'Dados Funil'!$A:$A,'Dados Funil'!$L:$L,"")</f>
        <v/>
      </c>
      <c r="X186" s="4"/>
      <c r="Y186" s="4"/>
      <c r="Z186" s="7" t="str">
        <f t="shared" si="5"/>
        <v/>
      </c>
      <c r="AA186" s="4" t="str">
        <f t="shared" si="13"/>
        <v/>
      </c>
      <c r="AB186" s="4" t="str">
        <f t="array" ref="AB186">XLOOKUP(X186,'Dados Funil'!A:A,'Dados Funil'!O:O,"")</f>
        <v/>
      </c>
      <c r="AE186" s="7" t="str">
        <f t="shared" si="6"/>
        <v/>
      </c>
      <c r="AG186" s="4" t="str">
        <f t="array" ref="AG186">XLOOKUP(AC186,'Dados Funil'!A:A,'Dados Funil'!AM:AM,"")</f>
        <v/>
      </c>
      <c r="AH186" s="4" t="str">
        <f t="array" ref="AH186">XLOOKUP(AC186,'Dados Funil'!A:A,'Dados Funil'!AN:AN,"")</f>
        <v/>
      </c>
    </row>
    <row r="187">
      <c r="A187" s="4"/>
      <c r="B187" s="4"/>
      <c r="C187" s="7" t="str">
        <f t="shared" si="1"/>
        <v/>
      </c>
      <c r="D187" s="4" t="str">
        <f t="shared" si="9"/>
        <v/>
      </c>
      <c r="E187" s="4" t="str">
        <f t="array" ref="E187">XLOOKUP(A187,'Dados Funil'!$A:$A,'Dados Funil'!$K:$K,"")</f>
        <v/>
      </c>
      <c r="F187" s="4" t="str">
        <f t="array" ref="F187">XLOOKUP(A187,'Dados Funil'!$A:$A,'Dados Funil'!$L:$L,"")</f>
        <v/>
      </c>
      <c r="G187" s="4"/>
      <c r="H187" s="4"/>
      <c r="I187" s="7" t="str">
        <f t="shared" si="2"/>
        <v/>
      </c>
      <c r="J187" s="4" t="str">
        <f t="shared" si="10"/>
        <v/>
      </c>
      <c r="K187" s="4" t="str">
        <f t="array" ref="K187">XLOOKUP(G187,'Dados Funil'!A:A,'Dados Funil'!O:O,"")</f>
        <v/>
      </c>
      <c r="L187" s="4"/>
      <c r="M187" s="4"/>
      <c r="N187" s="7" t="str">
        <f t="shared" si="3"/>
        <v/>
      </c>
      <c r="O187" s="4" t="str">
        <f t="shared" si="11"/>
        <v/>
      </c>
      <c r="P187" s="4" t="str">
        <f t="array" ref="P187">XLOOKUP(L187,'Dados Funil'!A:A,'Dados Funil'!AM:AM,"")</f>
        <v/>
      </c>
      <c r="Q187" s="4" t="str">
        <f t="array" ref="Q187">XLOOKUP(L187,'Dados Funil'!A:A,'Dados Funil'!AN:AN,"")</f>
        <v/>
      </c>
      <c r="T187" s="7" t="str">
        <f t="shared" si="4"/>
        <v/>
      </c>
      <c r="U187" s="4" t="str">
        <f t="shared" si="12"/>
        <v/>
      </c>
      <c r="V187" s="4" t="str">
        <f t="array" ref="V187">XLOOKUP(R187,'Dados Funil'!$A:$A,'Dados Funil'!$K:$K,"")</f>
        <v/>
      </c>
      <c r="W187" s="4" t="str">
        <f t="array" ref="W187">XLOOKUP(R187,'Dados Funil'!$A:$A,'Dados Funil'!$L:$L,"")</f>
        <v/>
      </c>
      <c r="X187" s="4"/>
      <c r="Y187" s="4"/>
      <c r="Z187" s="7" t="str">
        <f t="shared" si="5"/>
        <v/>
      </c>
      <c r="AA187" s="4" t="str">
        <f t="shared" si="13"/>
        <v/>
      </c>
      <c r="AB187" s="4" t="str">
        <f t="array" ref="AB187">XLOOKUP(X187,'Dados Funil'!A:A,'Dados Funil'!O:O,"")</f>
        <v/>
      </c>
      <c r="AE187" s="7" t="str">
        <f t="shared" si="6"/>
        <v/>
      </c>
      <c r="AG187" s="4" t="str">
        <f t="array" ref="AG187">XLOOKUP(AC187,'Dados Funil'!A:A,'Dados Funil'!AM:AM,"")</f>
        <v/>
      </c>
      <c r="AH187" s="4" t="str">
        <f t="array" ref="AH187">XLOOKUP(AC187,'Dados Funil'!A:A,'Dados Funil'!AN:AN,"")</f>
        <v/>
      </c>
    </row>
    <row r="188">
      <c r="A188" s="4"/>
      <c r="B188" s="4"/>
      <c r="C188" s="7" t="str">
        <f t="shared" si="1"/>
        <v/>
      </c>
      <c r="D188" s="4" t="str">
        <f t="shared" si="9"/>
        <v/>
      </c>
      <c r="E188" s="4" t="str">
        <f t="array" ref="E188">XLOOKUP(A188,'Dados Funil'!$A:$A,'Dados Funil'!$K:$K,"")</f>
        <v/>
      </c>
      <c r="F188" s="4" t="str">
        <f t="array" ref="F188">XLOOKUP(A188,'Dados Funil'!$A:$A,'Dados Funil'!$L:$L,"")</f>
        <v/>
      </c>
      <c r="G188" s="4"/>
      <c r="H188" s="4"/>
      <c r="I188" s="7" t="str">
        <f t="shared" si="2"/>
        <v/>
      </c>
      <c r="J188" s="4" t="str">
        <f t="shared" si="10"/>
        <v/>
      </c>
      <c r="K188" s="4" t="str">
        <f t="array" ref="K188">XLOOKUP(G188,'Dados Funil'!A:A,'Dados Funil'!O:O,"")</f>
        <v/>
      </c>
      <c r="L188" s="4"/>
      <c r="M188" s="4"/>
      <c r="N188" s="7" t="str">
        <f t="shared" si="3"/>
        <v/>
      </c>
      <c r="O188" s="4" t="str">
        <f t="shared" si="11"/>
        <v/>
      </c>
      <c r="P188" s="4" t="str">
        <f t="array" ref="P188">XLOOKUP(L188,'Dados Funil'!A:A,'Dados Funil'!AM:AM,"")</f>
        <v/>
      </c>
      <c r="Q188" s="4" t="str">
        <f t="array" ref="Q188">XLOOKUP(L188,'Dados Funil'!A:A,'Dados Funil'!AN:AN,"")</f>
        <v/>
      </c>
      <c r="T188" s="7" t="str">
        <f t="shared" si="4"/>
        <v/>
      </c>
      <c r="U188" s="4" t="str">
        <f t="shared" si="12"/>
        <v/>
      </c>
      <c r="V188" s="4" t="str">
        <f t="array" ref="V188">XLOOKUP(R188,'Dados Funil'!$A:$A,'Dados Funil'!$K:$K,"")</f>
        <v/>
      </c>
      <c r="W188" s="4" t="str">
        <f t="array" ref="W188">XLOOKUP(R188,'Dados Funil'!$A:$A,'Dados Funil'!$L:$L,"")</f>
        <v/>
      </c>
      <c r="X188" s="4"/>
      <c r="Y188" s="4"/>
      <c r="Z188" s="7" t="str">
        <f t="shared" si="5"/>
        <v/>
      </c>
      <c r="AA188" s="4" t="str">
        <f t="shared" si="13"/>
        <v/>
      </c>
      <c r="AB188" s="4" t="str">
        <f t="array" ref="AB188">XLOOKUP(X188,'Dados Funil'!A:A,'Dados Funil'!O:O,"")</f>
        <v/>
      </c>
      <c r="AE188" s="7" t="str">
        <f t="shared" si="6"/>
        <v/>
      </c>
      <c r="AG188" s="4" t="str">
        <f t="array" ref="AG188">XLOOKUP(AC188,'Dados Funil'!A:A,'Dados Funil'!AM:AM,"")</f>
        <v/>
      </c>
      <c r="AH188" s="4" t="str">
        <f t="array" ref="AH188">XLOOKUP(AC188,'Dados Funil'!A:A,'Dados Funil'!AN:AN,"")</f>
        <v/>
      </c>
    </row>
    <row r="189">
      <c r="A189" s="4"/>
      <c r="B189" s="4"/>
      <c r="C189" s="7" t="str">
        <f t="shared" si="1"/>
        <v/>
      </c>
      <c r="D189" s="4" t="str">
        <f t="shared" si="9"/>
        <v/>
      </c>
      <c r="E189" s="4" t="str">
        <f t="array" ref="E189">XLOOKUP(A189,'Dados Funil'!$A:$A,'Dados Funil'!$K:$K,"")</f>
        <v/>
      </c>
      <c r="F189" s="4" t="str">
        <f t="array" ref="F189">XLOOKUP(A189,'Dados Funil'!$A:$A,'Dados Funil'!$L:$L,"")</f>
        <v/>
      </c>
      <c r="G189" s="4"/>
      <c r="H189" s="4"/>
      <c r="I189" s="7" t="str">
        <f t="shared" si="2"/>
        <v/>
      </c>
      <c r="J189" s="4" t="str">
        <f t="shared" si="10"/>
        <v/>
      </c>
      <c r="K189" s="4" t="str">
        <f t="array" ref="K189">XLOOKUP(G189,'Dados Funil'!A:A,'Dados Funil'!O:O,"")</f>
        <v/>
      </c>
      <c r="L189" s="4"/>
      <c r="M189" s="4"/>
      <c r="N189" s="7" t="str">
        <f t="shared" si="3"/>
        <v/>
      </c>
      <c r="O189" s="4" t="str">
        <f t="shared" si="11"/>
        <v/>
      </c>
      <c r="P189" s="4" t="str">
        <f t="array" ref="P189">XLOOKUP(L189,'Dados Funil'!A:A,'Dados Funil'!AM:AM,"")</f>
        <v/>
      </c>
      <c r="Q189" s="4" t="str">
        <f t="array" ref="Q189">XLOOKUP(L189,'Dados Funil'!A:A,'Dados Funil'!AN:AN,"")</f>
        <v/>
      </c>
      <c r="T189" s="7" t="str">
        <f t="shared" si="4"/>
        <v/>
      </c>
      <c r="U189" s="4" t="str">
        <f t="shared" si="12"/>
        <v/>
      </c>
      <c r="V189" s="4" t="str">
        <f t="array" ref="V189">XLOOKUP(R189,'Dados Funil'!$A:$A,'Dados Funil'!$K:$K,"")</f>
        <v/>
      </c>
      <c r="W189" s="4" t="str">
        <f t="array" ref="W189">XLOOKUP(R189,'Dados Funil'!$A:$A,'Dados Funil'!$L:$L,"")</f>
        <v/>
      </c>
      <c r="X189" s="4"/>
      <c r="Y189" s="4"/>
      <c r="Z189" s="7" t="str">
        <f t="shared" si="5"/>
        <v/>
      </c>
      <c r="AA189" s="4" t="str">
        <f t="shared" si="13"/>
        <v/>
      </c>
      <c r="AB189" s="4" t="str">
        <f t="array" ref="AB189">XLOOKUP(X189,'Dados Funil'!A:A,'Dados Funil'!O:O,"")</f>
        <v/>
      </c>
      <c r="AE189" s="7" t="str">
        <f t="shared" si="6"/>
        <v/>
      </c>
      <c r="AG189" s="4" t="str">
        <f t="array" ref="AG189">XLOOKUP(AC189,'Dados Funil'!A:A,'Dados Funil'!AM:AM,"")</f>
        <v/>
      </c>
      <c r="AH189" s="4" t="str">
        <f t="array" ref="AH189">XLOOKUP(AC189,'Dados Funil'!A:A,'Dados Funil'!AN:AN,"")</f>
        <v/>
      </c>
    </row>
    <row r="190">
      <c r="A190" s="4"/>
      <c r="B190" s="4"/>
      <c r="C190" s="7" t="str">
        <f t="shared" si="1"/>
        <v/>
      </c>
      <c r="D190" s="4" t="str">
        <f t="shared" si="9"/>
        <v/>
      </c>
      <c r="E190" s="4" t="str">
        <f t="array" ref="E190">XLOOKUP(A190,'Dados Funil'!$A:$A,'Dados Funil'!$K:$K,"")</f>
        <v/>
      </c>
      <c r="F190" s="4" t="str">
        <f t="array" ref="F190">XLOOKUP(A190,'Dados Funil'!$A:$A,'Dados Funil'!$L:$L,"")</f>
        <v/>
      </c>
      <c r="G190" s="4"/>
      <c r="H190" s="4"/>
      <c r="I190" s="7" t="str">
        <f t="shared" si="2"/>
        <v/>
      </c>
      <c r="J190" s="4" t="str">
        <f t="shared" si="10"/>
        <v/>
      </c>
      <c r="K190" s="4" t="str">
        <f t="array" ref="K190">XLOOKUP(G190,'Dados Funil'!A:A,'Dados Funil'!O:O,"")</f>
        <v/>
      </c>
      <c r="L190" s="4"/>
      <c r="M190" s="4"/>
      <c r="N190" s="7" t="str">
        <f t="shared" si="3"/>
        <v/>
      </c>
      <c r="O190" s="4" t="str">
        <f t="shared" si="11"/>
        <v/>
      </c>
      <c r="P190" s="4" t="str">
        <f t="array" ref="P190">XLOOKUP(L190,'Dados Funil'!A:A,'Dados Funil'!AM:AM,"")</f>
        <v/>
      </c>
      <c r="Q190" s="4" t="str">
        <f t="array" ref="Q190">XLOOKUP(L190,'Dados Funil'!A:A,'Dados Funil'!AN:AN,"")</f>
        <v/>
      </c>
      <c r="T190" s="7" t="str">
        <f t="shared" si="4"/>
        <v/>
      </c>
      <c r="U190" s="4" t="str">
        <f t="shared" si="12"/>
        <v/>
      </c>
      <c r="V190" s="4" t="str">
        <f t="array" ref="V190">XLOOKUP(R190,'Dados Funil'!$A:$A,'Dados Funil'!$K:$K,"")</f>
        <v/>
      </c>
      <c r="W190" s="4" t="str">
        <f t="array" ref="W190">XLOOKUP(R190,'Dados Funil'!$A:$A,'Dados Funil'!$L:$L,"")</f>
        <v/>
      </c>
      <c r="X190" s="4"/>
      <c r="Y190" s="4"/>
      <c r="Z190" s="7" t="str">
        <f t="shared" si="5"/>
        <v/>
      </c>
      <c r="AA190" s="4" t="str">
        <f t="shared" si="13"/>
        <v/>
      </c>
      <c r="AB190" s="4" t="str">
        <f t="array" ref="AB190">XLOOKUP(X190,'Dados Funil'!A:A,'Dados Funil'!O:O,"")</f>
        <v/>
      </c>
      <c r="AE190" s="7" t="str">
        <f t="shared" si="6"/>
        <v/>
      </c>
      <c r="AG190" s="4" t="str">
        <f t="array" ref="AG190">XLOOKUP(AC190,'Dados Funil'!A:A,'Dados Funil'!AM:AM,"")</f>
        <v/>
      </c>
      <c r="AH190" s="4" t="str">
        <f t="array" ref="AH190">XLOOKUP(AC190,'Dados Funil'!A:A,'Dados Funil'!AN:AN,"")</f>
        <v/>
      </c>
    </row>
    <row r="191">
      <c r="A191" s="4"/>
      <c r="B191" s="4"/>
      <c r="C191" s="7" t="str">
        <f t="shared" si="1"/>
        <v/>
      </c>
      <c r="D191" s="4" t="str">
        <f t="shared" si="9"/>
        <v/>
      </c>
      <c r="E191" s="4" t="str">
        <f t="array" ref="E191">XLOOKUP(A191,'Dados Funil'!$A:$A,'Dados Funil'!$K:$K,"")</f>
        <v/>
      </c>
      <c r="F191" s="4" t="str">
        <f t="array" ref="F191">XLOOKUP(A191,'Dados Funil'!$A:$A,'Dados Funil'!$L:$L,"")</f>
        <v/>
      </c>
      <c r="G191" s="4"/>
      <c r="H191" s="4"/>
      <c r="I191" s="7" t="str">
        <f t="shared" si="2"/>
        <v/>
      </c>
      <c r="J191" s="4" t="str">
        <f t="shared" si="10"/>
        <v/>
      </c>
      <c r="K191" s="4" t="str">
        <f t="array" ref="K191">XLOOKUP(G191,'Dados Funil'!A:A,'Dados Funil'!O:O,"")</f>
        <v/>
      </c>
      <c r="L191" s="4"/>
      <c r="M191" s="4"/>
      <c r="N191" s="7" t="str">
        <f t="shared" si="3"/>
        <v/>
      </c>
      <c r="O191" s="4" t="str">
        <f t="shared" si="11"/>
        <v/>
      </c>
      <c r="P191" s="4" t="str">
        <f t="array" ref="P191">XLOOKUP(L191,'Dados Funil'!A:A,'Dados Funil'!AM:AM,"")</f>
        <v/>
      </c>
      <c r="Q191" s="4" t="str">
        <f t="array" ref="Q191">XLOOKUP(L191,'Dados Funil'!A:A,'Dados Funil'!AN:AN,"")</f>
        <v/>
      </c>
      <c r="T191" s="7" t="str">
        <f t="shared" si="4"/>
        <v/>
      </c>
      <c r="U191" s="4" t="str">
        <f t="shared" si="12"/>
        <v/>
      </c>
      <c r="V191" s="4" t="str">
        <f t="array" ref="V191">XLOOKUP(R191,'Dados Funil'!$A:$A,'Dados Funil'!$K:$K,"")</f>
        <v/>
      </c>
      <c r="W191" s="4" t="str">
        <f t="array" ref="W191">XLOOKUP(R191,'Dados Funil'!$A:$A,'Dados Funil'!$L:$L,"")</f>
        <v/>
      </c>
      <c r="X191" s="4"/>
      <c r="Y191" s="4"/>
      <c r="Z191" s="7" t="str">
        <f t="shared" si="5"/>
        <v/>
      </c>
      <c r="AA191" s="4" t="str">
        <f t="shared" si="13"/>
        <v/>
      </c>
      <c r="AB191" s="4" t="str">
        <f t="array" ref="AB191">XLOOKUP(X191,'Dados Funil'!A:A,'Dados Funil'!O:O,"")</f>
        <v/>
      </c>
      <c r="AE191" s="7" t="str">
        <f t="shared" si="6"/>
        <v/>
      </c>
      <c r="AG191" s="4" t="str">
        <f t="array" ref="AG191">XLOOKUP(AC191,'Dados Funil'!A:A,'Dados Funil'!AM:AM,"")</f>
        <v/>
      </c>
      <c r="AH191" s="4" t="str">
        <f t="array" ref="AH191">XLOOKUP(AC191,'Dados Funil'!A:A,'Dados Funil'!AN:AN,"")</f>
        <v/>
      </c>
    </row>
    <row r="192">
      <c r="A192" s="4"/>
      <c r="B192" s="4"/>
      <c r="C192" s="7" t="str">
        <f t="shared" si="1"/>
        <v/>
      </c>
      <c r="D192" s="4" t="str">
        <f t="shared" si="9"/>
        <v/>
      </c>
      <c r="E192" s="4" t="str">
        <f t="array" ref="E192">XLOOKUP(A192,'Dados Funil'!$A:$A,'Dados Funil'!$K:$K,"")</f>
        <v/>
      </c>
      <c r="F192" s="4" t="str">
        <f t="array" ref="F192">XLOOKUP(A192,'Dados Funil'!$A:$A,'Dados Funil'!$L:$L,"")</f>
        <v/>
      </c>
      <c r="G192" s="4"/>
      <c r="H192" s="4"/>
      <c r="I192" s="7" t="str">
        <f t="shared" si="2"/>
        <v/>
      </c>
      <c r="J192" s="4" t="str">
        <f t="shared" si="10"/>
        <v/>
      </c>
      <c r="K192" s="4" t="str">
        <f t="array" ref="K192">XLOOKUP(G192,'Dados Funil'!A:A,'Dados Funil'!O:O,"")</f>
        <v/>
      </c>
      <c r="L192" s="4"/>
      <c r="M192" s="4"/>
      <c r="N192" s="7" t="str">
        <f t="shared" si="3"/>
        <v/>
      </c>
      <c r="O192" s="4" t="str">
        <f t="shared" si="11"/>
        <v/>
      </c>
      <c r="P192" s="4" t="str">
        <f t="array" ref="P192">XLOOKUP(L192,'Dados Funil'!A:A,'Dados Funil'!AM:AM,"")</f>
        <v/>
      </c>
      <c r="Q192" s="4" t="str">
        <f t="array" ref="Q192">XLOOKUP(L192,'Dados Funil'!A:A,'Dados Funil'!AN:AN,"")</f>
        <v/>
      </c>
      <c r="T192" s="7" t="str">
        <f t="shared" si="4"/>
        <v/>
      </c>
      <c r="U192" s="4" t="str">
        <f t="shared" si="12"/>
        <v/>
      </c>
      <c r="V192" s="4" t="str">
        <f t="array" ref="V192">XLOOKUP(R192,'Dados Funil'!$A:$A,'Dados Funil'!$K:$K,"")</f>
        <v/>
      </c>
      <c r="W192" s="4" t="str">
        <f t="array" ref="W192">XLOOKUP(R192,'Dados Funil'!$A:$A,'Dados Funil'!$L:$L,"")</f>
        <v/>
      </c>
      <c r="X192" s="4"/>
      <c r="Y192" s="4"/>
      <c r="Z192" s="7" t="str">
        <f t="shared" si="5"/>
        <v/>
      </c>
      <c r="AA192" s="4" t="str">
        <f t="shared" si="13"/>
        <v/>
      </c>
      <c r="AB192" s="4" t="str">
        <f t="array" ref="AB192">XLOOKUP(X192,'Dados Funil'!A:A,'Dados Funil'!O:O,"")</f>
        <v/>
      </c>
      <c r="AE192" s="7" t="str">
        <f t="shared" si="6"/>
        <v/>
      </c>
      <c r="AG192" s="4" t="str">
        <f t="array" ref="AG192">XLOOKUP(AC192,'Dados Funil'!A:A,'Dados Funil'!AM:AM,"")</f>
        <v/>
      </c>
      <c r="AH192" s="4" t="str">
        <f t="array" ref="AH192">XLOOKUP(AC192,'Dados Funil'!A:A,'Dados Funil'!AN:AN,"")</f>
        <v/>
      </c>
    </row>
    <row r="193">
      <c r="A193" s="4"/>
      <c r="B193" s="4"/>
      <c r="C193" s="7" t="str">
        <f t="shared" si="1"/>
        <v/>
      </c>
      <c r="D193" s="4" t="str">
        <f t="shared" si="9"/>
        <v/>
      </c>
      <c r="E193" s="4" t="str">
        <f t="array" ref="E193">XLOOKUP(A193,'Dados Funil'!$A:$A,'Dados Funil'!$K:$K,"")</f>
        <v/>
      </c>
      <c r="F193" s="4" t="str">
        <f t="array" ref="F193">XLOOKUP(A193,'Dados Funil'!$A:$A,'Dados Funil'!$L:$L,"")</f>
        <v/>
      </c>
      <c r="G193" s="4"/>
      <c r="H193" s="4"/>
      <c r="I193" s="7" t="str">
        <f t="shared" si="2"/>
        <v/>
      </c>
      <c r="J193" s="4" t="str">
        <f t="shared" si="10"/>
        <v/>
      </c>
      <c r="K193" s="4" t="str">
        <f t="array" ref="K193">XLOOKUP(G193,'Dados Funil'!A:A,'Dados Funil'!O:O,"")</f>
        <v/>
      </c>
      <c r="L193" s="4"/>
      <c r="M193" s="4"/>
      <c r="N193" s="7" t="str">
        <f t="shared" si="3"/>
        <v/>
      </c>
      <c r="O193" s="4" t="str">
        <f t="shared" si="11"/>
        <v/>
      </c>
      <c r="P193" s="4" t="str">
        <f t="array" ref="P193">XLOOKUP(L193,'Dados Funil'!A:A,'Dados Funil'!AM:AM,"")</f>
        <v/>
      </c>
      <c r="Q193" s="4" t="str">
        <f t="array" ref="Q193">XLOOKUP(L193,'Dados Funil'!A:A,'Dados Funil'!AN:AN,"")</f>
        <v/>
      </c>
      <c r="T193" s="7" t="str">
        <f t="shared" si="4"/>
        <v/>
      </c>
      <c r="U193" s="4" t="str">
        <f t="shared" si="12"/>
        <v/>
      </c>
      <c r="V193" s="4" t="str">
        <f t="array" ref="V193">XLOOKUP(R193,'Dados Funil'!$A:$A,'Dados Funil'!$K:$K,"")</f>
        <v/>
      </c>
      <c r="W193" s="4" t="str">
        <f t="array" ref="W193">XLOOKUP(R193,'Dados Funil'!$A:$A,'Dados Funil'!$L:$L,"")</f>
        <v/>
      </c>
      <c r="X193" s="4"/>
      <c r="Y193" s="4"/>
      <c r="Z193" s="7" t="str">
        <f t="shared" si="5"/>
        <v/>
      </c>
      <c r="AA193" s="4" t="str">
        <f t="shared" si="13"/>
        <v/>
      </c>
      <c r="AB193" s="4" t="str">
        <f t="array" ref="AB193">XLOOKUP(X193,'Dados Funil'!A:A,'Dados Funil'!O:O,"")</f>
        <v/>
      </c>
      <c r="AE193" s="7" t="str">
        <f t="shared" si="6"/>
        <v/>
      </c>
      <c r="AG193" s="4" t="str">
        <f t="array" ref="AG193">XLOOKUP(AC193,'Dados Funil'!A:A,'Dados Funil'!AM:AM,"")</f>
        <v/>
      </c>
      <c r="AH193" s="4" t="str">
        <f t="array" ref="AH193">XLOOKUP(AC193,'Dados Funil'!A:A,'Dados Funil'!AN:AN,"")</f>
        <v/>
      </c>
    </row>
    <row r="194">
      <c r="A194" s="4"/>
      <c r="B194" s="4"/>
      <c r="C194" s="7" t="str">
        <f t="shared" si="1"/>
        <v/>
      </c>
      <c r="D194" s="4" t="str">
        <f t="shared" si="9"/>
        <v/>
      </c>
      <c r="E194" s="4" t="str">
        <f t="array" ref="E194">XLOOKUP(A194,'Dados Funil'!$A:$A,'Dados Funil'!$K:$K,"")</f>
        <v/>
      </c>
      <c r="F194" s="4" t="str">
        <f t="array" ref="F194">XLOOKUP(A194,'Dados Funil'!$A:$A,'Dados Funil'!$L:$L,"")</f>
        <v/>
      </c>
      <c r="G194" s="4"/>
      <c r="H194" s="4"/>
      <c r="I194" s="7" t="str">
        <f t="shared" si="2"/>
        <v/>
      </c>
      <c r="J194" s="4" t="str">
        <f t="shared" si="10"/>
        <v/>
      </c>
      <c r="K194" s="4" t="str">
        <f t="array" ref="K194">XLOOKUP(G194,'Dados Funil'!A:A,'Dados Funil'!O:O,"")</f>
        <v/>
      </c>
      <c r="L194" s="4"/>
      <c r="M194" s="4"/>
      <c r="N194" s="7" t="str">
        <f t="shared" si="3"/>
        <v/>
      </c>
      <c r="O194" s="4" t="str">
        <f t="shared" si="11"/>
        <v/>
      </c>
      <c r="P194" s="4" t="str">
        <f t="array" ref="P194">XLOOKUP(L194,'Dados Funil'!A:A,'Dados Funil'!AM:AM,"")</f>
        <v/>
      </c>
      <c r="Q194" s="4" t="str">
        <f t="array" ref="Q194">XLOOKUP(L194,'Dados Funil'!A:A,'Dados Funil'!AN:AN,"")</f>
        <v/>
      </c>
      <c r="T194" s="7" t="str">
        <f t="shared" si="4"/>
        <v/>
      </c>
      <c r="U194" s="4" t="str">
        <f t="shared" si="12"/>
        <v/>
      </c>
      <c r="V194" s="4" t="str">
        <f t="array" ref="V194">XLOOKUP(R194,'Dados Funil'!$A:$A,'Dados Funil'!$K:$K,"")</f>
        <v/>
      </c>
      <c r="W194" s="4" t="str">
        <f t="array" ref="W194">XLOOKUP(R194,'Dados Funil'!$A:$A,'Dados Funil'!$L:$L,"")</f>
        <v/>
      </c>
      <c r="X194" s="4"/>
      <c r="Y194" s="4"/>
      <c r="Z194" s="7" t="str">
        <f t="shared" si="5"/>
        <v/>
      </c>
      <c r="AA194" s="4" t="str">
        <f t="shared" si="13"/>
        <v/>
      </c>
      <c r="AB194" s="4" t="str">
        <f t="array" ref="AB194">XLOOKUP(X194,'Dados Funil'!A:A,'Dados Funil'!O:O,"")</f>
        <v/>
      </c>
      <c r="AE194" s="7" t="str">
        <f t="shared" si="6"/>
        <v/>
      </c>
      <c r="AG194" s="4" t="str">
        <f t="array" ref="AG194">XLOOKUP(AC194,'Dados Funil'!A:A,'Dados Funil'!AM:AM,"")</f>
        <v/>
      </c>
      <c r="AH194" s="4" t="str">
        <f t="array" ref="AH194">XLOOKUP(AC194,'Dados Funil'!A:A,'Dados Funil'!AN:AN,"")</f>
        <v/>
      </c>
    </row>
    <row r="195">
      <c r="A195" s="4"/>
      <c r="B195" s="4"/>
      <c r="C195" s="7" t="str">
        <f t="shared" si="1"/>
        <v/>
      </c>
      <c r="D195" s="4" t="str">
        <f t="shared" si="9"/>
        <v/>
      </c>
      <c r="E195" s="4" t="str">
        <f t="array" ref="E195">XLOOKUP(A195,'Dados Funil'!$A:$A,'Dados Funil'!$K:$K,"")</f>
        <v/>
      </c>
      <c r="F195" s="4" t="str">
        <f t="array" ref="F195">XLOOKUP(A195,'Dados Funil'!$A:$A,'Dados Funil'!$L:$L,"")</f>
        <v/>
      </c>
      <c r="G195" s="4"/>
      <c r="H195" s="4"/>
      <c r="I195" s="7" t="str">
        <f t="shared" si="2"/>
        <v/>
      </c>
      <c r="J195" s="4" t="str">
        <f t="shared" si="10"/>
        <v/>
      </c>
      <c r="K195" s="4" t="str">
        <f t="array" ref="K195">XLOOKUP(G195,'Dados Funil'!A:A,'Dados Funil'!O:O,"")</f>
        <v/>
      </c>
      <c r="L195" s="4"/>
      <c r="M195" s="4"/>
      <c r="N195" s="7" t="str">
        <f t="shared" si="3"/>
        <v/>
      </c>
      <c r="O195" s="4" t="str">
        <f t="shared" si="11"/>
        <v/>
      </c>
      <c r="P195" s="4" t="str">
        <f t="array" ref="P195">XLOOKUP(L195,'Dados Funil'!A:A,'Dados Funil'!AM:AM,"")</f>
        <v/>
      </c>
      <c r="Q195" s="4" t="str">
        <f t="array" ref="Q195">XLOOKUP(L195,'Dados Funil'!A:A,'Dados Funil'!AN:AN,"")</f>
        <v/>
      </c>
      <c r="T195" s="7" t="str">
        <f t="shared" si="4"/>
        <v/>
      </c>
      <c r="U195" s="4" t="str">
        <f t="shared" si="12"/>
        <v/>
      </c>
      <c r="V195" s="4" t="str">
        <f t="array" ref="V195">XLOOKUP(R195,'Dados Funil'!$A:$A,'Dados Funil'!$K:$K,"")</f>
        <v/>
      </c>
      <c r="W195" s="4" t="str">
        <f t="array" ref="W195">XLOOKUP(R195,'Dados Funil'!$A:$A,'Dados Funil'!$L:$L,"")</f>
        <v/>
      </c>
      <c r="X195" s="4"/>
      <c r="Y195" s="4"/>
      <c r="Z195" s="7" t="str">
        <f t="shared" si="5"/>
        <v/>
      </c>
      <c r="AA195" s="4" t="str">
        <f t="shared" si="13"/>
        <v/>
      </c>
      <c r="AB195" s="4" t="str">
        <f t="array" ref="AB195">XLOOKUP(X195,'Dados Funil'!A:A,'Dados Funil'!O:O,"")</f>
        <v/>
      </c>
      <c r="AE195" s="7" t="str">
        <f t="shared" si="6"/>
        <v/>
      </c>
      <c r="AG195" s="4" t="str">
        <f t="array" ref="AG195">XLOOKUP(AC195,'Dados Funil'!A:A,'Dados Funil'!AM:AM,"")</f>
        <v/>
      </c>
      <c r="AH195" s="4" t="str">
        <f t="array" ref="AH195">XLOOKUP(AC195,'Dados Funil'!A:A,'Dados Funil'!AN:AN,"")</f>
        <v/>
      </c>
    </row>
    <row r="196">
      <c r="A196" s="4"/>
      <c r="B196" s="4"/>
      <c r="C196" s="7" t="str">
        <f t="shared" si="1"/>
        <v/>
      </c>
      <c r="D196" s="4" t="str">
        <f t="shared" si="9"/>
        <v/>
      </c>
      <c r="E196" s="4" t="str">
        <f t="array" ref="E196">XLOOKUP(A196,'Dados Funil'!$A:$A,'Dados Funil'!$K:$K,"")</f>
        <v/>
      </c>
      <c r="F196" s="4" t="str">
        <f t="array" ref="F196">XLOOKUP(A196,'Dados Funil'!$A:$A,'Dados Funil'!$L:$L,"")</f>
        <v/>
      </c>
      <c r="G196" s="4"/>
      <c r="H196" s="4"/>
      <c r="I196" s="7" t="str">
        <f t="shared" si="2"/>
        <v/>
      </c>
      <c r="J196" s="4" t="str">
        <f t="shared" si="10"/>
        <v/>
      </c>
      <c r="K196" s="4" t="str">
        <f t="array" ref="K196">XLOOKUP(G196,'Dados Funil'!A:A,'Dados Funil'!O:O,"")</f>
        <v/>
      </c>
      <c r="L196" s="4"/>
      <c r="M196" s="4"/>
      <c r="N196" s="7" t="str">
        <f t="shared" si="3"/>
        <v/>
      </c>
      <c r="O196" s="4" t="str">
        <f t="shared" si="11"/>
        <v/>
      </c>
      <c r="P196" s="4" t="str">
        <f t="array" ref="P196">XLOOKUP(L196,'Dados Funil'!A:A,'Dados Funil'!AM:AM,"")</f>
        <v/>
      </c>
      <c r="Q196" s="4" t="str">
        <f t="array" ref="Q196">XLOOKUP(L196,'Dados Funil'!A:A,'Dados Funil'!AN:AN,"")</f>
        <v/>
      </c>
      <c r="T196" s="7" t="str">
        <f t="shared" si="4"/>
        <v/>
      </c>
      <c r="U196" s="4" t="str">
        <f t="shared" si="12"/>
        <v/>
      </c>
      <c r="V196" s="4" t="str">
        <f t="array" ref="V196">XLOOKUP(R196,'Dados Funil'!$A:$A,'Dados Funil'!$K:$K,"")</f>
        <v/>
      </c>
      <c r="W196" s="4" t="str">
        <f t="array" ref="W196">XLOOKUP(R196,'Dados Funil'!$A:$A,'Dados Funil'!$L:$L,"")</f>
        <v/>
      </c>
      <c r="X196" s="4"/>
      <c r="Y196" s="4"/>
      <c r="Z196" s="7" t="str">
        <f t="shared" si="5"/>
        <v/>
      </c>
      <c r="AA196" s="4" t="str">
        <f t="shared" si="13"/>
        <v/>
      </c>
      <c r="AB196" s="4" t="str">
        <f t="array" ref="AB196">XLOOKUP(X196,'Dados Funil'!A:A,'Dados Funil'!O:O,"")</f>
        <v/>
      </c>
      <c r="AE196" s="7" t="str">
        <f t="shared" si="6"/>
        <v/>
      </c>
      <c r="AG196" s="4" t="str">
        <f t="array" ref="AG196">XLOOKUP(AC196,'Dados Funil'!A:A,'Dados Funil'!AM:AM,"")</f>
        <v/>
      </c>
      <c r="AH196" s="4" t="str">
        <f t="array" ref="AH196">XLOOKUP(AC196,'Dados Funil'!A:A,'Dados Funil'!AN:AN,"")</f>
        <v/>
      </c>
    </row>
    <row r="197">
      <c r="A197" s="4"/>
      <c r="B197" s="4"/>
      <c r="C197" s="7" t="str">
        <f t="shared" si="1"/>
        <v/>
      </c>
      <c r="D197" s="4" t="str">
        <f t="shared" si="9"/>
        <v/>
      </c>
      <c r="E197" s="4" t="str">
        <f t="array" ref="E197">XLOOKUP(A197,'Dados Funil'!$A:$A,'Dados Funil'!$K:$K,"")</f>
        <v/>
      </c>
      <c r="F197" s="4" t="str">
        <f t="array" ref="F197">XLOOKUP(A197,'Dados Funil'!$A:$A,'Dados Funil'!$L:$L,"")</f>
        <v/>
      </c>
      <c r="G197" s="4"/>
      <c r="H197" s="4"/>
      <c r="I197" s="7" t="str">
        <f t="shared" si="2"/>
        <v/>
      </c>
      <c r="J197" s="4" t="str">
        <f t="shared" si="10"/>
        <v/>
      </c>
      <c r="K197" s="4" t="str">
        <f t="array" ref="K197">XLOOKUP(G197,'Dados Funil'!A:A,'Dados Funil'!O:O,"")</f>
        <v/>
      </c>
      <c r="L197" s="4"/>
      <c r="M197" s="4"/>
      <c r="N197" s="7" t="str">
        <f t="shared" si="3"/>
        <v/>
      </c>
      <c r="O197" s="4" t="str">
        <f t="shared" si="11"/>
        <v/>
      </c>
      <c r="P197" s="4" t="str">
        <f t="array" ref="P197">XLOOKUP(L197,'Dados Funil'!A:A,'Dados Funil'!AM:AM,"")</f>
        <v/>
      </c>
      <c r="Q197" s="4" t="str">
        <f t="array" ref="Q197">XLOOKUP(L197,'Dados Funil'!A:A,'Dados Funil'!AN:AN,"")</f>
        <v/>
      </c>
      <c r="T197" s="7" t="str">
        <f t="shared" si="4"/>
        <v/>
      </c>
      <c r="U197" s="4" t="str">
        <f t="shared" si="12"/>
        <v/>
      </c>
      <c r="V197" s="4" t="str">
        <f t="array" ref="V197">XLOOKUP(R197,'Dados Funil'!$A:$A,'Dados Funil'!$K:$K,"")</f>
        <v/>
      </c>
      <c r="W197" s="4" t="str">
        <f t="array" ref="W197">XLOOKUP(R197,'Dados Funil'!$A:$A,'Dados Funil'!$L:$L,"")</f>
        <v/>
      </c>
      <c r="X197" s="4"/>
      <c r="Y197" s="4"/>
      <c r="Z197" s="7" t="str">
        <f t="shared" si="5"/>
        <v/>
      </c>
      <c r="AA197" s="4" t="str">
        <f t="shared" si="13"/>
        <v/>
      </c>
      <c r="AB197" s="4" t="str">
        <f t="array" ref="AB197">XLOOKUP(X197,'Dados Funil'!A:A,'Dados Funil'!O:O,"")</f>
        <v/>
      </c>
      <c r="AE197" s="7" t="str">
        <f t="shared" si="6"/>
        <v/>
      </c>
      <c r="AG197" s="4" t="str">
        <f t="array" ref="AG197">XLOOKUP(AC197,'Dados Funil'!A:A,'Dados Funil'!AM:AM,"")</f>
        <v/>
      </c>
      <c r="AH197" s="4" t="str">
        <f t="array" ref="AH197">XLOOKUP(AC197,'Dados Funil'!A:A,'Dados Funil'!AN:AN,"")</f>
        <v/>
      </c>
    </row>
    <row r="198">
      <c r="A198" s="4"/>
      <c r="B198" s="4"/>
      <c r="C198" s="7" t="str">
        <f t="shared" si="1"/>
        <v/>
      </c>
      <c r="D198" s="4" t="str">
        <f t="shared" si="9"/>
        <v/>
      </c>
      <c r="E198" s="4" t="str">
        <f t="array" ref="E198">XLOOKUP(A198,'Dados Funil'!$A:$A,'Dados Funil'!$K:$K,"")</f>
        <v/>
      </c>
      <c r="F198" s="4" t="str">
        <f t="array" ref="F198">XLOOKUP(A198,'Dados Funil'!$A:$A,'Dados Funil'!$L:$L,"")</f>
        <v/>
      </c>
      <c r="G198" s="4"/>
      <c r="H198" s="4"/>
      <c r="I198" s="7" t="str">
        <f t="shared" si="2"/>
        <v/>
      </c>
      <c r="J198" s="4" t="str">
        <f t="shared" si="10"/>
        <v/>
      </c>
      <c r="K198" s="4" t="str">
        <f t="array" ref="K198">XLOOKUP(G198,'Dados Funil'!A:A,'Dados Funil'!O:O,"")</f>
        <v/>
      </c>
      <c r="L198" s="4"/>
      <c r="M198" s="4"/>
      <c r="N198" s="7" t="str">
        <f t="shared" si="3"/>
        <v/>
      </c>
      <c r="O198" s="4" t="str">
        <f t="shared" si="11"/>
        <v/>
      </c>
      <c r="P198" s="4" t="str">
        <f t="array" ref="P198">XLOOKUP(L198,'Dados Funil'!A:A,'Dados Funil'!AM:AM,"")</f>
        <v/>
      </c>
      <c r="Q198" s="4" t="str">
        <f t="array" ref="Q198">XLOOKUP(L198,'Dados Funil'!A:A,'Dados Funil'!AN:AN,"")</f>
        <v/>
      </c>
      <c r="T198" s="7" t="str">
        <f t="shared" si="4"/>
        <v/>
      </c>
      <c r="U198" s="4" t="str">
        <f t="shared" si="12"/>
        <v/>
      </c>
      <c r="V198" s="4" t="str">
        <f t="array" ref="V198">XLOOKUP(R198,'Dados Funil'!$A:$A,'Dados Funil'!$K:$K,"")</f>
        <v/>
      </c>
      <c r="W198" s="4" t="str">
        <f t="array" ref="W198">XLOOKUP(R198,'Dados Funil'!$A:$A,'Dados Funil'!$L:$L,"")</f>
        <v/>
      </c>
      <c r="X198" s="4"/>
      <c r="Y198" s="4"/>
      <c r="Z198" s="7" t="str">
        <f t="shared" si="5"/>
        <v/>
      </c>
      <c r="AA198" s="4" t="str">
        <f t="shared" si="13"/>
        <v/>
      </c>
      <c r="AB198" s="4" t="str">
        <f t="array" ref="AB198">XLOOKUP(X198,'Dados Funil'!A:A,'Dados Funil'!O:O,"")</f>
        <v/>
      </c>
      <c r="AE198" s="7" t="str">
        <f t="shared" si="6"/>
        <v/>
      </c>
      <c r="AG198" s="4" t="str">
        <f t="array" ref="AG198">XLOOKUP(AC198,'Dados Funil'!A:A,'Dados Funil'!AM:AM,"")</f>
        <v/>
      </c>
      <c r="AH198" s="4" t="str">
        <f t="array" ref="AH198">XLOOKUP(AC198,'Dados Funil'!A:A,'Dados Funil'!AN:AN,"")</f>
        <v/>
      </c>
    </row>
    <row r="199">
      <c r="A199" s="4"/>
      <c r="B199" s="4"/>
      <c r="C199" s="7" t="str">
        <f t="shared" si="1"/>
        <v/>
      </c>
      <c r="D199" s="4" t="str">
        <f t="shared" si="9"/>
        <v/>
      </c>
      <c r="E199" s="4" t="str">
        <f t="array" ref="E199">XLOOKUP(A199,'Dados Funil'!$A:$A,'Dados Funil'!$K:$K,"")</f>
        <v/>
      </c>
      <c r="F199" s="4" t="str">
        <f t="array" ref="F199">XLOOKUP(A199,'Dados Funil'!$A:$A,'Dados Funil'!$L:$L,"")</f>
        <v/>
      </c>
      <c r="G199" s="4"/>
      <c r="H199" s="4"/>
      <c r="I199" s="7" t="str">
        <f t="shared" si="2"/>
        <v/>
      </c>
      <c r="J199" s="4" t="str">
        <f t="shared" si="10"/>
        <v/>
      </c>
      <c r="K199" s="4" t="str">
        <f t="array" ref="K199">XLOOKUP(G199,'Dados Funil'!A:A,'Dados Funil'!O:O,"")</f>
        <v/>
      </c>
      <c r="L199" s="4"/>
      <c r="M199" s="4"/>
      <c r="N199" s="7" t="str">
        <f t="shared" si="3"/>
        <v/>
      </c>
      <c r="O199" s="4" t="str">
        <f t="shared" si="11"/>
        <v/>
      </c>
      <c r="P199" s="4" t="str">
        <f t="array" ref="P199">XLOOKUP(L199,'Dados Funil'!A:A,'Dados Funil'!AM:AM,"")</f>
        <v/>
      </c>
      <c r="Q199" s="4" t="str">
        <f t="array" ref="Q199">XLOOKUP(L199,'Dados Funil'!A:A,'Dados Funil'!AN:AN,"")</f>
        <v/>
      </c>
      <c r="T199" s="7" t="str">
        <f t="shared" si="4"/>
        <v/>
      </c>
      <c r="U199" s="4" t="str">
        <f t="shared" si="12"/>
        <v/>
      </c>
      <c r="V199" s="4" t="str">
        <f t="array" ref="V199">XLOOKUP(R199,'Dados Funil'!$A:$A,'Dados Funil'!$K:$K,"")</f>
        <v/>
      </c>
      <c r="W199" s="4" t="str">
        <f t="array" ref="W199">XLOOKUP(R199,'Dados Funil'!$A:$A,'Dados Funil'!$L:$L,"")</f>
        <v/>
      </c>
      <c r="X199" s="4"/>
      <c r="Y199" s="4"/>
      <c r="Z199" s="7" t="str">
        <f t="shared" si="5"/>
        <v/>
      </c>
      <c r="AA199" s="4" t="str">
        <f t="shared" si="13"/>
        <v/>
      </c>
      <c r="AB199" s="4" t="str">
        <f t="array" ref="AB199">XLOOKUP(X199,'Dados Funil'!A:A,'Dados Funil'!O:O,"")</f>
        <v/>
      </c>
      <c r="AE199" s="7" t="str">
        <f t="shared" si="6"/>
        <v/>
      </c>
      <c r="AG199" s="4" t="str">
        <f t="array" ref="AG199">XLOOKUP(AC199,'Dados Funil'!A:A,'Dados Funil'!AM:AM,"")</f>
        <v/>
      </c>
      <c r="AH199" s="4" t="str">
        <f t="array" ref="AH199">XLOOKUP(AC199,'Dados Funil'!A:A,'Dados Funil'!AN:AN,"")</f>
        <v/>
      </c>
    </row>
    <row r="200">
      <c r="A200" s="4"/>
      <c r="B200" s="4"/>
      <c r="C200" s="7" t="str">
        <f t="shared" si="1"/>
        <v/>
      </c>
      <c r="D200" s="4" t="str">
        <f t="shared" si="9"/>
        <v/>
      </c>
      <c r="E200" s="4" t="str">
        <f t="array" ref="E200">XLOOKUP(A200,'Dados Funil'!$A:$A,'Dados Funil'!$K:$K,"")</f>
        <v/>
      </c>
      <c r="F200" s="4" t="str">
        <f t="array" ref="F200">XLOOKUP(A200,'Dados Funil'!$A:$A,'Dados Funil'!$L:$L,"")</f>
        <v/>
      </c>
      <c r="G200" s="4"/>
      <c r="H200" s="4"/>
      <c r="I200" s="7" t="str">
        <f t="shared" si="2"/>
        <v/>
      </c>
      <c r="J200" s="4" t="str">
        <f t="shared" si="10"/>
        <v/>
      </c>
      <c r="K200" s="4" t="str">
        <f t="array" ref="K200">XLOOKUP(G200,'Dados Funil'!A:A,'Dados Funil'!O:O,"")</f>
        <v/>
      </c>
      <c r="L200" s="4"/>
      <c r="M200" s="4"/>
      <c r="N200" s="7" t="str">
        <f t="shared" si="3"/>
        <v/>
      </c>
      <c r="O200" s="4" t="str">
        <f t="shared" si="11"/>
        <v/>
      </c>
      <c r="P200" s="4" t="str">
        <f t="array" ref="P200">XLOOKUP(L200,'Dados Funil'!A:A,'Dados Funil'!AM:AM,"")</f>
        <v/>
      </c>
      <c r="Q200" s="4" t="str">
        <f t="array" ref="Q200">XLOOKUP(L200,'Dados Funil'!A:A,'Dados Funil'!AN:AN,"")</f>
        <v/>
      </c>
      <c r="T200" s="7" t="str">
        <f t="shared" si="4"/>
        <v/>
      </c>
      <c r="U200" s="4" t="str">
        <f t="shared" si="12"/>
        <v/>
      </c>
      <c r="V200" s="4" t="str">
        <f t="array" ref="V200">XLOOKUP(R200,'Dados Funil'!$A:$A,'Dados Funil'!$K:$K,"")</f>
        <v/>
      </c>
      <c r="W200" s="4" t="str">
        <f t="array" ref="W200">XLOOKUP(R200,'Dados Funil'!$A:$A,'Dados Funil'!$L:$L,"")</f>
        <v/>
      </c>
      <c r="X200" s="4"/>
      <c r="Y200" s="4"/>
      <c r="Z200" s="7" t="str">
        <f t="shared" si="5"/>
        <v/>
      </c>
      <c r="AA200" s="4" t="str">
        <f t="shared" si="13"/>
        <v/>
      </c>
      <c r="AB200" s="4" t="str">
        <f t="array" ref="AB200">XLOOKUP(X200,'Dados Funil'!A:A,'Dados Funil'!O:O,"")</f>
        <v/>
      </c>
      <c r="AE200" s="7" t="str">
        <f t="shared" si="6"/>
        <v/>
      </c>
      <c r="AG200" s="4" t="str">
        <f t="array" ref="AG200">XLOOKUP(AC200,'Dados Funil'!A:A,'Dados Funil'!AM:AM,"")</f>
        <v/>
      </c>
      <c r="AH200" s="4" t="str">
        <f t="array" ref="AH200">XLOOKUP(AC200,'Dados Funil'!A:A,'Dados Funil'!AN:AN,"")</f>
        <v/>
      </c>
    </row>
    <row r="201">
      <c r="A201" s="4"/>
      <c r="B201" s="4"/>
      <c r="C201" s="7" t="str">
        <f t="shared" si="1"/>
        <v/>
      </c>
      <c r="D201" s="4" t="str">
        <f t="shared" si="9"/>
        <v/>
      </c>
      <c r="E201" s="4" t="str">
        <f t="array" ref="E201">XLOOKUP(A201,'Dados Funil'!$A:$A,'Dados Funil'!$K:$K,"")</f>
        <v/>
      </c>
      <c r="F201" s="4" t="str">
        <f t="array" ref="F201">XLOOKUP(A201,'Dados Funil'!$A:$A,'Dados Funil'!$L:$L,"")</f>
        <v/>
      </c>
      <c r="G201" s="4"/>
      <c r="H201" s="4"/>
      <c r="I201" s="7" t="str">
        <f t="shared" si="2"/>
        <v/>
      </c>
      <c r="J201" s="4" t="str">
        <f t="shared" si="10"/>
        <v/>
      </c>
      <c r="K201" s="4" t="str">
        <f t="array" ref="K201">XLOOKUP(G201,'Dados Funil'!A:A,'Dados Funil'!O:O,"")</f>
        <v/>
      </c>
      <c r="L201" s="4"/>
      <c r="M201" s="4"/>
      <c r="N201" s="7" t="str">
        <f t="shared" si="3"/>
        <v/>
      </c>
      <c r="O201" s="4" t="str">
        <f t="shared" si="11"/>
        <v/>
      </c>
      <c r="P201" s="4" t="str">
        <f t="array" ref="P201">XLOOKUP(L201,'Dados Funil'!A:A,'Dados Funil'!AM:AM,"")</f>
        <v/>
      </c>
      <c r="Q201" s="4" t="str">
        <f t="array" ref="Q201">XLOOKUP(L201,'Dados Funil'!A:A,'Dados Funil'!AN:AN,"")</f>
        <v/>
      </c>
      <c r="T201" s="7" t="str">
        <f t="shared" si="4"/>
        <v/>
      </c>
      <c r="U201" s="4" t="str">
        <f t="shared" si="12"/>
        <v/>
      </c>
      <c r="V201" s="4" t="str">
        <f t="array" ref="V201">XLOOKUP(R201,'Dados Funil'!$A:$A,'Dados Funil'!$K:$K,"")</f>
        <v/>
      </c>
      <c r="W201" s="4" t="str">
        <f t="array" ref="W201">XLOOKUP(R201,'Dados Funil'!$A:$A,'Dados Funil'!$L:$L,"")</f>
        <v/>
      </c>
      <c r="X201" s="4"/>
      <c r="Y201" s="4"/>
      <c r="Z201" s="7" t="str">
        <f t="shared" si="5"/>
        <v/>
      </c>
      <c r="AA201" s="4" t="str">
        <f t="shared" si="13"/>
        <v/>
      </c>
      <c r="AB201" s="4" t="str">
        <f t="array" ref="AB201">XLOOKUP(X201,'Dados Funil'!A:A,'Dados Funil'!O:O,"")</f>
        <v/>
      </c>
      <c r="AE201" s="7" t="str">
        <f t="shared" si="6"/>
        <v/>
      </c>
      <c r="AG201" s="4" t="str">
        <f t="array" ref="AG201">XLOOKUP(AC201,'Dados Funil'!A:A,'Dados Funil'!AM:AM,"")</f>
        <v/>
      </c>
      <c r="AH201" s="4" t="str">
        <f t="array" ref="AH201">XLOOKUP(AC201,'Dados Funil'!A:A,'Dados Funil'!AN:AN,"")</f>
        <v/>
      </c>
    </row>
    <row r="202">
      <c r="A202" s="4"/>
      <c r="B202" s="4"/>
      <c r="C202" s="7" t="str">
        <f t="shared" si="1"/>
        <v/>
      </c>
      <c r="D202" s="4" t="str">
        <f t="shared" si="9"/>
        <v/>
      </c>
      <c r="E202" s="4" t="str">
        <f t="array" ref="E202">XLOOKUP(A202,'Dados Funil'!$A:$A,'Dados Funil'!$K:$K,"")</f>
        <v/>
      </c>
      <c r="F202" s="4" t="str">
        <f t="array" ref="F202">XLOOKUP(A202,'Dados Funil'!$A:$A,'Dados Funil'!$L:$L,"")</f>
        <v/>
      </c>
      <c r="G202" s="4"/>
      <c r="H202" s="4"/>
      <c r="I202" s="7" t="str">
        <f t="shared" si="2"/>
        <v/>
      </c>
      <c r="J202" s="4" t="str">
        <f t="shared" si="10"/>
        <v/>
      </c>
      <c r="K202" s="4" t="str">
        <f t="array" ref="K202">XLOOKUP(G202,'Dados Funil'!A:A,'Dados Funil'!O:O,"")</f>
        <v/>
      </c>
      <c r="L202" s="4"/>
      <c r="M202" s="4"/>
      <c r="N202" s="7" t="str">
        <f t="shared" si="3"/>
        <v/>
      </c>
      <c r="O202" s="4" t="str">
        <f t="shared" si="11"/>
        <v/>
      </c>
      <c r="P202" s="4" t="str">
        <f t="array" ref="P202">XLOOKUP(L202,'Dados Funil'!A:A,'Dados Funil'!AM:AM,"")</f>
        <v/>
      </c>
      <c r="Q202" s="4" t="str">
        <f t="array" ref="Q202">XLOOKUP(L202,'Dados Funil'!A:A,'Dados Funil'!AN:AN,"")</f>
        <v/>
      </c>
      <c r="T202" s="7" t="str">
        <f t="shared" si="4"/>
        <v/>
      </c>
      <c r="U202" s="4" t="str">
        <f t="shared" si="12"/>
        <v/>
      </c>
      <c r="V202" s="4" t="str">
        <f t="array" ref="V202">XLOOKUP(R202,'Dados Funil'!$A:$A,'Dados Funil'!$K:$K,"")</f>
        <v/>
      </c>
      <c r="W202" s="4" t="str">
        <f t="array" ref="W202">XLOOKUP(R202,'Dados Funil'!$A:$A,'Dados Funil'!$L:$L,"")</f>
        <v/>
      </c>
      <c r="X202" s="4"/>
      <c r="Y202" s="4"/>
      <c r="Z202" s="7" t="str">
        <f t="shared" si="5"/>
        <v/>
      </c>
      <c r="AA202" s="4" t="str">
        <f t="shared" si="13"/>
        <v/>
      </c>
      <c r="AB202" s="4" t="str">
        <f t="array" ref="AB202">XLOOKUP(X202,'Dados Funil'!A:A,'Dados Funil'!O:O,"")</f>
        <v/>
      </c>
      <c r="AE202" s="7" t="str">
        <f t="shared" si="6"/>
        <v/>
      </c>
      <c r="AG202" s="4" t="str">
        <f t="array" ref="AG202">XLOOKUP(AC202,'Dados Funil'!A:A,'Dados Funil'!AM:AM,"")</f>
        <v/>
      </c>
      <c r="AH202" s="4" t="str">
        <f t="array" ref="AH202">XLOOKUP(AC202,'Dados Funil'!A:A,'Dados Funil'!AN:AN,"")</f>
        <v/>
      </c>
    </row>
    <row r="203">
      <c r="A203" s="4"/>
      <c r="B203" s="4"/>
      <c r="C203" s="7" t="str">
        <f t="shared" si="1"/>
        <v/>
      </c>
      <c r="D203" s="4" t="str">
        <f t="shared" si="9"/>
        <v/>
      </c>
      <c r="E203" s="4" t="str">
        <f t="array" ref="E203">XLOOKUP(A203,'Dados Funil'!$A:$A,'Dados Funil'!$K:$K,"")</f>
        <v/>
      </c>
      <c r="F203" s="4" t="str">
        <f t="array" ref="F203">XLOOKUP(A203,'Dados Funil'!$A:$A,'Dados Funil'!$L:$L,"")</f>
        <v/>
      </c>
      <c r="G203" s="4"/>
      <c r="H203" s="4"/>
      <c r="I203" s="7" t="str">
        <f t="shared" si="2"/>
        <v/>
      </c>
      <c r="J203" s="4" t="str">
        <f t="shared" si="10"/>
        <v/>
      </c>
      <c r="K203" s="4" t="str">
        <f t="array" ref="K203">XLOOKUP(G203,'Dados Funil'!A:A,'Dados Funil'!O:O,"")</f>
        <v/>
      </c>
      <c r="L203" s="4"/>
      <c r="M203" s="4"/>
      <c r="N203" s="7" t="str">
        <f t="shared" si="3"/>
        <v/>
      </c>
      <c r="O203" s="4" t="str">
        <f t="shared" si="11"/>
        <v/>
      </c>
      <c r="P203" s="4" t="str">
        <f t="array" ref="P203">XLOOKUP(L203,'Dados Funil'!A:A,'Dados Funil'!AM:AM,"")</f>
        <v/>
      </c>
      <c r="Q203" s="4" t="str">
        <f t="array" ref="Q203">XLOOKUP(L203,'Dados Funil'!A:A,'Dados Funil'!AN:AN,"")</f>
        <v/>
      </c>
      <c r="T203" s="7" t="str">
        <f t="shared" si="4"/>
        <v/>
      </c>
      <c r="U203" s="4" t="str">
        <f t="shared" si="12"/>
        <v/>
      </c>
      <c r="V203" s="4" t="str">
        <f t="array" ref="V203">XLOOKUP(R203,'Dados Funil'!$A:$A,'Dados Funil'!$K:$K,"")</f>
        <v/>
      </c>
      <c r="W203" s="4" t="str">
        <f t="array" ref="W203">XLOOKUP(R203,'Dados Funil'!$A:$A,'Dados Funil'!$L:$L,"")</f>
        <v/>
      </c>
      <c r="X203" s="4"/>
      <c r="Y203" s="4"/>
      <c r="Z203" s="7" t="str">
        <f t="shared" si="5"/>
        <v/>
      </c>
      <c r="AA203" s="4" t="str">
        <f t="shared" si="13"/>
        <v/>
      </c>
      <c r="AB203" s="4" t="str">
        <f t="array" ref="AB203">XLOOKUP(X203,'Dados Funil'!A:A,'Dados Funil'!O:O,"")</f>
        <v/>
      </c>
      <c r="AE203" s="7" t="str">
        <f t="shared" si="6"/>
        <v/>
      </c>
      <c r="AG203" s="4" t="str">
        <f t="array" ref="AG203">XLOOKUP(AC203,'Dados Funil'!A:A,'Dados Funil'!AM:AM,"")</f>
        <v/>
      </c>
      <c r="AH203" s="4" t="str">
        <f t="array" ref="AH203">XLOOKUP(AC203,'Dados Funil'!A:A,'Dados Funil'!AN:AN,"")</f>
        <v/>
      </c>
    </row>
    <row r="204">
      <c r="A204" s="4"/>
      <c r="B204" s="4"/>
      <c r="C204" s="7" t="str">
        <f t="shared" si="1"/>
        <v/>
      </c>
      <c r="D204" s="4" t="str">
        <f t="shared" si="9"/>
        <v/>
      </c>
      <c r="E204" s="4" t="str">
        <f t="array" ref="E204">XLOOKUP(A204,'Dados Funil'!$A:$A,'Dados Funil'!$K:$K,"")</f>
        <v/>
      </c>
      <c r="F204" s="4" t="str">
        <f t="array" ref="F204">XLOOKUP(A204,'Dados Funil'!$A:$A,'Dados Funil'!$L:$L,"")</f>
        <v/>
      </c>
      <c r="G204" s="4"/>
      <c r="H204" s="4"/>
      <c r="I204" s="7" t="str">
        <f t="shared" si="2"/>
        <v/>
      </c>
      <c r="J204" s="4" t="str">
        <f t="shared" si="10"/>
        <v/>
      </c>
      <c r="K204" s="4" t="str">
        <f t="array" ref="K204">XLOOKUP(G204,'Dados Funil'!A:A,'Dados Funil'!O:O,"")</f>
        <v/>
      </c>
      <c r="L204" s="4"/>
      <c r="M204" s="4"/>
      <c r="N204" s="7" t="str">
        <f t="shared" si="3"/>
        <v/>
      </c>
      <c r="O204" s="4" t="str">
        <f t="shared" si="11"/>
        <v/>
      </c>
      <c r="P204" s="4" t="str">
        <f t="array" ref="P204">XLOOKUP(L204,'Dados Funil'!A:A,'Dados Funil'!AM:AM,"")</f>
        <v/>
      </c>
      <c r="Q204" s="4" t="str">
        <f t="array" ref="Q204">XLOOKUP(L204,'Dados Funil'!A:A,'Dados Funil'!AN:AN,"")</f>
        <v/>
      </c>
      <c r="T204" s="7" t="str">
        <f t="shared" si="4"/>
        <v/>
      </c>
      <c r="U204" s="4" t="str">
        <f t="shared" si="12"/>
        <v/>
      </c>
      <c r="V204" s="4" t="str">
        <f t="array" ref="V204">XLOOKUP(R204,'Dados Funil'!$A:$A,'Dados Funil'!$K:$K,"")</f>
        <v/>
      </c>
      <c r="W204" s="4" t="str">
        <f t="array" ref="W204">XLOOKUP(R204,'Dados Funil'!$A:$A,'Dados Funil'!$L:$L,"")</f>
        <v/>
      </c>
      <c r="X204" s="4"/>
      <c r="Y204" s="4"/>
      <c r="Z204" s="7" t="str">
        <f t="shared" si="5"/>
        <v/>
      </c>
      <c r="AA204" s="4" t="str">
        <f t="shared" si="13"/>
        <v/>
      </c>
      <c r="AB204" s="4" t="str">
        <f t="array" ref="AB204">XLOOKUP(X204,'Dados Funil'!A:A,'Dados Funil'!O:O,"")</f>
        <v/>
      </c>
      <c r="AE204" s="7" t="str">
        <f t="shared" si="6"/>
        <v/>
      </c>
      <c r="AG204" s="4" t="str">
        <f t="array" ref="AG204">XLOOKUP(AC204,'Dados Funil'!A:A,'Dados Funil'!AM:AM,"")</f>
        <v/>
      </c>
      <c r="AH204" s="4" t="str">
        <f t="array" ref="AH204">XLOOKUP(AC204,'Dados Funil'!A:A,'Dados Funil'!AN:AN,"")</f>
        <v/>
      </c>
    </row>
    <row r="205">
      <c r="A205" s="4"/>
      <c r="B205" s="4"/>
      <c r="C205" s="7" t="str">
        <f t="shared" si="1"/>
        <v/>
      </c>
      <c r="D205" s="4" t="str">
        <f t="shared" si="9"/>
        <v/>
      </c>
      <c r="E205" s="4" t="str">
        <f t="array" ref="E205">XLOOKUP(A205,'Dados Funil'!$A:$A,'Dados Funil'!$K:$K,"")</f>
        <v/>
      </c>
      <c r="F205" s="4" t="str">
        <f t="array" ref="F205">XLOOKUP(A205,'Dados Funil'!$A:$A,'Dados Funil'!$L:$L,"")</f>
        <v/>
      </c>
      <c r="G205" s="4"/>
      <c r="H205" s="4"/>
      <c r="I205" s="7" t="str">
        <f t="shared" si="2"/>
        <v/>
      </c>
      <c r="J205" s="4" t="str">
        <f t="shared" si="10"/>
        <v/>
      </c>
      <c r="K205" s="4" t="str">
        <f t="array" ref="K205">XLOOKUP(G205,'Dados Funil'!A:A,'Dados Funil'!O:O,"")</f>
        <v/>
      </c>
      <c r="L205" s="4"/>
      <c r="M205" s="4"/>
      <c r="N205" s="7" t="str">
        <f t="shared" si="3"/>
        <v/>
      </c>
      <c r="O205" s="4" t="str">
        <f t="shared" si="11"/>
        <v/>
      </c>
      <c r="P205" s="4" t="str">
        <f t="array" ref="P205">XLOOKUP(L205,'Dados Funil'!A:A,'Dados Funil'!AM:AM,"")</f>
        <v/>
      </c>
      <c r="Q205" s="4" t="str">
        <f t="array" ref="Q205">XLOOKUP(L205,'Dados Funil'!A:A,'Dados Funil'!AN:AN,"")</f>
        <v/>
      </c>
      <c r="T205" s="7" t="str">
        <f t="shared" si="4"/>
        <v/>
      </c>
      <c r="U205" s="4" t="str">
        <f t="shared" si="12"/>
        <v/>
      </c>
      <c r="V205" s="4" t="str">
        <f t="array" ref="V205">XLOOKUP(R205,'Dados Funil'!$A:$A,'Dados Funil'!$K:$K,"")</f>
        <v/>
      </c>
      <c r="W205" s="4" t="str">
        <f t="array" ref="W205">XLOOKUP(R205,'Dados Funil'!$A:$A,'Dados Funil'!$L:$L,"")</f>
        <v/>
      </c>
      <c r="X205" s="4"/>
      <c r="Y205" s="4"/>
      <c r="Z205" s="7" t="str">
        <f t="shared" si="5"/>
        <v/>
      </c>
      <c r="AA205" s="4" t="str">
        <f t="shared" si="13"/>
        <v/>
      </c>
      <c r="AB205" s="4" t="str">
        <f t="array" ref="AB205">XLOOKUP(X205,'Dados Funil'!A:A,'Dados Funil'!O:O,"")</f>
        <v/>
      </c>
      <c r="AE205" s="7" t="str">
        <f t="shared" si="6"/>
        <v/>
      </c>
      <c r="AG205" s="4" t="str">
        <f t="array" ref="AG205">XLOOKUP(AC205,'Dados Funil'!A:A,'Dados Funil'!AM:AM,"")</f>
        <v/>
      </c>
      <c r="AH205" s="4" t="str">
        <f t="array" ref="AH205">XLOOKUP(AC205,'Dados Funil'!A:A,'Dados Funil'!AN:AN,"")</f>
        <v/>
      </c>
    </row>
    <row r="206">
      <c r="A206" s="4"/>
      <c r="B206" s="4"/>
      <c r="C206" s="7" t="str">
        <f t="shared" si="1"/>
        <v/>
      </c>
      <c r="D206" s="4" t="str">
        <f t="shared" si="9"/>
        <v/>
      </c>
      <c r="E206" s="4" t="str">
        <f t="array" ref="E206">XLOOKUP(A206,'Dados Funil'!$A:$A,'Dados Funil'!$K:$K,"")</f>
        <v/>
      </c>
      <c r="F206" s="4" t="str">
        <f t="array" ref="F206">XLOOKUP(A206,'Dados Funil'!$A:$A,'Dados Funil'!$L:$L,"")</f>
        <v/>
      </c>
      <c r="G206" s="4"/>
      <c r="H206" s="4"/>
      <c r="I206" s="7" t="str">
        <f t="shared" si="2"/>
        <v/>
      </c>
      <c r="J206" s="4" t="str">
        <f t="shared" si="10"/>
        <v/>
      </c>
      <c r="K206" s="4" t="str">
        <f t="array" ref="K206">XLOOKUP(G206,'Dados Funil'!A:A,'Dados Funil'!O:O,"")</f>
        <v/>
      </c>
      <c r="L206" s="4"/>
      <c r="M206" s="4"/>
      <c r="N206" s="7" t="str">
        <f t="shared" si="3"/>
        <v/>
      </c>
      <c r="O206" s="4" t="str">
        <f t="shared" si="11"/>
        <v/>
      </c>
      <c r="P206" s="4" t="str">
        <f t="array" ref="P206">XLOOKUP(L206,'Dados Funil'!A:A,'Dados Funil'!AM:AM,"")</f>
        <v/>
      </c>
      <c r="Q206" s="4" t="str">
        <f t="array" ref="Q206">XLOOKUP(L206,'Dados Funil'!A:A,'Dados Funil'!AN:AN,"")</f>
        <v/>
      </c>
      <c r="T206" s="7" t="str">
        <f t="shared" si="4"/>
        <v/>
      </c>
      <c r="U206" s="4" t="str">
        <f t="shared" si="12"/>
        <v/>
      </c>
      <c r="V206" s="4" t="str">
        <f t="array" ref="V206">XLOOKUP(R206,'Dados Funil'!$A:$A,'Dados Funil'!$K:$K,"")</f>
        <v/>
      </c>
      <c r="W206" s="4" t="str">
        <f t="array" ref="W206">XLOOKUP(R206,'Dados Funil'!$A:$A,'Dados Funil'!$L:$L,"")</f>
        <v/>
      </c>
      <c r="X206" s="4"/>
      <c r="Y206" s="4"/>
      <c r="Z206" s="7" t="str">
        <f t="shared" si="5"/>
        <v/>
      </c>
      <c r="AA206" s="4" t="str">
        <f t="shared" si="13"/>
        <v/>
      </c>
      <c r="AB206" s="4" t="str">
        <f t="array" ref="AB206">XLOOKUP(X206,'Dados Funil'!A:A,'Dados Funil'!O:O,"")</f>
        <v/>
      </c>
      <c r="AE206" s="7" t="str">
        <f t="shared" si="6"/>
        <v/>
      </c>
      <c r="AG206" s="4" t="str">
        <f t="array" ref="AG206">XLOOKUP(AC206,'Dados Funil'!A:A,'Dados Funil'!AM:AM,"")</f>
        <v/>
      </c>
      <c r="AH206" s="4" t="str">
        <f t="array" ref="AH206">XLOOKUP(AC206,'Dados Funil'!A:A,'Dados Funil'!AN:AN,"")</f>
        <v/>
      </c>
    </row>
    <row r="207">
      <c r="A207" s="4"/>
      <c r="B207" s="4"/>
      <c r="C207" s="7" t="str">
        <f t="shared" si="1"/>
        <v/>
      </c>
      <c r="D207" s="4" t="str">
        <f t="shared" si="9"/>
        <v/>
      </c>
      <c r="E207" s="4" t="str">
        <f t="array" ref="E207">XLOOKUP(A207,'Dados Funil'!$A:$A,'Dados Funil'!$K:$K,"")</f>
        <v/>
      </c>
      <c r="F207" s="4" t="str">
        <f t="array" ref="F207">XLOOKUP(A207,'Dados Funil'!$A:$A,'Dados Funil'!$L:$L,"")</f>
        <v/>
      </c>
      <c r="G207" s="4"/>
      <c r="H207" s="4"/>
      <c r="I207" s="7" t="str">
        <f t="shared" si="2"/>
        <v/>
      </c>
      <c r="J207" s="4" t="str">
        <f t="shared" si="10"/>
        <v/>
      </c>
      <c r="K207" s="4" t="str">
        <f t="array" ref="K207">XLOOKUP(G207,'Dados Funil'!A:A,'Dados Funil'!O:O,"")</f>
        <v/>
      </c>
      <c r="L207" s="4"/>
      <c r="M207" s="4"/>
      <c r="N207" s="7" t="str">
        <f t="shared" si="3"/>
        <v/>
      </c>
      <c r="O207" s="4" t="str">
        <f t="shared" si="11"/>
        <v/>
      </c>
      <c r="P207" s="4" t="str">
        <f t="array" ref="P207">XLOOKUP(L207,'Dados Funil'!A:A,'Dados Funil'!AM:AM,"")</f>
        <v/>
      </c>
      <c r="Q207" s="4" t="str">
        <f t="array" ref="Q207">XLOOKUP(L207,'Dados Funil'!A:A,'Dados Funil'!AN:AN,"")</f>
        <v/>
      </c>
      <c r="T207" s="7" t="str">
        <f t="shared" si="4"/>
        <v/>
      </c>
      <c r="U207" s="4" t="str">
        <f t="shared" si="12"/>
        <v/>
      </c>
      <c r="V207" s="4" t="str">
        <f t="array" ref="V207">XLOOKUP(R207,'Dados Funil'!$A:$A,'Dados Funil'!$K:$K,"")</f>
        <v/>
      </c>
      <c r="W207" s="4" t="str">
        <f t="array" ref="W207">XLOOKUP(R207,'Dados Funil'!$A:$A,'Dados Funil'!$L:$L,"")</f>
        <v/>
      </c>
      <c r="X207" s="4"/>
      <c r="Y207" s="4"/>
      <c r="Z207" s="7" t="str">
        <f t="shared" si="5"/>
        <v/>
      </c>
      <c r="AA207" s="4" t="str">
        <f t="shared" si="13"/>
        <v/>
      </c>
      <c r="AB207" s="4" t="str">
        <f t="array" ref="AB207">XLOOKUP(X207,'Dados Funil'!A:A,'Dados Funil'!O:O,"")</f>
        <v/>
      </c>
      <c r="AE207" s="7" t="str">
        <f t="shared" si="6"/>
        <v/>
      </c>
      <c r="AG207" s="4" t="str">
        <f t="array" ref="AG207">XLOOKUP(AC207,'Dados Funil'!A:A,'Dados Funil'!AM:AM,"")</f>
        <v/>
      </c>
      <c r="AH207" s="4" t="str">
        <f t="array" ref="AH207">XLOOKUP(AC207,'Dados Funil'!A:A,'Dados Funil'!AN:AN,"")</f>
        <v/>
      </c>
    </row>
    <row r="208">
      <c r="A208" s="4"/>
      <c r="B208" s="4"/>
      <c r="C208" s="7" t="str">
        <f t="shared" si="1"/>
        <v/>
      </c>
      <c r="D208" s="4" t="str">
        <f t="shared" si="9"/>
        <v/>
      </c>
      <c r="E208" s="4" t="str">
        <f t="array" ref="E208">XLOOKUP(A208,'Dados Funil'!$A:$A,'Dados Funil'!$K:$K,"")</f>
        <v/>
      </c>
      <c r="F208" s="4" t="str">
        <f t="array" ref="F208">XLOOKUP(A208,'Dados Funil'!$A:$A,'Dados Funil'!$L:$L,"")</f>
        <v/>
      </c>
      <c r="G208" s="4"/>
      <c r="H208" s="4"/>
      <c r="I208" s="7" t="str">
        <f t="shared" si="2"/>
        <v/>
      </c>
      <c r="J208" s="4" t="str">
        <f t="shared" si="10"/>
        <v/>
      </c>
      <c r="K208" s="4" t="str">
        <f t="array" ref="K208">XLOOKUP(G208,'Dados Funil'!A:A,'Dados Funil'!O:O,"")</f>
        <v/>
      </c>
      <c r="L208" s="4"/>
      <c r="M208" s="4"/>
      <c r="N208" s="7" t="str">
        <f t="shared" si="3"/>
        <v/>
      </c>
      <c r="O208" s="4" t="str">
        <f t="shared" si="11"/>
        <v/>
      </c>
      <c r="P208" s="4" t="str">
        <f t="array" ref="P208">XLOOKUP(L208,'Dados Funil'!A:A,'Dados Funil'!AM:AM,"")</f>
        <v/>
      </c>
      <c r="Q208" s="4" t="str">
        <f t="array" ref="Q208">XLOOKUP(L208,'Dados Funil'!A:A,'Dados Funil'!AN:AN,"")</f>
        <v/>
      </c>
      <c r="T208" s="7" t="str">
        <f t="shared" si="4"/>
        <v/>
      </c>
      <c r="U208" s="4" t="str">
        <f t="shared" si="12"/>
        <v/>
      </c>
      <c r="V208" s="4" t="str">
        <f t="array" ref="V208">XLOOKUP(R208,'Dados Funil'!$A:$A,'Dados Funil'!$K:$K,"")</f>
        <v/>
      </c>
      <c r="W208" s="4" t="str">
        <f t="array" ref="W208">XLOOKUP(R208,'Dados Funil'!$A:$A,'Dados Funil'!$L:$L,"")</f>
        <v/>
      </c>
      <c r="X208" s="4"/>
      <c r="Y208" s="4"/>
      <c r="Z208" s="7" t="str">
        <f t="shared" si="5"/>
        <v/>
      </c>
      <c r="AA208" s="4" t="str">
        <f t="shared" si="13"/>
        <v/>
      </c>
      <c r="AB208" s="4" t="str">
        <f t="array" ref="AB208">XLOOKUP(X208,'Dados Funil'!A:A,'Dados Funil'!O:O,"")</f>
        <v/>
      </c>
      <c r="AE208" s="7" t="str">
        <f t="shared" si="6"/>
        <v/>
      </c>
      <c r="AG208" s="4" t="str">
        <f t="array" ref="AG208">XLOOKUP(AC208,'Dados Funil'!A:A,'Dados Funil'!AM:AM,"")</f>
        <v/>
      </c>
      <c r="AH208" s="4" t="str">
        <f t="array" ref="AH208">XLOOKUP(AC208,'Dados Funil'!A:A,'Dados Funil'!AN:AN,"")</f>
        <v/>
      </c>
    </row>
    <row r="209">
      <c r="A209" s="4"/>
      <c r="B209" s="4"/>
      <c r="C209" s="7" t="str">
        <f t="shared" si="1"/>
        <v/>
      </c>
      <c r="D209" s="4" t="str">
        <f t="shared" si="9"/>
        <v/>
      </c>
      <c r="E209" s="4" t="str">
        <f t="array" ref="E209">XLOOKUP(A209,'Dados Funil'!$A:$A,'Dados Funil'!$K:$K,"")</f>
        <v/>
      </c>
      <c r="F209" s="4" t="str">
        <f t="array" ref="F209">XLOOKUP(A209,'Dados Funil'!$A:$A,'Dados Funil'!$L:$L,"")</f>
        <v/>
      </c>
      <c r="G209" s="4"/>
      <c r="H209" s="4"/>
      <c r="I209" s="7" t="str">
        <f t="shared" si="2"/>
        <v/>
      </c>
      <c r="J209" s="4" t="str">
        <f t="shared" si="10"/>
        <v/>
      </c>
      <c r="K209" s="4" t="str">
        <f t="array" ref="K209">XLOOKUP(G209,'Dados Funil'!A:A,'Dados Funil'!O:O,"")</f>
        <v/>
      </c>
      <c r="L209" s="4"/>
      <c r="M209" s="4"/>
      <c r="N209" s="7" t="str">
        <f t="shared" si="3"/>
        <v/>
      </c>
      <c r="O209" s="4" t="str">
        <f t="shared" si="11"/>
        <v/>
      </c>
      <c r="P209" s="4" t="str">
        <f t="array" ref="P209">XLOOKUP(L209,'Dados Funil'!A:A,'Dados Funil'!AM:AM,"")</f>
        <v/>
      </c>
      <c r="Q209" s="4" t="str">
        <f t="array" ref="Q209">XLOOKUP(L209,'Dados Funil'!A:A,'Dados Funil'!AN:AN,"")</f>
        <v/>
      </c>
      <c r="T209" s="7" t="str">
        <f t="shared" si="4"/>
        <v/>
      </c>
      <c r="U209" s="4" t="str">
        <f t="shared" si="12"/>
        <v/>
      </c>
      <c r="V209" s="4" t="str">
        <f t="array" ref="V209">XLOOKUP(R209,'Dados Funil'!$A:$A,'Dados Funil'!$K:$K,"")</f>
        <v/>
      </c>
      <c r="W209" s="4" t="str">
        <f t="array" ref="W209">XLOOKUP(R209,'Dados Funil'!$A:$A,'Dados Funil'!$L:$L,"")</f>
        <v/>
      </c>
      <c r="X209" s="4"/>
      <c r="Y209" s="4"/>
      <c r="Z209" s="7" t="str">
        <f t="shared" si="5"/>
        <v/>
      </c>
      <c r="AA209" s="4" t="str">
        <f t="shared" si="13"/>
        <v/>
      </c>
      <c r="AB209" s="4" t="str">
        <f t="array" ref="AB209">XLOOKUP(X209,'Dados Funil'!A:A,'Dados Funil'!O:O,"")</f>
        <v/>
      </c>
      <c r="AE209" s="7" t="str">
        <f t="shared" si="6"/>
        <v/>
      </c>
      <c r="AG209" s="4" t="str">
        <f t="array" ref="AG209">XLOOKUP(AC209,'Dados Funil'!A:A,'Dados Funil'!AM:AM,"")</f>
        <v/>
      </c>
      <c r="AH209" s="4" t="str">
        <f t="array" ref="AH209">XLOOKUP(AC209,'Dados Funil'!A:A,'Dados Funil'!AN:AN,"")</f>
        <v/>
      </c>
    </row>
    <row r="210">
      <c r="A210" s="4"/>
      <c r="B210" s="4"/>
      <c r="C210" s="7" t="str">
        <f t="shared" si="1"/>
        <v/>
      </c>
      <c r="D210" s="4" t="str">
        <f t="shared" si="9"/>
        <v/>
      </c>
      <c r="E210" s="4" t="str">
        <f t="array" ref="E210">XLOOKUP(A210,'Dados Funil'!$A:$A,'Dados Funil'!$K:$K,"")</f>
        <v/>
      </c>
      <c r="F210" s="4" t="str">
        <f t="array" ref="F210">XLOOKUP(A210,'Dados Funil'!$A:$A,'Dados Funil'!$L:$L,"")</f>
        <v/>
      </c>
      <c r="G210" s="4"/>
      <c r="H210" s="4"/>
      <c r="I210" s="7" t="str">
        <f t="shared" si="2"/>
        <v/>
      </c>
      <c r="J210" s="4" t="str">
        <f t="shared" si="10"/>
        <v/>
      </c>
      <c r="K210" s="4" t="str">
        <f t="array" ref="K210">XLOOKUP(G210,'Dados Funil'!A:A,'Dados Funil'!O:O,"")</f>
        <v/>
      </c>
      <c r="L210" s="4"/>
      <c r="M210" s="4"/>
      <c r="N210" s="7" t="str">
        <f t="shared" si="3"/>
        <v/>
      </c>
      <c r="O210" s="4" t="str">
        <f t="shared" si="11"/>
        <v/>
      </c>
      <c r="P210" s="4" t="str">
        <f t="array" ref="P210">XLOOKUP(L210,'Dados Funil'!A:A,'Dados Funil'!AM:AM,"")</f>
        <v/>
      </c>
      <c r="Q210" s="4" t="str">
        <f t="array" ref="Q210">XLOOKUP(L210,'Dados Funil'!A:A,'Dados Funil'!AN:AN,"")</f>
        <v/>
      </c>
      <c r="T210" s="7" t="str">
        <f t="shared" si="4"/>
        <v/>
      </c>
      <c r="U210" s="4" t="str">
        <f t="shared" si="12"/>
        <v/>
      </c>
      <c r="V210" s="4" t="str">
        <f t="array" ref="V210">XLOOKUP(R210,'Dados Funil'!$A:$A,'Dados Funil'!$K:$K,"")</f>
        <v/>
      </c>
      <c r="W210" s="4" t="str">
        <f t="array" ref="W210">XLOOKUP(R210,'Dados Funil'!$A:$A,'Dados Funil'!$L:$L,"")</f>
        <v/>
      </c>
      <c r="X210" s="4"/>
      <c r="Y210" s="4"/>
      <c r="Z210" s="7" t="str">
        <f t="shared" si="5"/>
        <v/>
      </c>
      <c r="AA210" s="4" t="str">
        <f t="shared" si="13"/>
        <v/>
      </c>
      <c r="AB210" s="4" t="str">
        <f t="array" ref="AB210">XLOOKUP(X210,'Dados Funil'!A:A,'Dados Funil'!O:O,"")</f>
        <v/>
      </c>
      <c r="AE210" s="7" t="str">
        <f t="shared" si="6"/>
        <v/>
      </c>
      <c r="AG210" s="4" t="str">
        <f t="array" ref="AG210">XLOOKUP(AC210,'Dados Funil'!A:A,'Dados Funil'!AM:AM,"")</f>
        <v/>
      </c>
      <c r="AH210" s="4" t="str">
        <f t="array" ref="AH210">XLOOKUP(AC210,'Dados Funil'!A:A,'Dados Funil'!AN:AN,"")</f>
        <v/>
      </c>
    </row>
    <row r="211">
      <c r="A211" s="4"/>
      <c r="B211" s="4"/>
      <c r="C211" s="7" t="str">
        <f t="shared" si="1"/>
        <v/>
      </c>
      <c r="D211" s="4" t="str">
        <f t="shared" si="9"/>
        <v/>
      </c>
      <c r="E211" s="4" t="str">
        <f t="array" ref="E211">XLOOKUP(A211,'Dados Funil'!$A:$A,'Dados Funil'!$K:$K,"")</f>
        <v/>
      </c>
      <c r="F211" s="4" t="str">
        <f t="array" ref="F211">XLOOKUP(A211,'Dados Funil'!$A:$A,'Dados Funil'!$L:$L,"")</f>
        <v/>
      </c>
      <c r="G211" s="4"/>
      <c r="H211" s="4"/>
      <c r="I211" s="7" t="str">
        <f t="shared" si="2"/>
        <v/>
      </c>
      <c r="J211" s="4" t="str">
        <f t="shared" si="10"/>
        <v/>
      </c>
      <c r="K211" s="4" t="str">
        <f t="array" ref="K211">XLOOKUP(G211,'Dados Funil'!A:A,'Dados Funil'!O:O,"")</f>
        <v/>
      </c>
      <c r="L211" s="4"/>
      <c r="M211" s="4"/>
      <c r="N211" s="7" t="str">
        <f t="shared" si="3"/>
        <v/>
      </c>
      <c r="O211" s="4" t="str">
        <f t="shared" si="11"/>
        <v/>
      </c>
      <c r="P211" s="4" t="str">
        <f t="array" ref="P211">XLOOKUP(L211,'Dados Funil'!A:A,'Dados Funil'!AM:AM,"")</f>
        <v/>
      </c>
      <c r="Q211" s="4" t="str">
        <f t="array" ref="Q211">XLOOKUP(L211,'Dados Funil'!A:A,'Dados Funil'!AN:AN,"")</f>
        <v/>
      </c>
      <c r="T211" s="7" t="str">
        <f t="shared" si="4"/>
        <v/>
      </c>
      <c r="U211" s="4" t="str">
        <f t="shared" si="12"/>
        <v/>
      </c>
      <c r="V211" s="4" t="str">
        <f t="array" ref="V211">XLOOKUP(R211,'Dados Funil'!$A:$A,'Dados Funil'!$K:$K,"")</f>
        <v/>
      </c>
      <c r="W211" s="4" t="str">
        <f t="array" ref="W211">XLOOKUP(R211,'Dados Funil'!$A:$A,'Dados Funil'!$L:$L,"")</f>
        <v/>
      </c>
      <c r="X211" s="4"/>
      <c r="Y211" s="4"/>
      <c r="Z211" s="7" t="str">
        <f t="shared" si="5"/>
        <v/>
      </c>
      <c r="AA211" s="4" t="str">
        <f t="shared" si="13"/>
        <v/>
      </c>
      <c r="AB211" s="4" t="str">
        <f t="array" ref="AB211">XLOOKUP(X211,'Dados Funil'!A:A,'Dados Funil'!O:O,"")</f>
        <v/>
      </c>
      <c r="AE211" s="7" t="str">
        <f t="shared" si="6"/>
        <v/>
      </c>
      <c r="AG211" s="4" t="str">
        <f t="array" ref="AG211">XLOOKUP(AC211,'Dados Funil'!A:A,'Dados Funil'!AM:AM,"")</f>
        <v/>
      </c>
      <c r="AH211" s="4" t="str">
        <f t="array" ref="AH211">XLOOKUP(AC211,'Dados Funil'!A:A,'Dados Funil'!AN:AN,"")</f>
        <v/>
      </c>
    </row>
    <row r="212">
      <c r="A212" s="4"/>
      <c r="B212" s="4"/>
      <c r="C212" s="7" t="str">
        <f t="shared" si="1"/>
        <v/>
      </c>
      <c r="D212" s="4" t="str">
        <f t="shared" si="9"/>
        <v/>
      </c>
      <c r="E212" s="4" t="str">
        <f t="array" ref="E212">XLOOKUP(A212,'Dados Funil'!$A:$A,'Dados Funil'!$K:$K,"")</f>
        <v/>
      </c>
      <c r="F212" s="4" t="str">
        <f t="array" ref="F212">XLOOKUP(A212,'Dados Funil'!$A:$A,'Dados Funil'!$L:$L,"")</f>
        <v/>
      </c>
      <c r="G212" s="4"/>
      <c r="H212" s="4"/>
      <c r="I212" s="7" t="str">
        <f t="shared" si="2"/>
        <v/>
      </c>
      <c r="J212" s="4" t="str">
        <f t="shared" si="10"/>
        <v/>
      </c>
      <c r="K212" s="4" t="str">
        <f t="array" ref="K212">XLOOKUP(G212,'Dados Funil'!A:A,'Dados Funil'!O:O,"")</f>
        <v/>
      </c>
      <c r="L212" s="4"/>
      <c r="M212" s="4"/>
      <c r="N212" s="7" t="str">
        <f t="shared" si="3"/>
        <v/>
      </c>
      <c r="O212" s="4" t="str">
        <f t="shared" si="11"/>
        <v/>
      </c>
      <c r="P212" s="4" t="str">
        <f t="array" ref="P212">XLOOKUP(L212,'Dados Funil'!A:A,'Dados Funil'!AM:AM,"")</f>
        <v/>
      </c>
      <c r="Q212" s="4" t="str">
        <f t="array" ref="Q212">XLOOKUP(L212,'Dados Funil'!A:A,'Dados Funil'!AN:AN,"")</f>
        <v/>
      </c>
      <c r="T212" s="7" t="str">
        <f t="shared" si="4"/>
        <v/>
      </c>
      <c r="U212" s="4" t="str">
        <f t="shared" si="12"/>
        <v/>
      </c>
      <c r="V212" s="4" t="str">
        <f t="array" ref="V212">XLOOKUP(R212,'Dados Funil'!$A:$A,'Dados Funil'!$K:$K,"")</f>
        <v/>
      </c>
      <c r="W212" s="4" t="str">
        <f t="array" ref="W212">XLOOKUP(R212,'Dados Funil'!$A:$A,'Dados Funil'!$L:$L,"")</f>
        <v/>
      </c>
      <c r="X212" s="4"/>
      <c r="Y212" s="4"/>
      <c r="Z212" s="7" t="str">
        <f t="shared" si="5"/>
        <v/>
      </c>
      <c r="AA212" s="4" t="str">
        <f t="shared" si="13"/>
        <v/>
      </c>
      <c r="AB212" s="4" t="str">
        <f t="array" ref="AB212">XLOOKUP(X212,'Dados Funil'!A:A,'Dados Funil'!O:O,"")</f>
        <v/>
      </c>
      <c r="AE212" s="7" t="str">
        <f t="shared" si="6"/>
        <v/>
      </c>
      <c r="AG212" s="4" t="str">
        <f t="array" ref="AG212">XLOOKUP(AC212,'Dados Funil'!A:A,'Dados Funil'!AM:AM,"")</f>
        <v/>
      </c>
      <c r="AH212" s="4" t="str">
        <f t="array" ref="AH212">XLOOKUP(AC212,'Dados Funil'!A:A,'Dados Funil'!AN:AN,"")</f>
        <v/>
      </c>
    </row>
    <row r="213">
      <c r="A213" s="4"/>
      <c r="B213" s="4"/>
      <c r="C213" s="7" t="str">
        <f t="shared" si="1"/>
        <v/>
      </c>
      <c r="D213" s="4" t="str">
        <f t="shared" si="9"/>
        <v/>
      </c>
      <c r="E213" s="4" t="str">
        <f t="array" ref="E213">XLOOKUP(A213,'Dados Funil'!$A:$A,'Dados Funil'!$K:$K,"")</f>
        <v/>
      </c>
      <c r="F213" s="4" t="str">
        <f t="array" ref="F213">XLOOKUP(A213,'Dados Funil'!$A:$A,'Dados Funil'!$L:$L,"")</f>
        <v/>
      </c>
      <c r="G213" s="4"/>
      <c r="H213" s="4"/>
      <c r="I213" s="7" t="str">
        <f t="shared" si="2"/>
        <v/>
      </c>
      <c r="J213" s="4" t="str">
        <f t="shared" si="10"/>
        <v/>
      </c>
      <c r="K213" s="4" t="str">
        <f t="array" ref="K213">XLOOKUP(G213,'Dados Funil'!A:A,'Dados Funil'!O:O,"")</f>
        <v/>
      </c>
      <c r="L213" s="4"/>
      <c r="M213" s="4"/>
      <c r="N213" s="7" t="str">
        <f t="shared" si="3"/>
        <v/>
      </c>
      <c r="O213" s="4" t="str">
        <f t="shared" si="11"/>
        <v/>
      </c>
      <c r="P213" s="4" t="str">
        <f t="array" ref="P213">XLOOKUP(L213,'Dados Funil'!A:A,'Dados Funil'!AM:AM,"")</f>
        <v/>
      </c>
      <c r="Q213" s="4" t="str">
        <f t="array" ref="Q213">XLOOKUP(L213,'Dados Funil'!A:A,'Dados Funil'!AN:AN,"")</f>
        <v/>
      </c>
      <c r="T213" s="7" t="str">
        <f t="shared" si="4"/>
        <v/>
      </c>
      <c r="U213" s="4" t="str">
        <f t="shared" si="12"/>
        <v/>
      </c>
      <c r="V213" s="4" t="str">
        <f t="array" ref="V213">XLOOKUP(R213,'Dados Funil'!$A:$A,'Dados Funil'!$K:$K,"")</f>
        <v/>
      </c>
      <c r="W213" s="4" t="str">
        <f t="array" ref="W213">XLOOKUP(R213,'Dados Funil'!$A:$A,'Dados Funil'!$L:$L,"")</f>
        <v/>
      </c>
      <c r="X213" s="4"/>
      <c r="Y213" s="4"/>
      <c r="Z213" s="7" t="str">
        <f t="shared" si="5"/>
        <v/>
      </c>
      <c r="AA213" s="4" t="str">
        <f t="shared" si="13"/>
        <v/>
      </c>
      <c r="AB213" s="4" t="str">
        <f t="array" ref="AB213">XLOOKUP(X213,'Dados Funil'!A:A,'Dados Funil'!O:O,"")</f>
        <v/>
      </c>
      <c r="AE213" s="7" t="str">
        <f t="shared" si="6"/>
        <v/>
      </c>
      <c r="AG213" s="4" t="str">
        <f t="array" ref="AG213">XLOOKUP(AC213,'Dados Funil'!A:A,'Dados Funil'!AM:AM,"")</f>
        <v/>
      </c>
      <c r="AH213" s="4" t="str">
        <f t="array" ref="AH213">XLOOKUP(AC213,'Dados Funil'!A:A,'Dados Funil'!AN:AN,"")</f>
        <v/>
      </c>
    </row>
    <row r="214">
      <c r="A214" s="4"/>
      <c r="B214" s="4"/>
      <c r="C214" s="7" t="str">
        <f t="shared" si="1"/>
        <v/>
      </c>
      <c r="D214" s="4" t="str">
        <f t="shared" si="9"/>
        <v/>
      </c>
      <c r="E214" s="4" t="str">
        <f t="array" ref="E214">XLOOKUP(A214,'Dados Funil'!$A:$A,'Dados Funil'!$K:$K,"")</f>
        <v/>
      </c>
      <c r="F214" s="4" t="str">
        <f t="array" ref="F214">XLOOKUP(A214,'Dados Funil'!$A:$A,'Dados Funil'!$L:$L,"")</f>
        <v/>
      </c>
      <c r="G214" s="4"/>
      <c r="H214" s="4"/>
      <c r="I214" s="7" t="str">
        <f t="shared" si="2"/>
        <v/>
      </c>
      <c r="J214" s="4" t="str">
        <f t="shared" si="10"/>
        <v/>
      </c>
      <c r="K214" s="4" t="str">
        <f t="array" ref="K214">XLOOKUP(G214,'Dados Funil'!A:A,'Dados Funil'!O:O,"")</f>
        <v/>
      </c>
      <c r="L214" s="4"/>
      <c r="M214" s="4"/>
      <c r="N214" s="7" t="str">
        <f t="shared" si="3"/>
        <v/>
      </c>
      <c r="O214" s="4" t="str">
        <f t="shared" si="11"/>
        <v/>
      </c>
      <c r="P214" s="4" t="str">
        <f t="array" ref="P214">XLOOKUP(L214,'Dados Funil'!A:A,'Dados Funil'!AM:AM,"")</f>
        <v/>
      </c>
      <c r="Q214" s="4" t="str">
        <f t="array" ref="Q214">XLOOKUP(L214,'Dados Funil'!A:A,'Dados Funil'!AN:AN,"")</f>
        <v/>
      </c>
      <c r="T214" s="7" t="str">
        <f t="shared" si="4"/>
        <v/>
      </c>
      <c r="U214" s="4" t="str">
        <f t="shared" si="12"/>
        <v/>
      </c>
      <c r="V214" s="4" t="str">
        <f t="array" ref="V214">XLOOKUP(R214,'Dados Funil'!$A:$A,'Dados Funil'!$K:$K,"")</f>
        <v/>
      </c>
      <c r="W214" s="4" t="str">
        <f t="array" ref="W214">XLOOKUP(R214,'Dados Funil'!$A:$A,'Dados Funil'!$L:$L,"")</f>
        <v/>
      </c>
      <c r="X214" s="4"/>
      <c r="Y214" s="4"/>
      <c r="Z214" s="7" t="str">
        <f t="shared" si="5"/>
        <v/>
      </c>
      <c r="AA214" s="4" t="str">
        <f t="shared" si="13"/>
        <v/>
      </c>
      <c r="AB214" s="4" t="str">
        <f t="array" ref="AB214">XLOOKUP(X214,'Dados Funil'!A:A,'Dados Funil'!O:O,"")</f>
        <v/>
      </c>
      <c r="AE214" s="7" t="str">
        <f t="shared" si="6"/>
        <v/>
      </c>
      <c r="AG214" s="4" t="str">
        <f t="array" ref="AG214">XLOOKUP(AC214,'Dados Funil'!A:A,'Dados Funil'!AM:AM,"")</f>
        <v/>
      </c>
      <c r="AH214" s="4" t="str">
        <f t="array" ref="AH214">XLOOKUP(AC214,'Dados Funil'!A:A,'Dados Funil'!AN:AN,"")</f>
        <v/>
      </c>
    </row>
    <row r="215">
      <c r="A215" s="4"/>
      <c r="B215" s="4"/>
      <c r="C215" s="7" t="str">
        <f t="shared" si="1"/>
        <v/>
      </c>
      <c r="D215" s="4" t="str">
        <f t="shared" si="9"/>
        <v/>
      </c>
      <c r="E215" s="4" t="str">
        <f t="array" ref="E215">XLOOKUP(A215,'Dados Funil'!$A:$A,'Dados Funil'!$K:$K,"")</f>
        <v/>
      </c>
      <c r="F215" s="4" t="str">
        <f t="array" ref="F215">XLOOKUP(A215,'Dados Funil'!$A:$A,'Dados Funil'!$L:$L,"")</f>
        <v/>
      </c>
      <c r="G215" s="4"/>
      <c r="H215" s="4"/>
      <c r="I215" s="7" t="str">
        <f t="shared" si="2"/>
        <v/>
      </c>
      <c r="J215" s="4" t="str">
        <f t="shared" si="10"/>
        <v/>
      </c>
      <c r="K215" s="4" t="str">
        <f t="array" ref="K215">XLOOKUP(G215,'Dados Funil'!A:A,'Dados Funil'!O:O,"")</f>
        <v/>
      </c>
      <c r="L215" s="4"/>
      <c r="M215" s="4"/>
      <c r="N215" s="7" t="str">
        <f t="shared" si="3"/>
        <v/>
      </c>
      <c r="O215" s="4" t="str">
        <f t="shared" si="11"/>
        <v/>
      </c>
      <c r="P215" s="4" t="str">
        <f t="array" ref="P215">XLOOKUP(L215,'Dados Funil'!A:A,'Dados Funil'!AM:AM,"")</f>
        <v/>
      </c>
      <c r="Q215" s="4" t="str">
        <f t="array" ref="Q215">XLOOKUP(L215,'Dados Funil'!A:A,'Dados Funil'!AN:AN,"")</f>
        <v/>
      </c>
      <c r="T215" s="7" t="str">
        <f t="shared" si="4"/>
        <v/>
      </c>
      <c r="U215" s="4" t="str">
        <f t="shared" si="12"/>
        <v/>
      </c>
      <c r="V215" s="4" t="str">
        <f t="array" ref="V215">XLOOKUP(R215,'Dados Funil'!$A:$A,'Dados Funil'!$K:$K,"")</f>
        <v/>
      </c>
      <c r="W215" s="4" t="str">
        <f t="array" ref="W215">XLOOKUP(R215,'Dados Funil'!$A:$A,'Dados Funil'!$L:$L,"")</f>
        <v/>
      </c>
      <c r="X215" s="4"/>
      <c r="Y215" s="4"/>
      <c r="Z215" s="7" t="str">
        <f t="shared" si="5"/>
        <v/>
      </c>
      <c r="AA215" s="4" t="str">
        <f t="shared" si="13"/>
        <v/>
      </c>
      <c r="AB215" s="4" t="str">
        <f t="array" ref="AB215">XLOOKUP(X215,'Dados Funil'!A:A,'Dados Funil'!O:O,"")</f>
        <v/>
      </c>
      <c r="AE215" s="7" t="str">
        <f t="shared" si="6"/>
        <v/>
      </c>
      <c r="AG215" s="4" t="str">
        <f t="array" ref="AG215">XLOOKUP(AC215,'Dados Funil'!A:A,'Dados Funil'!AM:AM,"")</f>
        <v/>
      </c>
      <c r="AH215" s="4" t="str">
        <f t="array" ref="AH215">XLOOKUP(AC215,'Dados Funil'!A:A,'Dados Funil'!AN:AN,"")</f>
        <v/>
      </c>
    </row>
    <row r="216">
      <c r="A216" s="4"/>
      <c r="B216" s="4"/>
      <c r="C216" s="7" t="str">
        <f t="shared" si="1"/>
        <v/>
      </c>
      <c r="D216" s="4" t="str">
        <f t="shared" si="9"/>
        <v/>
      </c>
      <c r="E216" s="4" t="str">
        <f t="array" ref="E216">XLOOKUP(A216,'Dados Funil'!$A:$A,'Dados Funil'!$K:$K,"")</f>
        <v/>
      </c>
      <c r="F216" s="4" t="str">
        <f t="array" ref="F216">XLOOKUP(A216,'Dados Funil'!$A:$A,'Dados Funil'!$L:$L,"")</f>
        <v/>
      </c>
      <c r="G216" s="4"/>
      <c r="H216" s="4"/>
      <c r="I216" s="7" t="str">
        <f t="shared" si="2"/>
        <v/>
      </c>
      <c r="J216" s="4" t="str">
        <f t="shared" si="10"/>
        <v/>
      </c>
      <c r="K216" s="4" t="str">
        <f t="array" ref="K216">XLOOKUP(G216,'Dados Funil'!A:A,'Dados Funil'!O:O,"")</f>
        <v/>
      </c>
      <c r="L216" s="4"/>
      <c r="M216" s="4"/>
      <c r="N216" s="7" t="str">
        <f t="shared" si="3"/>
        <v/>
      </c>
      <c r="O216" s="4" t="str">
        <f t="shared" si="11"/>
        <v/>
      </c>
      <c r="P216" s="4" t="str">
        <f t="array" ref="P216">XLOOKUP(L216,'Dados Funil'!A:A,'Dados Funil'!AM:AM,"")</f>
        <v/>
      </c>
      <c r="Q216" s="4" t="str">
        <f t="array" ref="Q216">XLOOKUP(L216,'Dados Funil'!A:A,'Dados Funil'!AN:AN,"")</f>
        <v/>
      </c>
      <c r="T216" s="7" t="str">
        <f t="shared" si="4"/>
        <v/>
      </c>
      <c r="U216" s="4" t="str">
        <f t="shared" si="12"/>
        <v/>
      </c>
      <c r="V216" s="4" t="str">
        <f t="array" ref="V216">XLOOKUP(R216,'Dados Funil'!$A:$A,'Dados Funil'!$K:$K,"")</f>
        <v/>
      </c>
      <c r="W216" s="4" t="str">
        <f t="array" ref="W216">XLOOKUP(R216,'Dados Funil'!$A:$A,'Dados Funil'!$L:$L,"")</f>
        <v/>
      </c>
      <c r="X216" s="4"/>
      <c r="Y216" s="4"/>
      <c r="Z216" s="7" t="str">
        <f t="shared" si="5"/>
        <v/>
      </c>
      <c r="AA216" s="4" t="str">
        <f t="shared" si="13"/>
        <v/>
      </c>
      <c r="AB216" s="4" t="str">
        <f t="array" ref="AB216">XLOOKUP(X216,'Dados Funil'!A:A,'Dados Funil'!O:O,"")</f>
        <v/>
      </c>
      <c r="AE216" s="7" t="str">
        <f t="shared" si="6"/>
        <v/>
      </c>
      <c r="AG216" s="4" t="str">
        <f t="array" ref="AG216">XLOOKUP(AC216,'Dados Funil'!A:A,'Dados Funil'!AM:AM,"")</f>
        <v/>
      </c>
      <c r="AH216" s="4" t="str">
        <f t="array" ref="AH216">XLOOKUP(AC216,'Dados Funil'!A:A,'Dados Funil'!AN:AN,"")</f>
        <v/>
      </c>
    </row>
    <row r="217">
      <c r="A217" s="4"/>
      <c r="B217" s="4"/>
      <c r="C217" s="7" t="str">
        <f t="shared" si="1"/>
        <v/>
      </c>
      <c r="D217" s="4" t="str">
        <f t="shared" si="9"/>
        <v/>
      </c>
      <c r="E217" s="4" t="str">
        <f t="array" ref="E217">XLOOKUP(A217,'Dados Funil'!$A:$A,'Dados Funil'!$K:$K,"")</f>
        <v/>
      </c>
      <c r="F217" s="4" t="str">
        <f t="array" ref="F217">XLOOKUP(A217,'Dados Funil'!$A:$A,'Dados Funil'!$L:$L,"")</f>
        <v/>
      </c>
      <c r="G217" s="4"/>
      <c r="H217" s="4"/>
      <c r="I217" s="7" t="str">
        <f t="shared" si="2"/>
        <v/>
      </c>
      <c r="J217" s="4" t="str">
        <f t="shared" si="10"/>
        <v/>
      </c>
      <c r="K217" s="4" t="str">
        <f t="array" ref="K217">XLOOKUP(G217,'Dados Funil'!A:A,'Dados Funil'!O:O,"")</f>
        <v/>
      </c>
      <c r="L217" s="4"/>
      <c r="M217" s="4"/>
      <c r="N217" s="7" t="str">
        <f t="shared" si="3"/>
        <v/>
      </c>
      <c r="O217" s="4" t="str">
        <f t="shared" si="11"/>
        <v/>
      </c>
      <c r="P217" s="4" t="str">
        <f t="array" ref="P217">XLOOKUP(L217,'Dados Funil'!A:A,'Dados Funil'!AM:AM,"")</f>
        <v/>
      </c>
      <c r="Q217" s="4" t="str">
        <f t="array" ref="Q217">XLOOKUP(L217,'Dados Funil'!A:A,'Dados Funil'!AN:AN,"")</f>
        <v/>
      </c>
      <c r="T217" s="7" t="str">
        <f t="shared" si="4"/>
        <v/>
      </c>
      <c r="U217" s="4" t="str">
        <f t="shared" si="12"/>
        <v/>
      </c>
      <c r="V217" s="4" t="str">
        <f t="array" ref="V217">XLOOKUP(R217,'Dados Funil'!$A:$A,'Dados Funil'!$K:$K,"")</f>
        <v/>
      </c>
      <c r="W217" s="4" t="str">
        <f t="array" ref="W217">XLOOKUP(R217,'Dados Funil'!$A:$A,'Dados Funil'!$L:$L,"")</f>
        <v/>
      </c>
      <c r="X217" s="4"/>
      <c r="Y217" s="4"/>
      <c r="Z217" s="7" t="str">
        <f t="shared" si="5"/>
        <v/>
      </c>
      <c r="AA217" s="4" t="str">
        <f t="shared" si="13"/>
        <v/>
      </c>
      <c r="AB217" s="4" t="str">
        <f t="array" ref="AB217">XLOOKUP(X217,'Dados Funil'!A:A,'Dados Funil'!O:O,"")</f>
        <v/>
      </c>
      <c r="AE217" s="7" t="str">
        <f t="shared" si="6"/>
        <v/>
      </c>
      <c r="AG217" s="4" t="str">
        <f t="array" ref="AG217">XLOOKUP(AC217,'Dados Funil'!A:A,'Dados Funil'!AM:AM,"")</f>
        <v/>
      </c>
      <c r="AH217" s="4" t="str">
        <f t="array" ref="AH217">XLOOKUP(AC217,'Dados Funil'!A:A,'Dados Funil'!AN:AN,"")</f>
        <v/>
      </c>
    </row>
    <row r="218">
      <c r="A218" s="4"/>
      <c r="B218" s="4"/>
      <c r="C218" s="7" t="str">
        <f t="shared" si="1"/>
        <v/>
      </c>
      <c r="D218" s="4" t="str">
        <f t="shared" si="9"/>
        <v/>
      </c>
      <c r="E218" s="4" t="str">
        <f t="array" ref="E218">XLOOKUP(A218,'Dados Funil'!$A:$A,'Dados Funil'!$K:$K,"")</f>
        <v/>
      </c>
      <c r="F218" s="4" t="str">
        <f t="array" ref="F218">XLOOKUP(A218,'Dados Funil'!$A:$A,'Dados Funil'!$L:$L,"")</f>
        <v/>
      </c>
      <c r="G218" s="4"/>
      <c r="H218" s="4"/>
      <c r="I218" s="7" t="str">
        <f t="shared" si="2"/>
        <v/>
      </c>
      <c r="J218" s="4" t="str">
        <f t="shared" si="10"/>
        <v/>
      </c>
      <c r="K218" s="4" t="str">
        <f t="array" ref="K218">XLOOKUP(G218,'Dados Funil'!A:A,'Dados Funil'!O:O,"")</f>
        <v/>
      </c>
      <c r="L218" s="4"/>
      <c r="M218" s="4"/>
      <c r="N218" s="7" t="str">
        <f t="shared" si="3"/>
        <v/>
      </c>
      <c r="O218" s="4" t="str">
        <f t="shared" si="11"/>
        <v/>
      </c>
      <c r="P218" s="4" t="str">
        <f t="array" ref="P218">XLOOKUP(L218,'Dados Funil'!A:A,'Dados Funil'!AM:AM,"")</f>
        <v/>
      </c>
      <c r="Q218" s="4" t="str">
        <f t="array" ref="Q218">XLOOKUP(L218,'Dados Funil'!A:A,'Dados Funil'!AN:AN,"")</f>
        <v/>
      </c>
      <c r="T218" s="7" t="str">
        <f t="shared" si="4"/>
        <v/>
      </c>
      <c r="U218" s="4" t="str">
        <f t="shared" si="12"/>
        <v/>
      </c>
      <c r="V218" s="4" t="str">
        <f t="array" ref="V218">XLOOKUP(R218,'Dados Funil'!$A:$A,'Dados Funil'!$K:$K,"")</f>
        <v/>
      </c>
      <c r="W218" s="4" t="str">
        <f t="array" ref="W218">XLOOKUP(R218,'Dados Funil'!$A:$A,'Dados Funil'!$L:$L,"")</f>
        <v/>
      </c>
      <c r="X218" s="4"/>
      <c r="Y218" s="4"/>
      <c r="Z218" s="7" t="str">
        <f t="shared" si="5"/>
        <v/>
      </c>
      <c r="AA218" s="4" t="str">
        <f t="shared" si="13"/>
        <v/>
      </c>
      <c r="AB218" s="4" t="str">
        <f t="array" ref="AB218">XLOOKUP(X218,'Dados Funil'!A:A,'Dados Funil'!O:O,"")</f>
        <v/>
      </c>
      <c r="AE218" s="7" t="str">
        <f t="shared" si="6"/>
        <v/>
      </c>
      <c r="AG218" s="4" t="str">
        <f t="array" ref="AG218">XLOOKUP(AC218,'Dados Funil'!A:A,'Dados Funil'!AM:AM,"")</f>
        <v/>
      </c>
      <c r="AH218" s="4" t="str">
        <f t="array" ref="AH218">XLOOKUP(AC218,'Dados Funil'!A:A,'Dados Funil'!AN:AN,"")</f>
        <v/>
      </c>
    </row>
    <row r="219">
      <c r="A219" s="4"/>
      <c r="B219" s="4"/>
      <c r="C219" s="7" t="str">
        <f t="shared" si="1"/>
        <v/>
      </c>
      <c r="D219" s="4" t="str">
        <f t="shared" si="9"/>
        <v/>
      </c>
      <c r="E219" s="4" t="str">
        <f t="array" ref="E219">XLOOKUP(A219,'Dados Funil'!$A:$A,'Dados Funil'!$K:$K,"")</f>
        <v/>
      </c>
      <c r="F219" s="4" t="str">
        <f t="array" ref="F219">XLOOKUP(A219,'Dados Funil'!$A:$A,'Dados Funil'!$L:$L,"")</f>
        <v/>
      </c>
      <c r="G219" s="4"/>
      <c r="H219" s="4"/>
      <c r="I219" s="7" t="str">
        <f t="shared" si="2"/>
        <v/>
      </c>
      <c r="J219" s="4" t="str">
        <f t="shared" si="10"/>
        <v/>
      </c>
      <c r="K219" s="4" t="str">
        <f t="array" ref="K219">XLOOKUP(G219,'Dados Funil'!A:A,'Dados Funil'!O:O,"")</f>
        <v/>
      </c>
      <c r="L219" s="4"/>
      <c r="M219" s="4"/>
      <c r="N219" s="7" t="str">
        <f t="shared" si="3"/>
        <v/>
      </c>
      <c r="O219" s="4" t="str">
        <f t="shared" si="11"/>
        <v/>
      </c>
      <c r="P219" s="4" t="str">
        <f t="array" ref="P219">XLOOKUP(L219,'Dados Funil'!A:A,'Dados Funil'!AM:AM,"")</f>
        <v/>
      </c>
      <c r="Q219" s="4" t="str">
        <f t="array" ref="Q219">XLOOKUP(L219,'Dados Funil'!A:A,'Dados Funil'!AN:AN,"")</f>
        <v/>
      </c>
      <c r="T219" s="7" t="str">
        <f t="shared" si="4"/>
        <v/>
      </c>
      <c r="U219" s="4" t="str">
        <f t="shared" si="12"/>
        <v/>
      </c>
      <c r="V219" s="4" t="str">
        <f t="array" ref="V219">XLOOKUP(R219,'Dados Funil'!$A:$A,'Dados Funil'!$K:$K,"")</f>
        <v/>
      </c>
      <c r="W219" s="4" t="str">
        <f t="array" ref="W219">XLOOKUP(R219,'Dados Funil'!$A:$A,'Dados Funil'!$L:$L,"")</f>
        <v/>
      </c>
      <c r="X219" s="4"/>
      <c r="Y219" s="4"/>
      <c r="Z219" s="7" t="str">
        <f t="shared" si="5"/>
        <v/>
      </c>
      <c r="AA219" s="4" t="str">
        <f t="shared" si="13"/>
        <v/>
      </c>
      <c r="AB219" s="4" t="str">
        <f t="array" ref="AB219">XLOOKUP(X219,'Dados Funil'!A:A,'Dados Funil'!O:O,"")</f>
        <v/>
      </c>
      <c r="AE219" s="7" t="str">
        <f t="shared" si="6"/>
        <v/>
      </c>
      <c r="AG219" s="4" t="str">
        <f t="array" ref="AG219">XLOOKUP(AC219,'Dados Funil'!A:A,'Dados Funil'!AM:AM,"")</f>
        <v/>
      </c>
      <c r="AH219" s="4" t="str">
        <f t="array" ref="AH219">XLOOKUP(AC219,'Dados Funil'!A:A,'Dados Funil'!AN:AN,"")</f>
        <v/>
      </c>
    </row>
    <row r="220">
      <c r="A220" s="4"/>
      <c r="B220" s="4"/>
      <c r="C220" s="7" t="str">
        <f t="shared" si="1"/>
        <v/>
      </c>
      <c r="D220" s="4" t="str">
        <f t="shared" si="9"/>
        <v/>
      </c>
      <c r="E220" s="4" t="str">
        <f t="array" ref="E220">XLOOKUP(A220,'Dados Funil'!$A:$A,'Dados Funil'!$K:$K,"")</f>
        <v/>
      </c>
      <c r="F220" s="4" t="str">
        <f t="array" ref="F220">XLOOKUP(A220,'Dados Funil'!$A:$A,'Dados Funil'!$L:$L,"")</f>
        <v/>
      </c>
      <c r="G220" s="4"/>
      <c r="H220" s="4"/>
      <c r="I220" s="7" t="str">
        <f t="shared" si="2"/>
        <v/>
      </c>
      <c r="J220" s="4" t="str">
        <f t="shared" si="10"/>
        <v/>
      </c>
      <c r="K220" s="4" t="str">
        <f t="array" ref="K220">XLOOKUP(G220,'Dados Funil'!A:A,'Dados Funil'!O:O,"")</f>
        <v/>
      </c>
      <c r="L220" s="4"/>
      <c r="M220" s="4"/>
      <c r="N220" s="7" t="str">
        <f t="shared" si="3"/>
        <v/>
      </c>
      <c r="O220" s="4" t="str">
        <f t="shared" si="11"/>
        <v/>
      </c>
      <c r="P220" s="4" t="str">
        <f t="array" ref="P220">XLOOKUP(L220,'Dados Funil'!A:A,'Dados Funil'!AM:AM,"")</f>
        <v/>
      </c>
      <c r="Q220" s="4" t="str">
        <f t="array" ref="Q220">XLOOKUP(L220,'Dados Funil'!A:A,'Dados Funil'!AN:AN,"")</f>
        <v/>
      </c>
      <c r="T220" s="7" t="str">
        <f t="shared" si="4"/>
        <v/>
      </c>
      <c r="U220" s="4" t="str">
        <f t="shared" si="12"/>
        <v/>
      </c>
      <c r="V220" s="4" t="str">
        <f t="array" ref="V220">XLOOKUP(R220,'Dados Funil'!$A:$A,'Dados Funil'!$K:$K,"")</f>
        <v/>
      </c>
      <c r="W220" s="4" t="str">
        <f t="array" ref="W220">XLOOKUP(R220,'Dados Funil'!$A:$A,'Dados Funil'!$L:$L,"")</f>
        <v/>
      </c>
      <c r="X220" s="4"/>
      <c r="Y220" s="4"/>
      <c r="Z220" s="7" t="str">
        <f t="shared" si="5"/>
        <v/>
      </c>
      <c r="AA220" s="4" t="str">
        <f t="shared" si="13"/>
        <v/>
      </c>
      <c r="AB220" s="4" t="str">
        <f t="array" ref="AB220">XLOOKUP(X220,'Dados Funil'!A:A,'Dados Funil'!O:O,"")</f>
        <v/>
      </c>
      <c r="AE220" s="7" t="str">
        <f t="shared" si="6"/>
        <v/>
      </c>
      <c r="AG220" s="4" t="str">
        <f t="array" ref="AG220">XLOOKUP(AC220,'Dados Funil'!A:A,'Dados Funil'!AM:AM,"")</f>
        <v/>
      </c>
      <c r="AH220" s="4" t="str">
        <f t="array" ref="AH220">XLOOKUP(AC220,'Dados Funil'!A:A,'Dados Funil'!AN:AN,"")</f>
        <v/>
      </c>
    </row>
    <row r="221">
      <c r="A221" s="4"/>
      <c r="B221" s="4"/>
      <c r="C221" s="7" t="str">
        <f t="shared" si="1"/>
        <v/>
      </c>
      <c r="D221" s="4" t="str">
        <f t="shared" si="9"/>
        <v/>
      </c>
      <c r="E221" s="4" t="str">
        <f t="array" ref="E221">XLOOKUP(A221,'Dados Funil'!$A:$A,'Dados Funil'!$K:$K,"")</f>
        <v/>
      </c>
      <c r="F221" s="4" t="str">
        <f t="array" ref="F221">XLOOKUP(A221,'Dados Funil'!$A:$A,'Dados Funil'!$L:$L,"")</f>
        <v/>
      </c>
      <c r="G221" s="4"/>
      <c r="H221" s="4"/>
      <c r="I221" s="7" t="str">
        <f t="shared" si="2"/>
        <v/>
      </c>
      <c r="J221" s="4" t="str">
        <f t="shared" si="10"/>
        <v/>
      </c>
      <c r="K221" s="4" t="str">
        <f t="array" ref="K221">XLOOKUP(G221,'Dados Funil'!A:A,'Dados Funil'!O:O,"")</f>
        <v/>
      </c>
      <c r="L221" s="4"/>
      <c r="M221" s="4"/>
      <c r="N221" s="7" t="str">
        <f t="shared" si="3"/>
        <v/>
      </c>
      <c r="O221" s="4" t="str">
        <f t="shared" si="11"/>
        <v/>
      </c>
      <c r="P221" s="4" t="str">
        <f t="array" ref="P221">XLOOKUP(L221,'Dados Funil'!A:A,'Dados Funil'!AM:AM,"")</f>
        <v/>
      </c>
      <c r="Q221" s="4" t="str">
        <f t="array" ref="Q221">XLOOKUP(L221,'Dados Funil'!A:A,'Dados Funil'!AN:AN,"")</f>
        <v/>
      </c>
      <c r="T221" s="7" t="str">
        <f t="shared" si="4"/>
        <v/>
      </c>
      <c r="U221" s="4" t="str">
        <f t="shared" si="12"/>
        <v/>
      </c>
      <c r="V221" s="4" t="str">
        <f t="array" ref="V221">XLOOKUP(R221,'Dados Funil'!$A:$A,'Dados Funil'!$K:$K,"")</f>
        <v/>
      </c>
      <c r="W221" s="4" t="str">
        <f t="array" ref="W221">XLOOKUP(R221,'Dados Funil'!$A:$A,'Dados Funil'!$L:$L,"")</f>
        <v/>
      </c>
      <c r="X221" s="4"/>
      <c r="Y221" s="4"/>
      <c r="Z221" s="7" t="str">
        <f t="shared" si="5"/>
        <v/>
      </c>
      <c r="AA221" s="4" t="str">
        <f t="shared" si="13"/>
        <v/>
      </c>
      <c r="AB221" s="4" t="str">
        <f t="array" ref="AB221">XLOOKUP(X221,'Dados Funil'!A:A,'Dados Funil'!O:O,"")</f>
        <v/>
      </c>
      <c r="AE221" s="7" t="str">
        <f t="shared" si="6"/>
        <v/>
      </c>
      <c r="AG221" s="4" t="str">
        <f t="array" ref="AG221">XLOOKUP(AC221,'Dados Funil'!A:A,'Dados Funil'!AM:AM,"")</f>
        <v/>
      </c>
      <c r="AH221" s="4" t="str">
        <f t="array" ref="AH221">XLOOKUP(AC221,'Dados Funil'!A:A,'Dados Funil'!AN:AN,"")</f>
        <v/>
      </c>
    </row>
    <row r="222">
      <c r="A222" s="4"/>
      <c r="B222" s="4"/>
      <c r="C222" s="7" t="str">
        <f t="shared" si="1"/>
        <v/>
      </c>
      <c r="D222" s="4" t="str">
        <f t="shared" si="9"/>
        <v/>
      </c>
      <c r="E222" s="4" t="str">
        <f t="array" ref="E222">XLOOKUP(A222,'Dados Funil'!$A:$A,'Dados Funil'!$K:$K,"")</f>
        <v/>
      </c>
      <c r="F222" s="4" t="str">
        <f t="array" ref="F222">XLOOKUP(A222,'Dados Funil'!$A:$A,'Dados Funil'!$L:$L,"")</f>
        <v/>
      </c>
      <c r="G222" s="4"/>
      <c r="H222" s="4"/>
      <c r="I222" s="7" t="str">
        <f t="shared" si="2"/>
        <v/>
      </c>
      <c r="J222" s="4" t="str">
        <f t="shared" si="10"/>
        <v/>
      </c>
      <c r="K222" s="4" t="str">
        <f t="array" ref="K222">XLOOKUP(G222,'Dados Funil'!A:A,'Dados Funil'!O:O,"")</f>
        <v/>
      </c>
      <c r="L222" s="4"/>
      <c r="M222" s="4"/>
      <c r="N222" s="7" t="str">
        <f t="shared" si="3"/>
        <v/>
      </c>
      <c r="O222" s="4" t="str">
        <f t="shared" si="11"/>
        <v/>
      </c>
      <c r="P222" s="4" t="str">
        <f t="array" ref="P222">XLOOKUP(L222,'Dados Funil'!A:A,'Dados Funil'!AM:AM,"")</f>
        <v/>
      </c>
      <c r="Q222" s="4" t="str">
        <f t="array" ref="Q222">XLOOKUP(L222,'Dados Funil'!A:A,'Dados Funil'!AN:AN,"")</f>
        <v/>
      </c>
      <c r="T222" s="7" t="str">
        <f t="shared" si="4"/>
        <v/>
      </c>
      <c r="U222" s="4" t="str">
        <f t="shared" si="12"/>
        <v/>
      </c>
      <c r="V222" s="4" t="str">
        <f t="array" ref="V222">XLOOKUP(R222,'Dados Funil'!$A:$A,'Dados Funil'!$K:$K,"")</f>
        <v/>
      </c>
      <c r="W222" s="4" t="str">
        <f t="array" ref="W222">XLOOKUP(R222,'Dados Funil'!$A:$A,'Dados Funil'!$L:$L,"")</f>
        <v/>
      </c>
      <c r="X222" s="4"/>
      <c r="Y222" s="4"/>
      <c r="Z222" s="7" t="str">
        <f t="shared" si="5"/>
        <v/>
      </c>
      <c r="AA222" s="4" t="str">
        <f t="shared" si="13"/>
        <v/>
      </c>
      <c r="AB222" s="4" t="str">
        <f t="array" ref="AB222">XLOOKUP(X222,'Dados Funil'!A:A,'Dados Funil'!O:O,"")</f>
        <v/>
      </c>
      <c r="AE222" s="7" t="str">
        <f t="shared" si="6"/>
        <v/>
      </c>
      <c r="AG222" s="4" t="str">
        <f t="array" ref="AG222">XLOOKUP(AC222,'Dados Funil'!A:A,'Dados Funil'!AM:AM,"")</f>
        <v/>
      </c>
      <c r="AH222" s="4" t="str">
        <f t="array" ref="AH222">XLOOKUP(AC222,'Dados Funil'!A:A,'Dados Funil'!AN:AN,"")</f>
        <v/>
      </c>
    </row>
    <row r="223">
      <c r="A223" s="4"/>
      <c r="B223" s="4"/>
      <c r="C223" s="7" t="str">
        <f t="shared" si="1"/>
        <v/>
      </c>
      <c r="D223" s="4" t="str">
        <f t="shared" si="9"/>
        <v/>
      </c>
      <c r="E223" s="4" t="str">
        <f t="array" ref="E223">XLOOKUP(A223,'Dados Funil'!$A:$A,'Dados Funil'!$K:$K,"")</f>
        <v/>
      </c>
      <c r="F223" s="4" t="str">
        <f t="array" ref="F223">XLOOKUP(A223,'Dados Funil'!$A:$A,'Dados Funil'!$L:$L,"")</f>
        <v/>
      </c>
      <c r="G223" s="4"/>
      <c r="H223" s="4"/>
      <c r="I223" s="7" t="str">
        <f t="shared" si="2"/>
        <v/>
      </c>
      <c r="J223" s="4" t="str">
        <f t="shared" si="10"/>
        <v/>
      </c>
      <c r="K223" s="4" t="str">
        <f t="array" ref="K223">XLOOKUP(G223,'Dados Funil'!A:A,'Dados Funil'!O:O,"")</f>
        <v/>
      </c>
      <c r="L223" s="4"/>
      <c r="M223" s="4"/>
      <c r="N223" s="7" t="str">
        <f t="shared" si="3"/>
        <v/>
      </c>
      <c r="O223" s="4" t="str">
        <f t="shared" si="11"/>
        <v/>
      </c>
      <c r="P223" s="4" t="str">
        <f t="array" ref="P223">XLOOKUP(L223,'Dados Funil'!A:A,'Dados Funil'!AM:AM,"")</f>
        <v/>
      </c>
      <c r="Q223" s="4" t="str">
        <f t="array" ref="Q223">XLOOKUP(L223,'Dados Funil'!A:A,'Dados Funil'!AN:AN,"")</f>
        <v/>
      </c>
      <c r="T223" s="7" t="str">
        <f t="shared" si="4"/>
        <v/>
      </c>
      <c r="U223" s="4" t="str">
        <f t="shared" si="12"/>
        <v/>
      </c>
      <c r="V223" s="4" t="str">
        <f t="array" ref="V223">XLOOKUP(R223,'Dados Funil'!$A:$A,'Dados Funil'!$K:$K,"")</f>
        <v/>
      </c>
      <c r="W223" s="4" t="str">
        <f t="array" ref="W223">XLOOKUP(R223,'Dados Funil'!$A:$A,'Dados Funil'!$L:$L,"")</f>
        <v/>
      </c>
      <c r="X223" s="4"/>
      <c r="Y223" s="4"/>
      <c r="Z223" s="7" t="str">
        <f t="shared" si="5"/>
        <v/>
      </c>
      <c r="AA223" s="4" t="str">
        <f t="shared" si="13"/>
        <v/>
      </c>
      <c r="AB223" s="4" t="str">
        <f t="array" ref="AB223">XLOOKUP(X223,'Dados Funil'!A:A,'Dados Funil'!O:O,"")</f>
        <v/>
      </c>
      <c r="AE223" s="7" t="str">
        <f t="shared" si="6"/>
        <v/>
      </c>
      <c r="AG223" s="4" t="str">
        <f t="array" ref="AG223">XLOOKUP(AC223,'Dados Funil'!A:A,'Dados Funil'!AM:AM,"")</f>
        <v/>
      </c>
      <c r="AH223" s="4" t="str">
        <f t="array" ref="AH223">XLOOKUP(AC223,'Dados Funil'!A:A,'Dados Funil'!AN:AN,"")</f>
        <v/>
      </c>
    </row>
    <row r="224">
      <c r="A224" s="4"/>
      <c r="B224" s="4"/>
      <c r="C224" s="7" t="str">
        <f t="shared" si="1"/>
        <v/>
      </c>
      <c r="D224" s="4" t="str">
        <f t="shared" si="9"/>
        <v/>
      </c>
      <c r="E224" s="4" t="str">
        <f t="array" ref="E224">XLOOKUP(A224,'Dados Funil'!$A:$A,'Dados Funil'!$K:$K,"")</f>
        <v/>
      </c>
      <c r="F224" s="4" t="str">
        <f t="array" ref="F224">XLOOKUP(A224,'Dados Funil'!$A:$A,'Dados Funil'!$L:$L,"")</f>
        <v/>
      </c>
      <c r="G224" s="4"/>
      <c r="H224" s="4"/>
      <c r="I224" s="7" t="str">
        <f t="shared" si="2"/>
        <v/>
      </c>
      <c r="J224" s="4" t="str">
        <f t="shared" si="10"/>
        <v/>
      </c>
      <c r="K224" s="4" t="str">
        <f t="array" ref="K224">XLOOKUP(G224,'Dados Funil'!A:A,'Dados Funil'!O:O,"")</f>
        <v/>
      </c>
      <c r="L224" s="4"/>
      <c r="M224" s="4"/>
      <c r="N224" s="7" t="str">
        <f t="shared" si="3"/>
        <v/>
      </c>
      <c r="O224" s="4" t="str">
        <f t="shared" si="11"/>
        <v/>
      </c>
      <c r="P224" s="4" t="str">
        <f t="array" ref="P224">XLOOKUP(L224,'Dados Funil'!A:A,'Dados Funil'!AM:AM,"")</f>
        <v/>
      </c>
      <c r="Q224" s="4" t="str">
        <f t="array" ref="Q224">XLOOKUP(L224,'Dados Funil'!A:A,'Dados Funil'!AN:AN,"")</f>
        <v/>
      </c>
      <c r="T224" s="7" t="str">
        <f t="shared" si="4"/>
        <v/>
      </c>
      <c r="U224" s="4" t="str">
        <f t="shared" si="12"/>
        <v/>
      </c>
      <c r="V224" s="4" t="str">
        <f t="array" ref="V224">XLOOKUP(R224,'Dados Funil'!$A:$A,'Dados Funil'!$K:$K,"")</f>
        <v/>
      </c>
      <c r="W224" s="4" t="str">
        <f t="array" ref="W224">XLOOKUP(R224,'Dados Funil'!$A:$A,'Dados Funil'!$L:$L,"")</f>
        <v/>
      </c>
      <c r="X224" s="4"/>
      <c r="Y224" s="4"/>
      <c r="Z224" s="7" t="str">
        <f t="shared" si="5"/>
        <v/>
      </c>
      <c r="AA224" s="4" t="str">
        <f t="shared" si="13"/>
        <v/>
      </c>
      <c r="AB224" s="4" t="str">
        <f t="array" ref="AB224">XLOOKUP(X224,'Dados Funil'!A:A,'Dados Funil'!O:O,"")</f>
        <v/>
      </c>
      <c r="AE224" s="7" t="str">
        <f t="shared" si="6"/>
        <v/>
      </c>
      <c r="AG224" s="4" t="str">
        <f t="array" ref="AG224">XLOOKUP(AC224,'Dados Funil'!A:A,'Dados Funil'!AM:AM,"")</f>
        <v/>
      </c>
      <c r="AH224" s="4" t="str">
        <f t="array" ref="AH224">XLOOKUP(AC224,'Dados Funil'!A:A,'Dados Funil'!AN:AN,"")</f>
        <v/>
      </c>
    </row>
    <row r="225">
      <c r="A225" s="4"/>
      <c r="B225" s="4"/>
      <c r="C225" s="7" t="str">
        <f t="shared" si="1"/>
        <v/>
      </c>
      <c r="D225" s="4" t="str">
        <f t="shared" si="9"/>
        <v/>
      </c>
      <c r="E225" s="4" t="str">
        <f t="array" ref="E225">XLOOKUP(A225,'Dados Funil'!$A:$A,'Dados Funil'!$K:$K,"")</f>
        <v/>
      </c>
      <c r="F225" s="4" t="str">
        <f t="array" ref="F225">XLOOKUP(A225,'Dados Funil'!$A:$A,'Dados Funil'!$L:$L,"")</f>
        <v/>
      </c>
      <c r="G225" s="4"/>
      <c r="H225" s="4"/>
      <c r="I225" s="7" t="str">
        <f t="shared" si="2"/>
        <v/>
      </c>
      <c r="J225" s="4" t="str">
        <f t="shared" si="10"/>
        <v/>
      </c>
      <c r="K225" s="4" t="str">
        <f t="array" ref="K225">XLOOKUP(G225,'Dados Funil'!A:A,'Dados Funil'!O:O,"")</f>
        <v/>
      </c>
      <c r="L225" s="4"/>
      <c r="M225" s="4"/>
      <c r="N225" s="7" t="str">
        <f t="shared" si="3"/>
        <v/>
      </c>
      <c r="O225" s="4" t="str">
        <f t="shared" si="11"/>
        <v/>
      </c>
      <c r="P225" s="4" t="str">
        <f t="array" ref="P225">XLOOKUP(L225,'Dados Funil'!A:A,'Dados Funil'!AM:AM,"")</f>
        <v/>
      </c>
      <c r="Q225" s="4" t="str">
        <f t="array" ref="Q225">XLOOKUP(L225,'Dados Funil'!A:A,'Dados Funil'!AN:AN,"")</f>
        <v/>
      </c>
      <c r="T225" s="7" t="str">
        <f t="shared" si="4"/>
        <v/>
      </c>
      <c r="U225" s="4" t="str">
        <f t="shared" si="12"/>
        <v/>
      </c>
      <c r="V225" s="4" t="str">
        <f t="array" ref="V225">XLOOKUP(R225,'Dados Funil'!$A:$A,'Dados Funil'!$K:$K,"")</f>
        <v/>
      </c>
      <c r="W225" s="4" t="str">
        <f t="array" ref="W225">XLOOKUP(R225,'Dados Funil'!$A:$A,'Dados Funil'!$L:$L,"")</f>
        <v/>
      </c>
      <c r="X225" s="4"/>
      <c r="Y225" s="4"/>
      <c r="Z225" s="7" t="str">
        <f t="shared" si="5"/>
        <v/>
      </c>
      <c r="AA225" s="4" t="str">
        <f t="shared" si="13"/>
        <v/>
      </c>
      <c r="AB225" s="4" t="str">
        <f t="array" ref="AB225">XLOOKUP(X225,'Dados Funil'!A:A,'Dados Funil'!O:O,"")</f>
        <v/>
      </c>
      <c r="AE225" s="7" t="str">
        <f t="shared" si="6"/>
        <v/>
      </c>
      <c r="AG225" s="4" t="str">
        <f t="array" ref="AG225">XLOOKUP(AC225,'Dados Funil'!A:A,'Dados Funil'!AM:AM,"")</f>
        <v/>
      </c>
      <c r="AH225" s="4" t="str">
        <f t="array" ref="AH225">XLOOKUP(AC225,'Dados Funil'!A:A,'Dados Funil'!AN:AN,"")</f>
        <v/>
      </c>
    </row>
    <row r="226">
      <c r="A226" s="4"/>
      <c r="B226" s="4"/>
      <c r="C226" s="7" t="str">
        <f t="shared" si="1"/>
        <v/>
      </c>
      <c r="D226" s="4" t="str">
        <f t="shared" si="9"/>
        <v/>
      </c>
      <c r="E226" s="4" t="str">
        <f t="array" ref="E226">XLOOKUP(A226,'Dados Funil'!$A:$A,'Dados Funil'!$K:$K,"")</f>
        <v/>
      </c>
      <c r="F226" s="4" t="str">
        <f t="array" ref="F226">XLOOKUP(A226,'Dados Funil'!$A:$A,'Dados Funil'!$L:$L,"")</f>
        <v/>
      </c>
      <c r="G226" s="4"/>
      <c r="H226" s="4"/>
      <c r="I226" s="7" t="str">
        <f t="shared" si="2"/>
        <v/>
      </c>
      <c r="J226" s="4" t="str">
        <f t="shared" si="10"/>
        <v/>
      </c>
      <c r="K226" s="4" t="str">
        <f t="array" ref="K226">XLOOKUP(G226,'Dados Funil'!A:A,'Dados Funil'!O:O,"")</f>
        <v/>
      </c>
      <c r="L226" s="4"/>
      <c r="M226" s="4"/>
      <c r="N226" s="7" t="str">
        <f t="shared" si="3"/>
        <v/>
      </c>
      <c r="O226" s="4" t="str">
        <f t="shared" si="11"/>
        <v/>
      </c>
      <c r="P226" s="4" t="str">
        <f t="array" ref="P226">XLOOKUP(L226,'Dados Funil'!A:A,'Dados Funil'!AM:AM,"")</f>
        <v/>
      </c>
      <c r="Q226" s="4" t="str">
        <f t="array" ref="Q226">XLOOKUP(L226,'Dados Funil'!A:A,'Dados Funil'!AN:AN,"")</f>
        <v/>
      </c>
      <c r="T226" s="7" t="str">
        <f t="shared" si="4"/>
        <v/>
      </c>
      <c r="U226" s="4" t="str">
        <f t="shared" si="12"/>
        <v/>
      </c>
      <c r="V226" s="4" t="str">
        <f t="array" ref="V226">XLOOKUP(R226,'Dados Funil'!$A:$A,'Dados Funil'!$K:$K,"")</f>
        <v/>
      </c>
      <c r="W226" s="4" t="str">
        <f t="array" ref="W226">XLOOKUP(R226,'Dados Funil'!$A:$A,'Dados Funil'!$L:$L,"")</f>
        <v/>
      </c>
      <c r="X226" s="4"/>
      <c r="Y226" s="4"/>
      <c r="Z226" s="7" t="str">
        <f t="shared" si="5"/>
        <v/>
      </c>
      <c r="AA226" s="4" t="str">
        <f t="shared" si="13"/>
        <v/>
      </c>
      <c r="AB226" s="4" t="str">
        <f t="array" ref="AB226">XLOOKUP(X226,'Dados Funil'!A:A,'Dados Funil'!O:O,"")</f>
        <v/>
      </c>
      <c r="AE226" s="7" t="str">
        <f t="shared" si="6"/>
        <v/>
      </c>
      <c r="AG226" s="4" t="str">
        <f t="array" ref="AG226">XLOOKUP(AC226,'Dados Funil'!A:A,'Dados Funil'!AM:AM,"")</f>
        <v/>
      </c>
      <c r="AH226" s="4" t="str">
        <f t="array" ref="AH226">XLOOKUP(AC226,'Dados Funil'!A:A,'Dados Funil'!AN:AN,"")</f>
        <v/>
      </c>
    </row>
    <row r="227">
      <c r="A227" s="4"/>
      <c r="B227" s="4"/>
      <c r="C227" s="7" t="str">
        <f t="shared" si="1"/>
        <v/>
      </c>
      <c r="D227" s="4" t="str">
        <f t="shared" si="9"/>
        <v/>
      </c>
      <c r="E227" s="4" t="str">
        <f t="array" ref="E227">XLOOKUP(A227,'Dados Funil'!$A:$A,'Dados Funil'!$K:$K,"")</f>
        <v/>
      </c>
      <c r="F227" s="4" t="str">
        <f t="array" ref="F227">XLOOKUP(A227,'Dados Funil'!$A:$A,'Dados Funil'!$L:$L,"")</f>
        <v/>
      </c>
      <c r="G227" s="4"/>
      <c r="H227" s="4"/>
      <c r="I227" s="7" t="str">
        <f t="shared" si="2"/>
        <v/>
      </c>
      <c r="J227" s="4" t="str">
        <f t="shared" si="10"/>
        <v/>
      </c>
      <c r="K227" s="4" t="str">
        <f t="array" ref="K227">XLOOKUP(G227,'Dados Funil'!A:A,'Dados Funil'!O:O,"")</f>
        <v/>
      </c>
      <c r="L227" s="4"/>
      <c r="M227" s="4"/>
      <c r="N227" s="7" t="str">
        <f t="shared" si="3"/>
        <v/>
      </c>
      <c r="O227" s="4" t="str">
        <f t="shared" si="11"/>
        <v/>
      </c>
      <c r="P227" s="4" t="str">
        <f t="array" ref="P227">XLOOKUP(L227,'Dados Funil'!A:A,'Dados Funil'!AM:AM,"")</f>
        <v/>
      </c>
      <c r="Q227" s="4" t="str">
        <f t="array" ref="Q227">XLOOKUP(L227,'Dados Funil'!A:A,'Dados Funil'!AN:AN,"")</f>
        <v/>
      </c>
      <c r="T227" s="7" t="str">
        <f t="shared" si="4"/>
        <v/>
      </c>
      <c r="U227" s="4" t="str">
        <f t="shared" si="12"/>
        <v/>
      </c>
      <c r="V227" s="4" t="str">
        <f t="array" ref="V227">XLOOKUP(R227,'Dados Funil'!$A:$A,'Dados Funil'!$K:$K,"")</f>
        <v/>
      </c>
      <c r="W227" s="4" t="str">
        <f t="array" ref="W227">XLOOKUP(R227,'Dados Funil'!$A:$A,'Dados Funil'!$L:$L,"")</f>
        <v/>
      </c>
      <c r="X227" s="4"/>
      <c r="Y227" s="4"/>
      <c r="Z227" s="7" t="str">
        <f t="shared" si="5"/>
        <v/>
      </c>
      <c r="AA227" s="4" t="str">
        <f t="shared" si="13"/>
        <v/>
      </c>
      <c r="AB227" s="4" t="str">
        <f t="array" ref="AB227">XLOOKUP(X227,'Dados Funil'!A:A,'Dados Funil'!O:O,"")</f>
        <v/>
      </c>
      <c r="AE227" s="7" t="str">
        <f t="shared" si="6"/>
        <v/>
      </c>
      <c r="AG227" s="4" t="str">
        <f t="array" ref="AG227">XLOOKUP(AC227,'Dados Funil'!A:A,'Dados Funil'!AM:AM,"")</f>
        <v/>
      </c>
      <c r="AH227" s="4" t="str">
        <f t="array" ref="AH227">XLOOKUP(AC227,'Dados Funil'!A:A,'Dados Funil'!AN:AN,"")</f>
        <v/>
      </c>
    </row>
    <row r="228">
      <c r="A228" s="4"/>
      <c r="B228" s="4"/>
      <c r="C228" s="7" t="str">
        <f t="shared" si="1"/>
        <v/>
      </c>
      <c r="D228" s="4" t="str">
        <f t="shared" si="9"/>
        <v/>
      </c>
      <c r="E228" s="4" t="str">
        <f t="array" ref="E228">XLOOKUP(A228,'Dados Funil'!$A:$A,'Dados Funil'!$K:$K,"")</f>
        <v/>
      </c>
      <c r="F228" s="4" t="str">
        <f t="array" ref="F228">XLOOKUP(A228,'Dados Funil'!$A:$A,'Dados Funil'!$L:$L,"")</f>
        <v/>
      </c>
      <c r="G228" s="4"/>
      <c r="H228" s="4"/>
      <c r="I228" s="7" t="str">
        <f t="shared" si="2"/>
        <v/>
      </c>
      <c r="J228" s="4" t="str">
        <f t="shared" si="10"/>
        <v/>
      </c>
      <c r="K228" s="4" t="str">
        <f t="array" ref="K228">XLOOKUP(G228,'Dados Funil'!A:A,'Dados Funil'!O:O,"")</f>
        <v/>
      </c>
      <c r="L228" s="4"/>
      <c r="M228" s="4"/>
      <c r="N228" s="7" t="str">
        <f t="shared" si="3"/>
        <v/>
      </c>
      <c r="O228" s="4" t="str">
        <f t="shared" si="11"/>
        <v/>
      </c>
      <c r="P228" s="4" t="str">
        <f t="array" ref="P228">XLOOKUP(L228,'Dados Funil'!A:A,'Dados Funil'!AM:AM,"")</f>
        <v/>
      </c>
      <c r="Q228" s="4" t="str">
        <f t="array" ref="Q228">XLOOKUP(L228,'Dados Funil'!A:A,'Dados Funil'!AN:AN,"")</f>
        <v/>
      </c>
      <c r="T228" s="7" t="str">
        <f t="shared" si="4"/>
        <v/>
      </c>
      <c r="U228" s="4" t="str">
        <f t="shared" si="12"/>
        <v/>
      </c>
      <c r="V228" s="4" t="str">
        <f t="array" ref="V228">XLOOKUP(R228,'Dados Funil'!$A:$A,'Dados Funil'!$K:$K,"")</f>
        <v/>
      </c>
      <c r="W228" s="4" t="str">
        <f t="array" ref="W228">XLOOKUP(R228,'Dados Funil'!$A:$A,'Dados Funil'!$L:$L,"")</f>
        <v/>
      </c>
      <c r="X228" s="4"/>
      <c r="Y228" s="4"/>
      <c r="Z228" s="7" t="str">
        <f t="shared" si="5"/>
        <v/>
      </c>
      <c r="AA228" s="4" t="str">
        <f t="shared" si="13"/>
        <v/>
      </c>
      <c r="AB228" s="4" t="str">
        <f t="array" ref="AB228">XLOOKUP(X228,'Dados Funil'!A:A,'Dados Funil'!O:O,"")</f>
        <v/>
      </c>
      <c r="AE228" s="7" t="str">
        <f t="shared" si="6"/>
        <v/>
      </c>
      <c r="AG228" s="4" t="str">
        <f t="array" ref="AG228">XLOOKUP(AC228,'Dados Funil'!A:A,'Dados Funil'!AM:AM,"")</f>
        <v/>
      </c>
      <c r="AH228" s="4" t="str">
        <f t="array" ref="AH228">XLOOKUP(AC228,'Dados Funil'!A:A,'Dados Funil'!AN:AN,"")</f>
        <v/>
      </c>
    </row>
    <row r="229">
      <c r="A229" s="4"/>
      <c r="B229" s="4"/>
      <c r="C229" s="7" t="str">
        <f t="shared" si="1"/>
        <v/>
      </c>
      <c r="D229" s="4" t="str">
        <f t="shared" si="9"/>
        <v/>
      </c>
      <c r="E229" s="4" t="str">
        <f t="array" ref="E229">XLOOKUP(A229,'Dados Funil'!$A:$A,'Dados Funil'!$K:$K,"")</f>
        <v/>
      </c>
      <c r="F229" s="4" t="str">
        <f t="array" ref="F229">XLOOKUP(A229,'Dados Funil'!$A:$A,'Dados Funil'!$L:$L,"")</f>
        <v/>
      </c>
      <c r="G229" s="4"/>
      <c r="H229" s="4"/>
      <c r="I229" s="7" t="str">
        <f t="shared" si="2"/>
        <v/>
      </c>
      <c r="J229" s="4" t="str">
        <f t="shared" si="10"/>
        <v/>
      </c>
      <c r="K229" s="4" t="str">
        <f t="array" ref="K229">XLOOKUP(G229,'Dados Funil'!A:A,'Dados Funil'!O:O,"")</f>
        <v/>
      </c>
      <c r="L229" s="4"/>
      <c r="M229" s="4"/>
      <c r="N229" s="7" t="str">
        <f t="shared" si="3"/>
        <v/>
      </c>
      <c r="O229" s="4" t="str">
        <f t="shared" si="11"/>
        <v/>
      </c>
      <c r="P229" s="4" t="str">
        <f t="array" ref="P229">XLOOKUP(L229,'Dados Funil'!A:A,'Dados Funil'!AM:AM,"")</f>
        <v/>
      </c>
      <c r="Q229" s="4" t="str">
        <f t="array" ref="Q229">XLOOKUP(L229,'Dados Funil'!A:A,'Dados Funil'!AN:AN,"")</f>
        <v/>
      </c>
      <c r="T229" s="7" t="str">
        <f t="shared" si="4"/>
        <v/>
      </c>
      <c r="U229" s="4" t="str">
        <f t="shared" si="12"/>
        <v/>
      </c>
      <c r="V229" s="4" t="str">
        <f t="array" ref="V229">XLOOKUP(R229,'Dados Funil'!$A:$A,'Dados Funil'!$K:$K,"")</f>
        <v/>
      </c>
      <c r="W229" s="4" t="str">
        <f t="array" ref="W229">XLOOKUP(R229,'Dados Funil'!$A:$A,'Dados Funil'!$L:$L,"")</f>
        <v/>
      </c>
      <c r="X229" s="4"/>
      <c r="Y229" s="4"/>
      <c r="Z229" s="7" t="str">
        <f t="shared" si="5"/>
        <v/>
      </c>
      <c r="AA229" s="4" t="str">
        <f t="shared" si="13"/>
        <v/>
      </c>
      <c r="AB229" s="4" t="str">
        <f t="array" ref="AB229">XLOOKUP(X229,'Dados Funil'!A:A,'Dados Funil'!O:O,"")</f>
        <v/>
      </c>
      <c r="AE229" s="7" t="str">
        <f t="shared" si="6"/>
        <v/>
      </c>
      <c r="AG229" s="4" t="str">
        <f t="array" ref="AG229">XLOOKUP(AC229,'Dados Funil'!A:A,'Dados Funil'!AM:AM,"")</f>
        <v/>
      </c>
      <c r="AH229" s="4" t="str">
        <f t="array" ref="AH229">XLOOKUP(AC229,'Dados Funil'!A:A,'Dados Funil'!AN:AN,"")</f>
        <v/>
      </c>
    </row>
    <row r="230">
      <c r="A230" s="4"/>
      <c r="B230" s="4"/>
      <c r="C230" s="7" t="str">
        <f t="shared" si="1"/>
        <v/>
      </c>
      <c r="D230" s="4" t="str">
        <f t="shared" si="9"/>
        <v/>
      </c>
      <c r="E230" s="4" t="str">
        <f t="array" ref="E230">XLOOKUP(A230,'Dados Funil'!$A:$A,'Dados Funil'!$K:$K,"")</f>
        <v/>
      </c>
      <c r="F230" s="4" t="str">
        <f t="array" ref="F230">XLOOKUP(A230,'Dados Funil'!$A:$A,'Dados Funil'!$L:$L,"")</f>
        <v/>
      </c>
      <c r="G230" s="4"/>
      <c r="H230" s="4"/>
      <c r="I230" s="7" t="str">
        <f t="shared" si="2"/>
        <v/>
      </c>
      <c r="J230" s="4" t="str">
        <f t="shared" si="10"/>
        <v/>
      </c>
      <c r="K230" s="4" t="str">
        <f t="array" ref="K230">XLOOKUP(G230,'Dados Funil'!A:A,'Dados Funil'!O:O,"")</f>
        <v/>
      </c>
      <c r="L230" s="4"/>
      <c r="M230" s="4"/>
      <c r="N230" s="7" t="str">
        <f t="shared" si="3"/>
        <v/>
      </c>
      <c r="O230" s="4" t="str">
        <f t="shared" si="11"/>
        <v/>
      </c>
      <c r="P230" s="4" t="str">
        <f t="array" ref="P230">XLOOKUP(L230,'Dados Funil'!A:A,'Dados Funil'!AM:AM,"")</f>
        <v/>
      </c>
      <c r="Q230" s="4" t="str">
        <f t="array" ref="Q230">XLOOKUP(L230,'Dados Funil'!A:A,'Dados Funil'!AN:AN,"")</f>
        <v/>
      </c>
      <c r="T230" s="7" t="str">
        <f t="shared" si="4"/>
        <v/>
      </c>
      <c r="U230" s="4" t="str">
        <f t="shared" si="12"/>
        <v/>
      </c>
      <c r="V230" s="4" t="str">
        <f t="array" ref="V230">XLOOKUP(R230,'Dados Funil'!$A:$A,'Dados Funil'!$K:$K,"")</f>
        <v/>
      </c>
      <c r="W230" s="4" t="str">
        <f t="array" ref="W230">XLOOKUP(R230,'Dados Funil'!$A:$A,'Dados Funil'!$L:$L,"")</f>
        <v/>
      </c>
      <c r="X230" s="4"/>
      <c r="Y230" s="4"/>
      <c r="Z230" s="7" t="str">
        <f t="shared" si="5"/>
        <v/>
      </c>
      <c r="AA230" s="4" t="str">
        <f t="shared" si="13"/>
        <v/>
      </c>
      <c r="AB230" s="4" t="str">
        <f t="array" ref="AB230">XLOOKUP(X230,'Dados Funil'!A:A,'Dados Funil'!O:O,"")</f>
        <v/>
      </c>
      <c r="AE230" s="7" t="str">
        <f t="shared" si="6"/>
        <v/>
      </c>
      <c r="AG230" s="4" t="str">
        <f t="array" ref="AG230">XLOOKUP(AC230,'Dados Funil'!A:A,'Dados Funil'!AM:AM,"")</f>
        <v/>
      </c>
      <c r="AH230" s="4" t="str">
        <f t="array" ref="AH230">XLOOKUP(AC230,'Dados Funil'!A:A,'Dados Funil'!AN:AN,"")</f>
        <v/>
      </c>
    </row>
    <row r="231">
      <c r="A231" s="4"/>
      <c r="B231" s="4"/>
      <c r="C231" s="7" t="str">
        <f t="shared" si="1"/>
        <v/>
      </c>
      <c r="D231" s="4" t="str">
        <f t="shared" si="9"/>
        <v/>
      </c>
      <c r="E231" s="4" t="str">
        <f t="array" ref="E231">XLOOKUP(A231,'Dados Funil'!$A:$A,'Dados Funil'!$K:$K,"")</f>
        <v/>
      </c>
      <c r="F231" s="4" t="str">
        <f t="array" ref="F231">XLOOKUP(A231,'Dados Funil'!$A:$A,'Dados Funil'!$L:$L,"")</f>
        <v/>
      </c>
      <c r="G231" s="4"/>
      <c r="H231" s="4"/>
      <c r="I231" s="7" t="str">
        <f t="shared" si="2"/>
        <v/>
      </c>
      <c r="J231" s="4" t="str">
        <f t="shared" si="10"/>
        <v/>
      </c>
      <c r="K231" s="4" t="str">
        <f t="array" ref="K231">XLOOKUP(G231,'Dados Funil'!A:A,'Dados Funil'!O:O,"")</f>
        <v/>
      </c>
      <c r="L231" s="4"/>
      <c r="M231" s="4"/>
      <c r="N231" s="7" t="str">
        <f t="shared" si="3"/>
        <v/>
      </c>
      <c r="O231" s="4" t="str">
        <f t="shared" si="11"/>
        <v/>
      </c>
      <c r="P231" s="4" t="str">
        <f t="array" ref="P231">XLOOKUP(L231,'Dados Funil'!A:A,'Dados Funil'!AM:AM,"")</f>
        <v/>
      </c>
      <c r="Q231" s="4" t="str">
        <f t="array" ref="Q231">XLOOKUP(L231,'Dados Funil'!A:A,'Dados Funil'!AN:AN,"")</f>
        <v/>
      </c>
      <c r="T231" s="7" t="str">
        <f t="shared" si="4"/>
        <v/>
      </c>
      <c r="U231" s="4" t="str">
        <f t="shared" si="12"/>
        <v/>
      </c>
      <c r="V231" s="4" t="str">
        <f t="array" ref="V231">XLOOKUP(R231,'Dados Funil'!$A:$A,'Dados Funil'!$K:$K,"")</f>
        <v/>
      </c>
      <c r="W231" s="4" t="str">
        <f t="array" ref="W231">XLOOKUP(R231,'Dados Funil'!$A:$A,'Dados Funil'!$L:$L,"")</f>
        <v/>
      </c>
      <c r="X231" s="4"/>
      <c r="Y231" s="4"/>
      <c r="Z231" s="7" t="str">
        <f t="shared" si="5"/>
        <v/>
      </c>
      <c r="AA231" s="4" t="str">
        <f t="shared" si="13"/>
        <v/>
      </c>
      <c r="AB231" s="4" t="str">
        <f t="array" ref="AB231">XLOOKUP(X231,'Dados Funil'!A:A,'Dados Funil'!O:O,"")</f>
        <v/>
      </c>
      <c r="AE231" s="7" t="str">
        <f t="shared" si="6"/>
        <v/>
      </c>
      <c r="AG231" s="4" t="str">
        <f t="array" ref="AG231">XLOOKUP(AC231,'Dados Funil'!A:A,'Dados Funil'!AM:AM,"")</f>
        <v/>
      </c>
      <c r="AH231" s="4" t="str">
        <f t="array" ref="AH231">XLOOKUP(AC231,'Dados Funil'!A:A,'Dados Funil'!AN:AN,"")</f>
        <v/>
      </c>
    </row>
    <row r="232">
      <c r="A232" s="4"/>
      <c r="B232" s="4"/>
      <c r="C232" s="7" t="str">
        <f t="shared" si="1"/>
        <v/>
      </c>
      <c r="D232" s="4" t="str">
        <f t="shared" si="9"/>
        <v/>
      </c>
      <c r="E232" s="4" t="str">
        <f t="array" ref="E232">XLOOKUP(A232,'Dados Funil'!$A:$A,'Dados Funil'!$K:$K,"")</f>
        <v/>
      </c>
      <c r="F232" s="4" t="str">
        <f t="array" ref="F232">XLOOKUP(A232,'Dados Funil'!$A:$A,'Dados Funil'!$L:$L,"")</f>
        <v/>
      </c>
      <c r="G232" s="4"/>
      <c r="H232" s="4"/>
      <c r="I232" s="7" t="str">
        <f t="shared" si="2"/>
        <v/>
      </c>
      <c r="J232" s="4" t="str">
        <f t="shared" si="10"/>
        <v/>
      </c>
      <c r="K232" s="4" t="str">
        <f t="array" ref="K232">XLOOKUP(G232,'Dados Funil'!A:A,'Dados Funil'!O:O,"")</f>
        <v/>
      </c>
      <c r="L232" s="4"/>
      <c r="M232" s="4"/>
      <c r="N232" s="7" t="str">
        <f t="shared" si="3"/>
        <v/>
      </c>
      <c r="O232" s="4" t="str">
        <f t="shared" si="11"/>
        <v/>
      </c>
      <c r="P232" s="4" t="str">
        <f t="array" ref="P232">XLOOKUP(L232,'Dados Funil'!A:A,'Dados Funil'!AM:AM,"")</f>
        <v/>
      </c>
      <c r="Q232" s="4" t="str">
        <f t="array" ref="Q232">XLOOKUP(L232,'Dados Funil'!A:A,'Dados Funil'!AN:AN,"")</f>
        <v/>
      </c>
      <c r="T232" s="7" t="str">
        <f t="shared" si="4"/>
        <v/>
      </c>
      <c r="U232" s="4" t="str">
        <f t="shared" si="12"/>
        <v/>
      </c>
      <c r="V232" s="4" t="str">
        <f t="array" ref="V232">XLOOKUP(R232,'Dados Funil'!$A:$A,'Dados Funil'!$K:$K,"")</f>
        <v/>
      </c>
      <c r="W232" s="4" t="str">
        <f t="array" ref="W232">XLOOKUP(R232,'Dados Funil'!$A:$A,'Dados Funil'!$L:$L,"")</f>
        <v/>
      </c>
      <c r="X232" s="4"/>
      <c r="Y232" s="4"/>
      <c r="Z232" s="7" t="str">
        <f t="shared" si="5"/>
        <v/>
      </c>
      <c r="AA232" s="4" t="str">
        <f t="shared" si="13"/>
        <v/>
      </c>
      <c r="AB232" s="4" t="str">
        <f t="array" ref="AB232">XLOOKUP(X232,'Dados Funil'!A:A,'Dados Funil'!O:O,"")</f>
        <v/>
      </c>
      <c r="AE232" s="7" t="str">
        <f t="shared" si="6"/>
        <v/>
      </c>
      <c r="AG232" s="4" t="str">
        <f t="array" ref="AG232">XLOOKUP(AC232,'Dados Funil'!A:A,'Dados Funil'!AM:AM,"")</f>
        <v/>
      </c>
      <c r="AH232" s="4" t="str">
        <f t="array" ref="AH232">XLOOKUP(AC232,'Dados Funil'!A:A,'Dados Funil'!AN:AN,"")</f>
        <v/>
      </c>
    </row>
    <row r="233">
      <c r="A233" s="4"/>
      <c r="B233" s="4"/>
      <c r="C233" s="7" t="str">
        <f t="shared" si="1"/>
        <v/>
      </c>
      <c r="D233" s="4" t="str">
        <f t="shared" si="9"/>
        <v/>
      </c>
      <c r="E233" s="4" t="str">
        <f t="array" ref="E233">XLOOKUP(A233,'Dados Funil'!$A:$A,'Dados Funil'!$K:$K,"")</f>
        <v/>
      </c>
      <c r="F233" s="4" t="str">
        <f t="array" ref="F233">XLOOKUP(A233,'Dados Funil'!$A:$A,'Dados Funil'!$L:$L,"")</f>
        <v/>
      </c>
      <c r="G233" s="4"/>
      <c r="H233" s="4"/>
      <c r="I233" s="7" t="str">
        <f t="shared" si="2"/>
        <v/>
      </c>
      <c r="J233" s="4" t="str">
        <f t="shared" si="10"/>
        <v/>
      </c>
      <c r="K233" s="4" t="str">
        <f t="array" ref="K233">XLOOKUP(G233,'Dados Funil'!A:A,'Dados Funil'!O:O,"")</f>
        <v/>
      </c>
      <c r="L233" s="4"/>
      <c r="M233" s="4"/>
      <c r="N233" s="7" t="str">
        <f t="shared" si="3"/>
        <v/>
      </c>
      <c r="O233" s="4" t="str">
        <f t="shared" si="11"/>
        <v/>
      </c>
      <c r="P233" s="4" t="str">
        <f t="array" ref="P233">XLOOKUP(L233,'Dados Funil'!A:A,'Dados Funil'!AM:AM,"")</f>
        <v/>
      </c>
      <c r="Q233" s="4" t="str">
        <f t="array" ref="Q233">XLOOKUP(L233,'Dados Funil'!A:A,'Dados Funil'!AN:AN,"")</f>
        <v/>
      </c>
      <c r="T233" s="7" t="str">
        <f t="shared" si="4"/>
        <v/>
      </c>
      <c r="U233" s="4" t="str">
        <f t="shared" si="12"/>
        <v/>
      </c>
      <c r="V233" s="4" t="str">
        <f t="array" ref="V233">XLOOKUP(R233,'Dados Funil'!$A:$A,'Dados Funil'!$K:$K,"")</f>
        <v/>
      </c>
      <c r="W233" s="4" t="str">
        <f t="array" ref="W233">XLOOKUP(R233,'Dados Funil'!$A:$A,'Dados Funil'!$L:$L,"")</f>
        <v/>
      </c>
      <c r="X233" s="4"/>
      <c r="Y233" s="4"/>
      <c r="Z233" s="7" t="str">
        <f t="shared" si="5"/>
        <v/>
      </c>
      <c r="AA233" s="4" t="str">
        <f t="shared" si="13"/>
        <v/>
      </c>
      <c r="AB233" s="4" t="str">
        <f t="array" ref="AB233">XLOOKUP(X233,'Dados Funil'!A:A,'Dados Funil'!O:O,"")</f>
        <v/>
      </c>
      <c r="AE233" s="7" t="str">
        <f t="shared" si="6"/>
        <v/>
      </c>
      <c r="AG233" s="4" t="str">
        <f t="array" ref="AG233">XLOOKUP(AC233,'Dados Funil'!A:A,'Dados Funil'!AM:AM,"")</f>
        <v/>
      </c>
      <c r="AH233" s="4" t="str">
        <f t="array" ref="AH233">XLOOKUP(AC233,'Dados Funil'!A:A,'Dados Funil'!AN:AN,"")</f>
        <v/>
      </c>
    </row>
    <row r="234">
      <c r="A234" s="4"/>
      <c r="B234" s="4"/>
      <c r="C234" s="7" t="str">
        <f t="shared" si="1"/>
        <v/>
      </c>
      <c r="D234" s="4" t="str">
        <f t="shared" si="9"/>
        <v/>
      </c>
      <c r="E234" s="4" t="str">
        <f t="array" ref="E234">XLOOKUP(A234,'Dados Funil'!$A:$A,'Dados Funil'!$K:$K,"")</f>
        <v/>
      </c>
      <c r="F234" s="4" t="str">
        <f t="array" ref="F234">XLOOKUP(A234,'Dados Funil'!$A:$A,'Dados Funil'!$L:$L,"")</f>
        <v/>
      </c>
      <c r="G234" s="4"/>
      <c r="H234" s="4"/>
      <c r="I234" s="7" t="str">
        <f t="shared" si="2"/>
        <v/>
      </c>
      <c r="J234" s="4" t="str">
        <f t="shared" si="10"/>
        <v/>
      </c>
      <c r="K234" s="4" t="str">
        <f t="array" ref="K234">XLOOKUP(G234,'Dados Funil'!A:A,'Dados Funil'!O:O,"")</f>
        <v/>
      </c>
      <c r="L234" s="4"/>
      <c r="M234" s="4"/>
      <c r="N234" s="7" t="str">
        <f t="shared" si="3"/>
        <v/>
      </c>
      <c r="O234" s="4" t="str">
        <f t="shared" si="11"/>
        <v/>
      </c>
      <c r="P234" s="4" t="str">
        <f t="array" ref="P234">XLOOKUP(L234,'Dados Funil'!A:A,'Dados Funil'!AM:AM,"")</f>
        <v/>
      </c>
      <c r="Q234" s="4" t="str">
        <f t="array" ref="Q234">XLOOKUP(L234,'Dados Funil'!A:A,'Dados Funil'!AN:AN,"")</f>
        <v/>
      </c>
      <c r="T234" s="7" t="str">
        <f t="shared" si="4"/>
        <v/>
      </c>
      <c r="U234" s="4" t="str">
        <f t="shared" si="12"/>
        <v/>
      </c>
      <c r="V234" s="4" t="str">
        <f t="array" ref="V234">XLOOKUP(R234,'Dados Funil'!$A:$A,'Dados Funil'!$K:$K,"")</f>
        <v/>
      </c>
      <c r="W234" s="4" t="str">
        <f t="array" ref="W234">XLOOKUP(R234,'Dados Funil'!$A:$A,'Dados Funil'!$L:$L,"")</f>
        <v/>
      </c>
      <c r="X234" s="4"/>
      <c r="Y234" s="4"/>
      <c r="Z234" s="7" t="str">
        <f t="shared" si="5"/>
        <v/>
      </c>
      <c r="AA234" s="4" t="str">
        <f t="shared" si="13"/>
        <v/>
      </c>
      <c r="AB234" s="4" t="str">
        <f t="array" ref="AB234">XLOOKUP(X234,'Dados Funil'!A:A,'Dados Funil'!O:O,"")</f>
        <v/>
      </c>
      <c r="AE234" s="7" t="str">
        <f t="shared" si="6"/>
        <v/>
      </c>
      <c r="AG234" s="4" t="str">
        <f t="array" ref="AG234">XLOOKUP(AC234,'Dados Funil'!A:A,'Dados Funil'!AM:AM,"")</f>
        <v/>
      </c>
      <c r="AH234" s="4" t="str">
        <f t="array" ref="AH234">XLOOKUP(AC234,'Dados Funil'!A:A,'Dados Funil'!AN:AN,"")</f>
        <v/>
      </c>
    </row>
    <row r="235">
      <c r="A235" s="4"/>
      <c r="B235" s="4"/>
      <c r="C235" s="7" t="str">
        <f t="shared" si="1"/>
        <v/>
      </c>
      <c r="D235" s="4" t="str">
        <f t="shared" si="9"/>
        <v/>
      </c>
      <c r="E235" s="4" t="str">
        <f t="array" ref="E235">XLOOKUP(A235,'Dados Funil'!$A:$A,'Dados Funil'!$K:$K,"")</f>
        <v/>
      </c>
      <c r="F235" s="4" t="str">
        <f t="array" ref="F235">XLOOKUP(A235,'Dados Funil'!$A:$A,'Dados Funil'!$L:$L,"")</f>
        <v/>
      </c>
      <c r="G235" s="4"/>
      <c r="H235" s="4"/>
      <c r="I235" s="7" t="str">
        <f t="shared" si="2"/>
        <v/>
      </c>
      <c r="J235" s="4" t="str">
        <f t="shared" si="10"/>
        <v/>
      </c>
      <c r="K235" s="4" t="str">
        <f t="array" ref="K235">XLOOKUP(G235,'Dados Funil'!A:A,'Dados Funil'!O:O,"")</f>
        <v/>
      </c>
      <c r="L235" s="4"/>
      <c r="M235" s="4"/>
      <c r="N235" s="7" t="str">
        <f t="shared" si="3"/>
        <v/>
      </c>
      <c r="O235" s="4" t="str">
        <f t="shared" si="11"/>
        <v/>
      </c>
      <c r="P235" s="4" t="str">
        <f t="array" ref="P235">XLOOKUP(L235,'Dados Funil'!A:A,'Dados Funil'!AM:AM,"")</f>
        <v/>
      </c>
      <c r="Q235" s="4" t="str">
        <f t="array" ref="Q235">XLOOKUP(L235,'Dados Funil'!A:A,'Dados Funil'!AN:AN,"")</f>
        <v/>
      </c>
      <c r="T235" s="7" t="str">
        <f t="shared" si="4"/>
        <v/>
      </c>
      <c r="U235" s="4" t="str">
        <f t="shared" si="12"/>
        <v/>
      </c>
      <c r="V235" s="4" t="str">
        <f t="array" ref="V235">XLOOKUP(R235,'Dados Funil'!$A:$A,'Dados Funil'!$K:$K,"")</f>
        <v/>
      </c>
      <c r="W235" s="4" t="str">
        <f t="array" ref="W235">XLOOKUP(R235,'Dados Funil'!$A:$A,'Dados Funil'!$L:$L,"")</f>
        <v/>
      </c>
      <c r="X235" s="4"/>
      <c r="Y235" s="4"/>
      <c r="Z235" s="7" t="str">
        <f t="shared" si="5"/>
        <v/>
      </c>
      <c r="AA235" s="4" t="str">
        <f t="shared" si="13"/>
        <v/>
      </c>
      <c r="AB235" s="4" t="str">
        <f t="array" ref="AB235">XLOOKUP(X235,'Dados Funil'!A:A,'Dados Funil'!O:O,"")</f>
        <v/>
      </c>
      <c r="AE235" s="7" t="str">
        <f t="shared" si="6"/>
        <v/>
      </c>
      <c r="AG235" s="4" t="str">
        <f t="array" ref="AG235">XLOOKUP(AC235,'Dados Funil'!A:A,'Dados Funil'!AM:AM,"")</f>
        <v/>
      </c>
      <c r="AH235" s="4" t="str">
        <f t="array" ref="AH235">XLOOKUP(AC235,'Dados Funil'!A:A,'Dados Funil'!AN:AN,"")</f>
        <v/>
      </c>
    </row>
    <row r="236">
      <c r="A236" s="4"/>
      <c r="B236" s="4"/>
      <c r="C236" s="7" t="str">
        <f t="shared" si="1"/>
        <v/>
      </c>
      <c r="D236" s="4" t="str">
        <f t="shared" si="9"/>
        <v/>
      </c>
      <c r="E236" s="4" t="str">
        <f t="array" ref="E236">XLOOKUP(A236,'Dados Funil'!$A:$A,'Dados Funil'!$K:$K,"")</f>
        <v/>
      </c>
      <c r="F236" s="4" t="str">
        <f t="array" ref="F236">XLOOKUP(A236,'Dados Funil'!$A:$A,'Dados Funil'!$L:$L,"")</f>
        <v/>
      </c>
      <c r="G236" s="4"/>
      <c r="H236" s="4"/>
      <c r="I236" s="7" t="str">
        <f t="shared" si="2"/>
        <v/>
      </c>
      <c r="J236" s="4" t="str">
        <f t="shared" si="10"/>
        <v/>
      </c>
      <c r="K236" s="4" t="str">
        <f t="array" ref="K236">XLOOKUP(G236,'Dados Funil'!A:A,'Dados Funil'!O:O,"")</f>
        <v/>
      </c>
      <c r="L236" s="4"/>
      <c r="M236" s="4"/>
      <c r="N236" s="7" t="str">
        <f t="shared" si="3"/>
        <v/>
      </c>
      <c r="O236" s="4" t="str">
        <f t="shared" si="11"/>
        <v/>
      </c>
      <c r="P236" s="4" t="str">
        <f t="array" ref="P236">XLOOKUP(L236,'Dados Funil'!A:A,'Dados Funil'!AM:AM,"")</f>
        <v/>
      </c>
      <c r="Q236" s="4" t="str">
        <f t="array" ref="Q236">XLOOKUP(L236,'Dados Funil'!A:A,'Dados Funil'!AN:AN,"")</f>
        <v/>
      </c>
      <c r="T236" s="7" t="str">
        <f t="shared" si="4"/>
        <v/>
      </c>
      <c r="U236" s="4" t="str">
        <f t="shared" si="12"/>
        <v/>
      </c>
      <c r="V236" s="4" t="str">
        <f t="array" ref="V236">XLOOKUP(R236,'Dados Funil'!$A:$A,'Dados Funil'!$K:$K,"")</f>
        <v/>
      </c>
      <c r="W236" s="4" t="str">
        <f t="array" ref="W236">XLOOKUP(R236,'Dados Funil'!$A:$A,'Dados Funil'!$L:$L,"")</f>
        <v/>
      </c>
      <c r="X236" s="4"/>
      <c r="Y236" s="4"/>
      <c r="Z236" s="7" t="str">
        <f t="shared" si="5"/>
        <v/>
      </c>
      <c r="AA236" s="4" t="str">
        <f t="shared" si="13"/>
        <v/>
      </c>
      <c r="AB236" s="4" t="str">
        <f t="array" ref="AB236">XLOOKUP(X236,'Dados Funil'!A:A,'Dados Funil'!O:O,"")</f>
        <v/>
      </c>
      <c r="AE236" s="7" t="str">
        <f t="shared" si="6"/>
        <v/>
      </c>
      <c r="AG236" s="4" t="str">
        <f t="array" ref="AG236">XLOOKUP(AC236,'Dados Funil'!A:A,'Dados Funil'!AM:AM,"")</f>
        <v/>
      </c>
      <c r="AH236" s="4" t="str">
        <f t="array" ref="AH236">XLOOKUP(AC236,'Dados Funil'!A:A,'Dados Funil'!AN:AN,"")</f>
        <v/>
      </c>
    </row>
    <row r="237">
      <c r="A237" s="4"/>
      <c r="B237" s="4"/>
      <c r="C237" s="7" t="str">
        <f t="shared" si="1"/>
        <v/>
      </c>
      <c r="D237" s="4" t="str">
        <f t="shared" si="9"/>
        <v/>
      </c>
      <c r="E237" s="4" t="str">
        <f t="array" ref="E237">XLOOKUP(A237,'Dados Funil'!$A:$A,'Dados Funil'!$K:$K,"")</f>
        <v/>
      </c>
      <c r="F237" s="4" t="str">
        <f t="array" ref="F237">XLOOKUP(A237,'Dados Funil'!$A:$A,'Dados Funil'!$L:$L,"")</f>
        <v/>
      </c>
      <c r="G237" s="4"/>
      <c r="H237" s="4"/>
      <c r="I237" s="7" t="str">
        <f t="shared" si="2"/>
        <v/>
      </c>
      <c r="J237" s="4" t="str">
        <f t="shared" si="10"/>
        <v/>
      </c>
      <c r="K237" s="4" t="str">
        <f t="array" ref="K237">XLOOKUP(G237,'Dados Funil'!A:A,'Dados Funil'!O:O,"")</f>
        <v/>
      </c>
      <c r="L237" s="4"/>
      <c r="M237" s="4"/>
      <c r="N237" s="7" t="str">
        <f t="shared" si="3"/>
        <v/>
      </c>
      <c r="O237" s="4" t="str">
        <f t="shared" si="11"/>
        <v/>
      </c>
      <c r="P237" s="4" t="str">
        <f t="array" ref="P237">XLOOKUP(L237,'Dados Funil'!A:A,'Dados Funil'!AM:AM,"")</f>
        <v/>
      </c>
      <c r="Q237" s="4" t="str">
        <f t="array" ref="Q237">XLOOKUP(L237,'Dados Funil'!A:A,'Dados Funil'!AN:AN,"")</f>
        <v/>
      </c>
      <c r="T237" s="7" t="str">
        <f t="shared" si="4"/>
        <v/>
      </c>
      <c r="U237" s="4" t="str">
        <f t="shared" si="12"/>
        <v/>
      </c>
      <c r="V237" s="4" t="str">
        <f t="array" ref="V237">XLOOKUP(R237,'Dados Funil'!$A:$A,'Dados Funil'!$K:$K,"")</f>
        <v/>
      </c>
      <c r="W237" s="4" t="str">
        <f t="array" ref="W237">XLOOKUP(R237,'Dados Funil'!$A:$A,'Dados Funil'!$L:$L,"")</f>
        <v/>
      </c>
      <c r="X237" s="4"/>
      <c r="Y237" s="4"/>
      <c r="Z237" s="7" t="str">
        <f t="shared" si="5"/>
        <v/>
      </c>
      <c r="AA237" s="4" t="str">
        <f t="shared" si="13"/>
        <v/>
      </c>
      <c r="AB237" s="4" t="str">
        <f t="array" ref="AB237">XLOOKUP(X237,'Dados Funil'!A:A,'Dados Funil'!O:O,"")</f>
        <v/>
      </c>
      <c r="AE237" s="7" t="str">
        <f t="shared" si="6"/>
        <v/>
      </c>
      <c r="AG237" s="4" t="str">
        <f t="array" ref="AG237">XLOOKUP(AC237,'Dados Funil'!A:A,'Dados Funil'!AM:AM,"")</f>
        <v/>
      </c>
      <c r="AH237" s="4" t="str">
        <f t="array" ref="AH237">XLOOKUP(AC237,'Dados Funil'!A:A,'Dados Funil'!AN:AN,"")</f>
        <v/>
      </c>
    </row>
    <row r="238">
      <c r="A238" s="4"/>
      <c r="B238" s="4"/>
      <c r="C238" s="7" t="str">
        <f t="shared" si="1"/>
        <v/>
      </c>
      <c r="D238" s="4" t="str">
        <f t="shared" si="9"/>
        <v/>
      </c>
      <c r="E238" s="4" t="str">
        <f t="array" ref="E238">XLOOKUP(A238,'Dados Funil'!$A:$A,'Dados Funil'!$K:$K,"")</f>
        <v/>
      </c>
      <c r="F238" s="4" t="str">
        <f t="array" ref="F238">XLOOKUP(A238,'Dados Funil'!$A:$A,'Dados Funil'!$L:$L,"")</f>
        <v/>
      </c>
      <c r="G238" s="4"/>
      <c r="H238" s="4"/>
      <c r="I238" s="7" t="str">
        <f t="shared" si="2"/>
        <v/>
      </c>
      <c r="J238" s="4" t="str">
        <f t="shared" si="10"/>
        <v/>
      </c>
      <c r="K238" s="4" t="str">
        <f t="array" ref="K238">XLOOKUP(G238,'Dados Funil'!A:A,'Dados Funil'!O:O,"")</f>
        <v/>
      </c>
      <c r="L238" s="4"/>
      <c r="M238" s="4"/>
      <c r="N238" s="7" t="str">
        <f t="shared" si="3"/>
        <v/>
      </c>
      <c r="O238" s="4" t="str">
        <f t="shared" si="11"/>
        <v/>
      </c>
      <c r="P238" s="4" t="str">
        <f t="array" ref="P238">XLOOKUP(L238,'Dados Funil'!A:A,'Dados Funil'!AM:AM,"")</f>
        <v/>
      </c>
      <c r="Q238" s="4" t="str">
        <f t="array" ref="Q238">XLOOKUP(L238,'Dados Funil'!A:A,'Dados Funil'!AN:AN,"")</f>
        <v/>
      </c>
      <c r="T238" s="7" t="str">
        <f t="shared" si="4"/>
        <v/>
      </c>
      <c r="U238" s="4" t="str">
        <f t="shared" si="12"/>
        <v/>
      </c>
      <c r="V238" s="4" t="str">
        <f t="array" ref="V238">XLOOKUP(R238,'Dados Funil'!$A:$A,'Dados Funil'!$K:$K,"")</f>
        <v/>
      </c>
      <c r="W238" s="4" t="str">
        <f t="array" ref="W238">XLOOKUP(R238,'Dados Funil'!$A:$A,'Dados Funil'!$L:$L,"")</f>
        <v/>
      </c>
      <c r="X238" s="4"/>
      <c r="Y238" s="4"/>
      <c r="Z238" s="7" t="str">
        <f t="shared" si="5"/>
        <v/>
      </c>
      <c r="AA238" s="4" t="str">
        <f t="shared" si="13"/>
        <v/>
      </c>
      <c r="AB238" s="4" t="str">
        <f t="array" ref="AB238">XLOOKUP(X238,'Dados Funil'!A:A,'Dados Funil'!O:O,"")</f>
        <v/>
      </c>
      <c r="AE238" s="7" t="str">
        <f t="shared" si="6"/>
        <v/>
      </c>
      <c r="AG238" s="4" t="str">
        <f t="array" ref="AG238">XLOOKUP(AC238,'Dados Funil'!A:A,'Dados Funil'!AM:AM,"")</f>
        <v/>
      </c>
      <c r="AH238" s="4" t="str">
        <f t="array" ref="AH238">XLOOKUP(AC238,'Dados Funil'!A:A,'Dados Funil'!AN:AN,"")</f>
        <v/>
      </c>
    </row>
    <row r="239">
      <c r="A239" s="4"/>
      <c r="B239" s="4"/>
      <c r="C239" s="7" t="str">
        <f t="shared" si="1"/>
        <v/>
      </c>
      <c r="D239" s="4" t="str">
        <f t="shared" si="9"/>
        <v/>
      </c>
      <c r="E239" s="4" t="str">
        <f t="array" ref="E239">XLOOKUP(A239,'Dados Funil'!$A:$A,'Dados Funil'!$K:$K,"")</f>
        <v/>
      </c>
      <c r="F239" s="4" t="str">
        <f t="array" ref="F239">XLOOKUP(A239,'Dados Funil'!$A:$A,'Dados Funil'!$L:$L,"")</f>
        <v/>
      </c>
      <c r="G239" s="4"/>
      <c r="H239" s="4"/>
      <c r="I239" s="7" t="str">
        <f t="shared" si="2"/>
        <v/>
      </c>
      <c r="J239" s="4" t="str">
        <f t="shared" si="10"/>
        <v/>
      </c>
      <c r="K239" s="4" t="str">
        <f t="array" ref="K239">XLOOKUP(G239,'Dados Funil'!A:A,'Dados Funil'!O:O,"")</f>
        <v/>
      </c>
      <c r="L239" s="4"/>
      <c r="M239" s="4"/>
      <c r="N239" s="7" t="str">
        <f t="shared" si="3"/>
        <v/>
      </c>
      <c r="O239" s="4" t="str">
        <f t="shared" si="11"/>
        <v/>
      </c>
      <c r="P239" s="4" t="str">
        <f t="array" ref="P239">XLOOKUP(L239,'Dados Funil'!A:A,'Dados Funil'!AM:AM,"")</f>
        <v/>
      </c>
      <c r="Q239" s="4" t="str">
        <f t="array" ref="Q239">XLOOKUP(L239,'Dados Funil'!A:A,'Dados Funil'!AN:AN,"")</f>
        <v/>
      </c>
      <c r="T239" s="7" t="str">
        <f t="shared" si="4"/>
        <v/>
      </c>
      <c r="U239" s="4" t="str">
        <f t="shared" si="12"/>
        <v/>
      </c>
      <c r="V239" s="4" t="str">
        <f t="array" ref="V239">XLOOKUP(R239,'Dados Funil'!$A:$A,'Dados Funil'!$K:$K,"")</f>
        <v/>
      </c>
      <c r="W239" s="4" t="str">
        <f t="array" ref="W239">XLOOKUP(R239,'Dados Funil'!$A:$A,'Dados Funil'!$L:$L,"")</f>
        <v/>
      </c>
      <c r="X239" s="4"/>
      <c r="Y239" s="4"/>
      <c r="Z239" s="7" t="str">
        <f t="shared" si="5"/>
        <v/>
      </c>
      <c r="AA239" s="4" t="str">
        <f t="shared" si="13"/>
        <v/>
      </c>
      <c r="AB239" s="4" t="str">
        <f t="array" ref="AB239">XLOOKUP(X239,'Dados Funil'!A:A,'Dados Funil'!O:O,"")</f>
        <v/>
      </c>
      <c r="AE239" s="7" t="str">
        <f t="shared" si="6"/>
        <v/>
      </c>
      <c r="AG239" s="4" t="str">
        <f t="array" ref="AG239">XLOOKUP(AC239,'Dados Funil'!A:A,'Dados Funil'!AM:AM,"")</f>
        <v/>
      </c>
      <c r="AH239" s="4" t="str">
        <f t="array" ref="AH239">XLOOKUP(AC239,'Dados Funil'!A:A,'Dados Funil'!AN:AN,"")</f>
        <v/>
      </c>
    </row>
    <row r="240">
      <c r="A240" s="4"/>
      <c r="B240" s="4"/>
      <c r="C240" s="7" t="str">
        <f t="shared" si="1"/>
        <v/>
      </c>
      <c r="D240" s="4" t="str">
        <f t="shared" si="9"/>
        <v/>
      </c>
      <c r="E240" s="4" t="str">
        <f t="array" ref="E240">XLOOKUP(A240,'Dados Funil'!$A:$A,'Dados Funil'!$K:$K,"")</f>
        <v/>
      </c>
      <c r="F240" s="4" t="str">
        <f t="array" ref="F240">XLOOKUP(A240,'Dados Funil'!$A:$A,'Dados Funil'!$L:$L,"")</f>
        <v/>
      </c>
      <c r="G240" s="4"/>
      <c r="H240" s="4"/>
      <c r="I240" s="7" t="str">
        <f t="shared" si="2"/>
        <v/>
      </c>
      <c r="J240" s="4" t="str">
        <f t="shared" si="10"/>
        <v/>
      </c>
      <c r="K240" s="4" t="str">
        <f t="array" ref="K240">XLOOKUP(G240,'Dados Funil'!A:A,'Dados Funil'!O:O,"")</f>
        <v/>
      </c>
      <c r="L240" s="4"/>
      <c r="M240" s="4"/>
      <c r="N240" s="7" t="str">
        <f t="shared" si="3"/>
        <v/>
      </c>
      <c r="O240" s="4" t="str">
        <f t="shared" si="11"/>
        <v/>
      </c>
      <c r="P240" s="4" t="str">
        <f t="array" ref="P240">XLOOKUP(L240,'Dados Funil'!A:A,'Dados Funil'!AM:AM,"")</f>
        <v/>
      </c>
      <c r="Q240" s="4" t="str">
        <f t="array" ref="Q240">XLOOKUP(L240,'Dados Funil'!A:A,'Dados Funil'!AN:AN,"")</f>
        <v/>
      </c>
      <c r="T240" s="7" t="str">
        <f t="shared" si="4"/>
        <v/>
      </c>
      <c r="U240" s="4" t="str">
        <f t="shared" si="12"/>
        <v/>
      </c>
      <c r="V240" s="4" t="str">
        <f t="array" ref="V240">XLOOKUP(R240,'Dados Funil'!$A:$A,'Dados Funil'!$K:$K,"")</f>
        <v/>
      </c>
      <c r="W240" s="4" t="str">
        <f t="array" ref="W240">XLOOKUP(R240,'Dados Funil'!$A:$A,'Dados Funil'!$L:$L,"")</f>
        <v/>
      </c>
      <c r="X240" s="4"/>
      <c r="Y240" s="4"/>
      <c r="Z240" s="7" t="str">
        <f t="shared" si="5"/>
        <v/>
      </c>
      <c r="AA240" s="4" t="str">
        <f t="shared" si="13"/>
        <v/>
      </c>
      <c r="AB240" s="4" t="str">
        <f t="array" ref="AB240">XLOOKUP(X240,'Dados Funil'!A:A,'Dados Funil'!O:O,"")</f>
        <v/>
      </c>
      <c r="AE240" s="7" t="str">
        <f t="shared" si="6"/>
        <v/>
      </c>
      <c r="AG240" s="4" t="str">
        <f t="array" ref="AG240">XLOOKUP(AC240,'Dados Funil'!A:A,'Dados Funil'!AM:AM,"")</f>
        <v/>
      </c>
      <c r="AH240" s="4" t="str">
        <f t="array" ref="AH240">XLOOKUP(AC240,'Dados Funil'!A:A,'Dados Funil'!AN:AN,"")</f>
        <v/>
      </c>
    </row>
    <row r="241">
      <c r="A241" s="4"/>
      <c r="B241" s="4"/>
      <c r="C241" s="7" t="str">
        <f t="shared" si="1"/>
        <v/>
      </c>
      <c r="D241" s="4" t="str">
        <f t="shared" si="9"/>
        <v/>
      </c>
      <c r="E241" s="4" t="str">
        <f t="array" ref="E241">XLOOKUP(A241,'Dados Funil'!$A:$A,'Dados Funil'!$K:$K,"")</f>
        <v/>
      </c>
      <c r="F241" s="4" t="str">
        <f t="array" ref="F241">XLOOKUP(A241,'Dados Funil'!$A:$A,'Dados Funil'!$L:$L,"")</f>
        <v/>
      </c>
      <c r="G241" s="4"/>
      <c r="H241" s="4"/>
      <c r="I241" s="7" t="str">
        <f t="shared" si="2"/>
        <v/>
      </c>
      <c r="J241" s="4" t="str">
        <f t="shared" si="10"/>
        <v/>
      </c>
      <c r="K241" s="4" t="str">
        <f t="array" ref="K241">XLOOKUP(G241,'Dados Funil'!A:A,'Dados Funil'!O:O,"")</f>
        <v/>
      </c>
      <c r="L241" s="4"/>
      <c r="M241" s="4"/>
      <c r="N241" s="7" t="str">
        <f t="shared" si="3"/>
        <v/>
      </c>
      <c r="O241" s="4" t="str">
        <f t="shared" si="11"/>
        <v/>
      </c>
      <c r="P241" s="4" t="str">
        <f t="array" ref="P241">XLOOKUP(L241,'Dados Funil'!A:A,'Dados Funil'!AM:AM,"")</f>
        <v/>
      </c>
      <c r="Q241" s="4" t="str">
        <f t="array" ref="Q241">XLOOKUP(L241,'Dados Funil'!A:A,'Dados Funil'!AN:AN,"")</f>
        <v/>
      </c>
      <c r="T241" s="7" t="str">
        <f t="shared" si="4"/>
        <v/>
      </c>
      <c r="U241" s="4" t="str">
        <f t="shared" si="12"/>
        <v/>
      </c>
      <c r="V241" s="4" t="str">
        <f t="array" ref="V241">XLOOKUP(R241,'Dados Funil'!$A:$A,'Dados Funil'!$K:$K,"")</f>
        <v/>
      </c>
      <c r="W241" s="4" t="str">
        <f t="array" ref="W241">XLOOKUP(R241,'Dados Funil'!$A:$A,'Dados Funil'!$L:$L,"")</f>
        <v/>
      </c>
      <c r="X241" s="4"/>
      <c r="Y241" s="4"/>
      <c r="Z241" s="7" t="str">
        <f t="shared" si="5"/>
        <v/>
      </c>
      <c r="AA241" s="4" t="str">
        <f t="shared" si="13"/>
        <v/>
      </c>
      <c r="AB241" s="4" t="str">
        <f t="array" ref="AB241">XLOOKUP(X241,'Dados Funil'!A:A,'Dados Funil'!O:O,"")</f>
        <v/>
      </c>
      <c r="AE241" s="7" t="str">
        <f t="shared" si="6"/>
        <v/>
      </c>
      <c r="AG241" s="4" t="str">
        <f t="array" ref="AG241">XLOOKUP(AC241,'Dados Funil'!A:A,'Dados Funil'!AM:AM,"")</f>
        <v/>
      </c>
      <c r="AH241" s="4" t="str">
        <f t="array" ref="AH241">XLOOKUP(AC241,'Dados Funil'!A:A,'Dados Funil'!AN:AN,"")</f>
        <v/>
      </c>
    </row>
    <row r="242">
      <c r="A242" s="4"/>
      <c r="B242" s="4"/>
      <c r="C242" s="7" t="str">
        <f t="shared" si="1"/>
        <v/>
      </c>
      <c r="D242" s="4" t="str">
        <f t="shared" si="9"/>
        <v/>
      </c>
      <c r="E242" s="4" t="str">
        <f t="array" ref="E242">XLOOKUP(A242,'Dados Funil'!$A:$A,'Dados Funil'!$K:$K,"")</f>
        <v/>
      </c>
      <c r="F242" s="4" t="str">
        <f t="array" ref="F242">XLOOKUP(A242,'Dados Funil'!$A:$A,'Dados Funil'!$L:$L,"")</f>
        <v/>
      </c>
      <c r="G242" s="4"/>
      <c r="H242" s="4"/>
      <c r="I242" s="7" t="str">
        <f t="shared" si="2"/>
        <v/>
      </c>
      <c r="J242" s="4" t="str">
        <f t="shared" si="10"/>
        <v/>
      </c>
      <c r="K242" s="4" t="str">
        <f t="array" ref="K242">XLOOKUP(G242,'Dados Funil'!A:A,'Dados Funil'!O:O,"")</f>
        <v/>
      </c>
      <c r="L242" s="4"/>
      <c r="M242" s="4"/>
      <c r="N242" s="7" t="str">
        <f t="shared" si="3"/>
        <v/>
      </c>
      <c r="O242" s="4" t="str">
        <f t="shared" si="11"/>
        <v/>
      </c>
      <c r="P242" s="4" t="str">
        <f t="array" ref="P242">XLOOKUP(L242,'Dados Funil'!A:A,'Dados Funil'!AM:AM,"")</f>
        <v/>
      </c>
      <c r="Q242" s="4" t="str">
        <f t="array" ref="Q242">XLOOKUP(L242,'Dados Funil'!A:A,'Dados Funil'!AN:AN,"")</f>
        <v/>
      </c>
      <c r="T242" s="7" t="str">
        <f t="shared" si="4"/>
        <v/>
      </c>
      <c r="U242" s="4" t="str">
        <f t="shared" si="12"/>
        <v/>
      </c>
      <c r="V242" s="4" t="str">
        <f t="array" ref="V242">XLOOKUP(R242,'Dados Funil'!$A:$A,'Dados Funil'!$K:$K,"")</f>
        <v/>
      </c>
      <c r="W242" s="4" t="str">
        <f t="array" ref="W242">XLOOKUP(R242,'Dados Funil'!$A:$A,'Dados Funil'!$L:$L,"")</f>
        <v/>
      </c>
      <c r="X242" s="4"/>
      <c r="Y242" s="4"/>
      <c r="Z242" s="7" t="str">
        <f t="shared" si="5"/>
        <v/>
      </c>
      <c r="AA242" s="4" t="str">
        <f t="shared" si="13"/>
        <v/>
      </c>
      <c r="AB242" s="4" t="str">
        <f t="array" ref="AB242">XLOOKUP(X242,'Dados Funil'!A:A,'Dados Funil'!O:O,"")</f>
        <v/>
      </c>
      <c r="AE242" s="7" t="str">
        <f t="shared" si="6"/>
        <v/>
      </c>
      <c r="AG242" s="4" t="str">
        <f t="array" ref="AG242">XLOOKUP(AC242,'Dados Funil'!A:A,'Dados Funil'!AM:AM,"")</f>
        <v/>
      </c>
      <c r="AH242" s="4" t="str">
        <f t="array" ref="AH242">XLOOKUP(AC242,'Dados Funil'!A:A,'Dados Funil'!AN:AN,"")</f>
        <v/>
      </c>
    </row>
    <row r="243">
      <c r="A243" s="4"/>
      <c r="B243" s="4"/>
      <c r="C243" s="7" t="str">
        <f t="shared" si="1"/>
        <v/>
      </c>
      <c r="D243" s="4" t="str">
        <f t="shared" si="9"/>
        <v/>
      </c>
      <c r="E243" s="4" t="str">
        <f t="array" ref="E243">XLOOKUP(A243,'Dados Funil'!$A:$A,'Dados Funil'!$K:$K,"")</f>
        <v/>
      </c>
      <c r="F243" s="4" t="str">
        <f t="array" ref="F243">XLOOKUP(A243,'Dados Funil'!$A:$A,'Dados Funil'!$L:$L,"")</f>
        <v/>
      </c>
      <c r="G243" s="4"/>
      <c r="H243" s="4"/>
      <c r="I243" s="7" t="str">
        <f t="shared" si="2"/>
        <v/>
      </c>
      <c r="J243" s="4" t="str">
        <f t="shared" si="10"/>
        <v/>
      </c>
      <c r="K243" s="4" t="str">
        <f t="array" ref="K243">XLOOKUP(G243,'Dados Funil'!A:A,'Dados Funil'!O:O,"")</f>
        <v/>
      </c>
      <c r="L243" s="4"/>
      <c r="M243" s="4"/>
      <c r="N243" s="7" t="str">
        <f t="shared" si="3"/>
        <v/>
      </c>
      <c r="O243" s="4" t="str">
        <f t="shared" si="11"/>
        <v/>
      </c>
      <c r="P243" s="4" t="str">
        <f t="array" ref="P243">XLOOKUP(L243,'Dados Funil'!A:A,'Dados Funil'!AM:AM,"")</f>
        <v/>
      </c>
      <c r="Q243" s="4" t="str">
        <f t="array" ref="Q243">XLOOKUP(L243,'Dados Funil'!A:A,'Dados Funil'!AN:AN,"")</f>
        <v/>
      </c>
      <c r="T243" s="7" t="str">
        <f t="shared" si="4"/>
        <v/>
      </c>
      <c r="U243" s="4" t="str">
        <f t="shared" si="12"/>
        <v/>
      </c>
      <c r="V243" s="4" t="str">
        <f t="array" ref="V243">XLOOKUP(R243,'Dados Funil'!$A:$A,'Dados Funil'!$K:$K,"")</f>
        <v/>
      </c>
      <c r="W243" s="4" t="str">
        <f t="array" ref="W243">XLOOKUP(R243,'Dados Funil'!$A:$A,'Dados Funil'!$L:$L,"")</f>
        <v/>
      </c>
      <c r="X243" s="4"/>
      <c r="Y243" s="4"/>
      <c r="Z243" s="7" t="str">
        <f t="shared" si="5"/>
        <v/>
      </c>
      <c r="AA243" s="4" t="str">
        <f t="shared" si="13"/>
        <v/>
      </c>
      <c r="AB243" s="4" t="str">
        <f t="array" ref="AB243">XLOOKUP(X243,'Dados Funil'!A:A,'Dados Funil'!O:O,"")</f>
        <v/>
      </c>
      <c r="AE243" s="7" t="str">
        <f t="shared" si="6"/>
        <v/>
      </c>
      <c r="AG243" s="4" t="str">
        <f t="array" ref="AG243">XLOOKUP(AC243,'Dados Funil'!A:A,'Dados Funil'!AM:AM,"")</f>
        <v/>
      </c>
      <c r="AH243" s="4" t="str">
        <f t="array" ref="AH243">XLOOKUP(AC243,'Dados Funil'!A:A,'Dados Funil'!AN:AN,"")</f>
        <v/>
      </c>
    </row>
    <row r="244">
      <c r="A244" s="4"/>
      <c r="B244" s="4"/>
      <c r="C244" s="7" t="str">
        <f t="shared" si="1"/>
        <v/>
      </c>
      <c r="D244" s="4" t="str">
        <f t="shared" si="9"/>
        <v/>
      </c>
      <c r="E244" s="4" t="str">
        <f t="array" ref="E244">XLOOKUP(A244,'Dados Funil'!$A:$A,'Dados Funil'!$K:$K,"")</f>
        <v/>
      </c>
      <c r="F244" s="4" t="str">
        <f t="array" ref="F244">XLOOKUP(A244,'Dados Funil'!$A:$A,'Dados Funil'!$L:$L,"")</f>
        <v/>
      </c>
      <c r="G244" s="4"/>
      <c r="H244" s="4"/>
      <c r="I244" s="7" t="str">
        <f t="shared" si="2"/>
        <v/>
      </c>
      <c r="J244" s="4" t="str">
        <f t="shared" si="10"/>
        <v/>
      </c>
      <c r="K244" s="4" t="str">
        <f t="array" ref="K244">XLOOKUP(G244,'Dados Funil'!A:A,'Dados Funil'!O:O,"")</f>
        <v/>
      </c>
      <c r="L244" s="4"/>
      <c r="M244" s="4"/>
      <c r="N244" s="7" t="str">
        <f t="shared" si="3"/>
        <v/>
      </c>
      <c r="O244" s="4" t="str">
        <f t="shared" si="11"/>
        <v/>
      </c>
      <c r="P244" s="4" t="str">
        <f t="array" ref="P244">XLOOKUP(L244,'Dados Funil'!A:A,'Dados Funil'!AM:AM,"")</f>
        <v/>
      </c>
      <c r="Q244" s="4" t="str">
        <f t="array" ref="Q244">XLOOKUP(L244,'Dados Funil'!A:A,'Dados Funil'!AN:AN,"")</f>
        <v/>
      </c>
      <c r="T244" s="7" t="str">
        <f t="shared" si="4"/>
        <v/>
      </c>
      <c r="U244" s="4" t="str">
        <f t="shared" si="12"/>
        <v/>
      </c>
      <c r="V244" s="4" t="str">
        <f t="array" ref="V244">XLOOKUP(R244,'Dados Funil'!$A:$A,'Dados Funil'!$K:$K,"")</f>
        <v/>
      </c>
      <c r="W244" s="4" t="str">
        <f t="array" ref="W244">XLOOKUP(R244,'Dados Funil'!$A:$A,'Dados Funil'!$L:$L,"")</f>
        <v/>
      </c>
      <c r="X244" s="4"/>
      <c r="Y244" s="4"/>
      <c r="Z244" s="7" t="str">
        <f t="shared" si="5"/>
        <v/>
      </c>
      <c r="AA244" s="4" t="str">
        <f t="shared" si="13"/>
        <v/>
      </c>
      <c r="AB244" s="4" t="str">
        <f t="array" ref="AB244">XLOOKUP(X244,'Dados Funil'!A:A,'Dados Funil'!O:O,"")</f>
        <v/>
      </c>
      <c r="AE244" s="7" t="str">
        <f t="shared" si="6"/>
        <v/>
      </c>
      <c r="AG244" s="4" t="str">
        <f t="array" ref="AG244">XLOOKUP(AC244,'Dados Funil'!A:A,'Dados Funil'!AM:AM,"")</f>
        <v/>
      </c>
      <c r="AH244" s="4" t="str">
        <f t="array" ref="AH244">XLOOKUP(AC244,'Dados Funil'!A:A,'Dados Funil'!AN:AN,"")</f>
        <v/>
      </c>
    </row>
    <row r="245">
      <c r="A245" s="4"/>
      <c r="B245" s="4"/>
      <c r="C245" s="7" t="str">
        <f t="shared" si="1"/>
        <v/>
      </c>
      <c r="D245" s="4" t="str">
        <f t="shared" si="9"/>
        <v/>
      </c>
      <c r="E245" s="4" t="str">
        <f t="array" ref="E245">XLOOKUP(A245,'Dados Funil'!$A:$A,'Dados Funil'!$K:$K,"")</f>
        <v/>
      </c>
      <c r="F245" s="4" t="str">
        <f t="array" ref="F245">XLOOKUP(A245,'Dados Funil'!$A:$A,'Dados Funil'!$L:$L,"")</f>
        <v/>
      </c>
      <c r="G245" s="4"/>
      <c r="H245" s="4"/>
      <c r="I245" s="7" t="str">
        <f t="shared" si="2"/>
        <v/>
      </c>
      <c r="J245" s="4" t="str">
        <f t="shared" si="10"/>
        <v/>
      </c>
      <c r="K245" s="4" t="str">
        <f t="array" ref="K245">XLOOKUP(G245,'Dados Funil'!A:A,'Dados Funil'!O:O,"")</f>
        <v/>
      </c>
      <c r="L245" s="4"/>
      <c r="M245" s="4"/>
      <c r="N245" s="7" t="str">
        <f t="shared" si="3"/>
        <v/>
      </c>
      <c r="O245" s="4" t="str">
        <f t="shared" si="11"/>
        <v/>
      </c>
      <c r="P245" s="4" t="str">
        <f t="array" ref="P245">XLOOKUP(L245,'Dados Funil'!A:A,'Dados Funil'!AM:AM,"")</f>
        <v/>
      </c>
      <c r="Q245" s="4" t="str">
        <f t="array" ref="Q245">XLOOKUP(L245,'Dados Funil'!A:A,'Dados Funil'!AN:AN,"")</f>
        <v/>
      </c>
      <c r="T245" s="7" t="str">
        <f t="shared" si="4"/>
        <v/>
      </c>
      <c r="U245" s="4" t="str">
        <f t="shared" si="12"/>
        <v/>
      </c>
      <c r="V245" s="4" t="str">
        <f t="array" ref="V245">XLOOKUP(R245,'Dados Funil'!$A:$A,'Dados Funil'!$K:$K,"")</f>
        <v/>
      </c>
      <c r="W245" s="4" t="str">
        <f t="array" ref="W245">XLOOKUP(R245,'Dados Funil'!$A:$A,'Dados Funil'!$L:$L,"")</f>
        <v/>
      </c>
      <c r="X245" s="4"/>
      <c r="Y245" s="4"/>
      <c r="Z245" s="7" t="str">
        <f t="shared" si="5"/>
        <v/>
      </c>
      <c r="AA245" s="4" t="str">
        <f t="shared" si="13"/>
        <v/>
      </c>
      <c r="AB245" s="4" t="str">
        <f t="array" ref="AB245">XLOOKUP(X245,'Dados Funil'!A:A,'Dados Funil'!O:O,"")</f>
        <v/>
      </c>
      <c r="AE245" s="7" t="str">
        <f t="shared" si="6"/>
        <v/>
      </c>
      <c r="AG245" s="4" t="str">
        <f t="array" ref="AG245">XLOOKUP(AC245,'Dados Funil'!A:A,'Dados Funil'!AM:AM,"")</f>
        <v/>
      </c>
      <c r="AH245" s="4" t="str">
        <f t="array" ref="AH245">XLOOKUP(AC245,'Dados Funil'!A:A,'Dados Funil'!AN:AN,"")</f>
        <v/>
      </c>
    </row>
    <row r="246">
      <c r="A246" s="4"/>
      <c r="B246" s="4"/>
      <c r="C246" s="7" t="str">
        <f t="shared" si="1"/>
        <v/>
      </c>
      <c r="D246" s="4" t="str">
        <f t="shared" si="9"/>
        <v/>
      </c>
      <c r="E246" s="4" t="str">
        <f t="array" ref="E246">XLOOKUP(A246,'Dados Funil'!$A:$A,'Dados Funil'!$K:$K,"")</f>
        <v/>
      </c>
      <c r="F246" s="4" t="str">
        <f t="array" ref="F246">XLOOKUP(A246,'Dados Funil'!$A:$A,'Dados Funil'!$L:$L,"")</f>
        <v/>
      </c>
      <c r="G246" s="4"/>
      <c r="H246" s="4"/>
      <c r="I246" s="7" t="str">
        <f t="shared" si="2"/>
        <v/>
      </c>
      <c r="J246" s="4" t="str">
        <f t="shared" si="10"/>
        <v/>
      </c>
      <c r="K246" s="4" t="str">
        <f t="array" ref="K246">XLOOKUP(G246,'Dados Funil'!A:A,'Dados Funil'!O:O,"")</f>
        <v/>
      </c>
      <c r="L246" s="4"/>
      <c r="M246" s="4"/>
      <c r="N246" s="7" t="str">
        <f t="shared" si="3"/>
        <v/>
      </c>
      <c r="O246" s="4" t="str">
        <f t="shared" si="11"/>
        <v/>
      </c>
      <c r="P246" s="4" t="str">
        <f t="array" ref="P246">XLOOKUP(L246,'Dados Funil'!A:A,'Dados Funil'!AM:AM,"")</f>
        <v/>
      </c>
      <c r="Q246" s="4" t="str">
        <f t="array" ref="Q246">XLOOKUP(L246,'Dados Funil'!A:A,'Dados Funil'!AN:AN,"")</f>
        <v/>
      </c>
      <c r="T246" s="7" t="str">
        <f t="shared" si="4"/>
        <v/>
      </c>
      <c r="U246" s="4" t="str">
        <f t="shared" si="12"/>
        <v/>
      </c>
      <c r="V246" s="4" t="str">
        <f t="array" ref="V246">XLOOKUP(R246,'Dados Funil'!$A:$A,'Dados Funil'!$K:$K,"")</f>
        <v/>
      </c>
      <c r="W246" s="4" t="str">
        <f t="array" ref="W246">XLOOKUP(R246,'Dados Funil'!$A:$A,'Dados Funil'!$L:$L,"")</f>
        <v/>
      </c>
      <c r="X246" s="4"/>
      <c r="Y246" s="4"/>
      <c r="Z246" s="7" t="str">
        <f t="shared" si="5"/>
        <v/>
      </c>
      <c r="AA246" s="4" t="str">
        <f t="shared" si="13"/>
        <v/>
      </c>
      <c r="AB246" s="4" t="str">
        <f t="array" ref="AB246">XLOOKUP(X246,'Dados Funil'!A:A,'Dados Funil'!O:O,"")</f>
        <v/>
      </c>
      <c r="AE246" s="7" t="str">
        <f t="shared" si="6"/>
        <v/>
      </c>
      <c r="AG246" s="4" t="str">
        <f t="array" ref="AG246">XLOOKUP(AC246,'Dados Funil'!A:A,'Dados Funil'!AM:AM,"")</f>
        <v/>
      </c>
      <c r="AH246" s="4" t="str">
        <f t="array" ref="AH246">XLOOKUP(AC246,'Dados Funil'!A:A,'Dados Funil'!AN:AN,"")</f>
        <v/>
      </c>
    </row>
    <row r="247">
      <c r="A247" s="4"/>
      <c r="B247" s="4"/>
      <c r="C247" s="7" t="str">
        <f t="shared" si="1"/>
        <v/>
      </c>
      <c r="D247" s="4" t="str">
        <f t="shared" si="9"/>
        <v/>
      </c>
      <c r="E247" s="4" t="str">
        <f t="array" ref="E247">XLOOKUP(A247,'Dados Funil'!$A:$A,'Dados Funil'!$K:$K,"")</f>
        <v/>
      </c>
      <c r="F247" s="4" t="str">
        <f t="array" ref="F247">XLOOKUP(A247,'Dados Funil'!$A:$A,'Dados Funil'!$L:$L,"")</f>
        <v/>
      </c>
      <c r="G247" s="4"/>
      <c r="H247" s="4"/>
      <c r="I247" s="7" t="str">
        <f t="shared" si="2"/>
        <v/>
      </c>
      <c r="J247" s="4" t="str">
        <f t="shared" si="10"/>
        <v/>
      </c>
      <c r="K247" s="4" t="str">
        <f t="array" ref="K247">XLOOKUP(G247,'Dados Funil'!A:A,'Dados Funil'!O:O,"")</f>
        <v/>
      </c>
      <c r="L247" s="4"/>
      <c r="M247" s="4"/>
      <c r="N247" s="7" t="str">
        <f t="shared" si="3"/>
        <v/>
      </c>
      <c r="O247" s="4" t="str">
        <f t="shared" si="11"/>
        <v/>
      </c>
      <c r="P247" s="4" t="str">
        <f t="array" ref="P247">XLOOKUP(L247,'Dados Funil'!A:A,'Dados Funil'!AM:AM,"")</f>
        <v/>
      </c>
      <c r="Q247" s="4" t="str">
        <f t="array" ref="Q247">XLOOKUP(L247,'Dados Funil'!A:A,'Dados Funil'!AN:AN,"")</f>
        <v/>
      </c>
      <c r="T247" s="7" t="str">
        <f t="shared" si="4"/>
        <v/>
      </c>
      <c r="U247" s="4" t="str">
        <f t="shared" si="12"/>
        <v/>
      </c>
      <c r="V247" s="4" t="str">
        <f t="array" ref="V247">XLOOKUP(R247,'Dados Funil'!$A:$A,'Dados Funil'!$K:$K,"")</f>
        <v/>
      </c>
      <c r="W247" s="4" t="str">
        <f t="array" ref="W247">XLOOKUP(R247,'Dados Funil'!$A:$A,'Dados Funil'!$L:$L,"")</f>
        <v/>
      </c>
      <c r="X247" s="4"/>
      <c r="Y247" s="4"/>
      <c r="Z247" s="7" t="str">
        <f t="shared" si="5"/>
        <v/>
      </c>
      <c r="AA247" s="4" t="str">
        <f t="shared" si="13"/>
        <v/>
      </c>
      <c r="AB247" s="4" t="str">
        <f t="array" ref="AB247">XLOOKUP(X247,'Dados Funil'!A:A,'Dados Funil'!O:O,"")</f>
        <v/>
      </c>
      <c r="AE247" s="7" t="str">
        <f t="shared" si="6"/>
        <v/>
      </c>
      <c r="AG247" s="4" t="str">
        <f t="array" ref="AG247">XLOOKUP(AC247,'Dados Funil'!A:A,'Dados Funil'!AM:AM,"")</f>
        <v/>
      </c>
      <c r="AH247" s="4" t="str">
        <f t="array" ref="AH247">XLOOKUP(AC247,'Dados Funil'!A:A,'Dados Funil'!AN:AN,"")</f>
        <v/>
      </c>
    </row>
    <row r="248">
      <c r="A248" s="4"/>
      <c r="B248" s="4"/>
      <c r="C248" s="7" t="str">
        <f t="shared" si="1"/>
        <v/>
      </c>
      <c r="D248" s="4" t="str">
        <f t="shared" si="9"/>
        <v/>
      </c>
      <c r="E248" s="4" t="str">
        <f t="array" ref="E248">XLOOKUP(A248,'Dados Funil'!$A:$A,'Dados Funil'!$K:$K,"")</f>
        <v/>
      </c>
      <c r="F248" s="4" t="str">
        <f t="array" ref="F248">XLOOKUP(A248,'Dados Funil'!$A:$A,'Dados Funil'!$L:$L,"")</f>
        <v/>
      </c>
      <c r="G248" s="4"/>
      <c r="H248" s="4"/>
      <c r="I248" s="7" t="str">
        <f t="shared" si="2"/>
        <v/>
      </c>
      <c r="J248" s="4" t="str">
        <f t="shared" si="10"/>
        <v/>
      </c>
      <c r="K248" s="4" t="str">
        <f t="array" ref="K248">XLOOKUP(G248,'Dados Funil'!A:A,'Dados Funil'!O:O,"")</f>
        <v/>
      </c>
      <c r="L248" s="4"/>
      <c r="M248" s="4"/>
      <c r="N248" s="7" t="str">
        <f t="shared" si="3"/>
        <v/>
      </c>
      <c r="O248" s="4" t="str">
        <f t="shared" si="11"/>
        <v/>
      </c>
      <c r="P248" s="4" t="str">
        <f t="array" ref="P248">XLOOKUP(L248,'Dados Funil'!A:A,'Dados Funil'!AM:AM,"")</f>
        <v/>
      </c>
      <c r="Q248" s="4" t="str">
        <f t="array" ref="Q248">XLOOKUP(L248,'Dados Funil'!A:A,'Dados Funil'!AN:AN,"")</f>
        <v/>
      </c>
      <c r="T248" s="7" t="str">
        <f t="shared" si="4"/>
        <v/>
      </c>
      <c r="U248" s="4" t="str">
        <f t="shared" si="12"/>
        <v/>
      </c>
      <c r="V248" s="4" t="str">
        <f t="array" ref="V248">XLOOKUP(R248,'Dados Funil'!$A:$A,'Dados Funil'!$K:$K,"")</f>
        <v/>
      </c>
      <c r="W248" s="4" t="str">
        <f t="array" ref="W248">XLOOKUP(R248,'Dados Funil'!$A:$A,'Dados Funil'!$L:$L,"")</f>
        <v/>
      </c>
      <c r="X248" s="4"/>
      <c r="Y248" s="4"/>
      <c r="Z248" s="7" t="str">
        <f t="shared" si="5"/>
        <v/>
      </c>
      <c r="AA248" s="4" t="str">
        <f t="shared" si="13"/>
        <v/>
      </c>
      <c r="AB248" s="4" t="str">
        <f t="array" ref="AB248">XLOOKUP(X248,'Dados Funil'!A:A,'Dados Funil'!O:O,"")</f>
        <v/>
      </c>
      <c r="AE248" s="7" t="str">
        <f t="shared" si="6"/>
        <v/>
      </c>
      <c r="AG248" s="4" t="str">
        <f t="array" ref="AG248">XLOOKUP(AC248,'Dados Funil'!A:A,'Dados Funil'!AM:AM,"")</f>
        <v/>
      </c>
      <c r="AH248" s="4" t="str">
        <f t="array" ref="AH248">XLOOKUP(AC248,'Dados Funil'!A:A,'Dados Funil'!AN:AN,"")</f>
        <v/>
      </c>
    </row>
    <row r="249">
      <c r="A249" s="4"/>
      <c r="B249" s="4"/>
      <c r="C249" s="7" t="str">
        <f t="shared" si="1"/>
        <v/>
      </c>
      <c r="D249" s="4" t="str">
        <f t="shared" si="9"/>
        <v/>
      </c>
      <c r="E249" s="4" t="str">
        <f t="array" ref="E249">XLOOKUP(A249,'Dados Funil'!$A:$A,'Dados Funil'!$K:$K,"")</f>
        <v/>
      </c>
      <c r="F249" s="4" t="str">
        <f t="array" ref="F249">XLOOKUP(A249,'Dados Funil'!$A:$A,'Dados Funil'!$L:$L,"")</f>
        <v/>
      </c>
      <c r="G249" s="4"/>
      <c r="H249" s="4"/>
      <c r="I249" s="7" t="str">
        <f t="shared" si="2"/>
        <v/>
      </c>
      <c r="J249" s="4" t="str">
        <f t="shared" si="10"/>
        <v/>
      </c>
      <c r="K249" s="4" t="str">
        <f t="array" ref="K249">XLOOKUP(G249,'Dados Funil'!A:A,'Dados Funil'!O:O,"")</f>
        <v/>
      </c>
      <c r="L249" s="4"/>
      <c r="M249" s="4"/>
      <c r="N249" s="7" t="str">
        <f t="shared" si="3"/>
        <v/>
      </c>
      <c r="O249" s="4" t="str">
        <f t="shared" si="11"/>
        <v/>
      </c>
      <c r="P249" s="4" t="str">
        <f t="array" ref="P249">XLOOKUP(L249,'Dados Funil'!A:A,'Dados Funil'!AM:AM,"")</f>
        <v/>
      </c>
      <c r="Q249" s="4" t="str">
        <f t="array" ref="Q249">XLOOKUP(L249,'Dados Funil'!A:A,'Dados Funil'!AN:AN,"")</f>
        <v/>
      </c>
      <c r="T249" s="7" t="str">
        <f t="shared" si="4"/>
        <v/>
      </c>
      <c r="U249" s="4" t="str">
        <f t="shared" si="12"/>
        <v/>
      </c>
      <c r="V249" s="4" t="str">
        <f t="array" ref="V249">XLOOKUP(R249,'Dados Funil'!$A:$A,'Dados Funil'!$K:$K,"")</f>
        <v/>
      </c>
      <c r="W249" s="4" t="str">
        <f t="array" ref="W249">XLOOKUP(R249,'Dados Funil'!$A:$A,'Dados Funil'!$L:$L,"")</f>
        <v/>
      </c>
      <c r="X249" s="4"/>
      <c r="Y249" s="4"/>
      <c r="Z249" s="7" t="str">
        <f t="shared" si="5"/>
        <v/>
      </c>
      <c r="AA249" s="4" t="str">
        <f t="shared" si="13"/>
        <v/>
      </c>
      <c r="AB249" s="4" t="str">
        <f t="array" ref="AB249">XLOOKUP(X249,'Dados Funil'!A:A,'Dados Funil'!O:O,"")</f>
        <v/>
      </c>
      <c r="AE249" s="7" t="str">
        <f t="shared" si="6"/>
        <v/>
      </c>
      <c r="AG249" s="4" t="str">
        <f t="array" ref="AG249">XLOOKUP(AC249,'Dados Funil'!A:A,'Dados Funil'!AM:AM,"")</f>
        <v/>
      </c>
      <c r="AH249" s="4" t="str">
        <f t="array" ref="AH249">XLOOKUP(AC249,'Dados Funil'!A:A,'Dados Funil'!AN:AN,"")</f>
        <v/>
      </c>
    </row>
    <row r="250">
      <c r="A250" s="4"/>
      <c r="B250" s="4"/>
      <c r="C250" s="7" t="str">
        <f t="shared" si="1"/>
        <v/>
      </c>
      <c r="D250" s="4" t="str">
        <f t="shared" si="9"/>
        <v/>
      </c>
      <c r="E250" s="4" t="str">
        <f t="array" ref="E250">XLOOKUP(A250,'Dados Funil'!$A:$A,'Dados Funil'!$K:$K,"")</f>
        <v/>
      </c>
      <c r="F250" s="4" t="str">
        <f t="array" ref="F250">XLOOKUP(A250,'Dados Funil'!$A:$A,'Dados Funil'!$L:$L,"")</f>
        <v/>
      </c>
      <c r="G250" s="4"/>
      <c r="H250" s="4"/>
      <c r="I250" s="7" t="str">
        <f t="shared" si="2"/>
        <v/>
      </c>
      <c r="J250" s="4" t="str">
        <f t="shared" si="10"/>
        <v/>
      </c>
      <c r="K250" s="4" t="str">
        <f t="array" ref="K250">XLOOKUP(G250,'Dados Funil'!A:A,'Dados Funil'!O:O,"")</f>
        <v/>
      </c>
      <c r="L250" s="4"/>
      <c r="M250" s="4"/>
      <c r="N250" s="7" t="str">
        <f t="shared" si="3"/>
        <v/>
      </c>
      <c r="O250" s="4" t="str">
        <f t="shared" si="11"/>
        <v/>
      </c>
      <c r="P250" s="4" t="str">
        <f t="array" ref="P250">XLOOKUP(L250,'Dados Funil'!A:A,'Dados Funil'!AM:AM,"")</f>
        <v/>
      </c>
      <c r="Q250" s="4" t="str">
        <f t="array" ref="Q250">XLOOKUP(L250,'Dados Funil'!A:A,'Dados Funil'!AN:AN,"")</f>
        <v/>
      </c>
      <c r="T250" s="7" t="str">
        <f t="shared" si="4"/>
        <v/>
      </c>
      <c r="U250" s="4" t="str">
        <f t="shared" si="12"/>
        <v/>
      </c>
      <c r="V250" s="4" t="str">
        <f t="array" ref="V250">XLOOKUP(R250,'Dados Funil'!$A:$A,'Dados Funil'!$K:$K,"")</f>
        <v/>
      </c>
      <c r="W250" s="4" t="str">
        <f t="array" ref="W250">XLOOKUP(R250,'Dados Funil'!$A:$A,'Dados Funil'!$L:$L,"")</f>
        <v/>
      </c>
      <c r="X250" s="4"/>
      <c r="Y250" s="4"/>
      <c r="Z250" s="7" t="str">
        <f t="shared" si="5"/>
        <v/>
      </c>
      <c r="AA250" s="4" t="str">
        <f t="shared" si="13"/>
        <v/>
      </c>
      <c r="AB250" s="4" t="str">
        <f t="array" ref="AB250">XLOOKUP(X250,'Dados Funil'!A:A,'Dados Funil'!O:O,"")</f>
        <v/>
      </c>
      <c r="AE250" s="7" t="str">
        <f t="shared" si="6"/>
        <v/>
      </c>
      <c r="AG250" s="4" t="str">
        <f t="array" ref="AG250">XLOOKUP(AC250,'Dados Funil'!A:A,'Dados Funil'!AM:AM,"")</f>
        <v/>
      </c>
      <c r="AH250" s="4" t="str">
        <f t="array" ref="AH250">XLOOKUP(AC250,'Dados Funil'!A:A,'Dados Funil'!AN:AN,"")</f>
        <v/>
      </c>
    </row>
    <row r="251">
      <c r="A251" s="4"/>
      <c r="B251" s="4"/>
      <c r="C251" s="7" t="str">
        <f t="shared" si="1"/>
        <v/>
      </c>
      <c r="D251" s="4" t="str">
        <f t="shared" si="9"/>
        <v/>
      </c>
      <c r="E251" s="4" t="str">
        <f t="array" ref="E251">XLOOKUP(A251,'Dados Funil'!$A:$A,'Dados Funil'!$K:$K,"")</f>
        <v/>
      </c>
      <c r="F251" s="4" t="str">
        <f t="array" ref="F251">XLOOKUP(A251,'Dados Funil'!$A:$A,'Dados Funil'!$L:$L,"")</f>
        <v/>
      </c>
      <c r="G251" s="4"/>
      <c r="H251" s="4"/>
      <c r="I251" s="7" t="str">
        <f t="shared" si="2"/>
        <v/>
      </c>
      <c r="J251" s="4" t="str">
        <f t="shared" si="10"/>
        <v/>
      </c>
      <c r="K251" s="4" t="str">
        <f t="array" ref="K251">XLOOKUP(G251,'Dados Funil'!A:A,'Dados Funil'!O:O,"")</f>
        <v/>
      </c>
      <c r="L251" s="4"/>
      <c r="M251" s="4"/>
      <c r="N251" s="7" t="str">
        <f t="shared" si="3"/>
        <v/>
      </c>
      <c r="O251" s="4" t="str">
        <f t="shared" si="11"/>
        <v/>
      </c>
      <c r="P251" s="4" t="str">
        <f t="array" ref="P251">XLOOKUP(L251,'Dados Funil'!A:A,'Dados Funil'!AM:AM,"")</f>
        <v/>
      </c>
      <c r="Q251" s="4" t="str">
        <f t="array" ref="Q251">XLOOKUP(L251,'Dados Funil'!A:A,'Dados Funil'!AN:AN,"")</f>
        <v/>
      </c>
      <c r="T251" s="7" t="str">
        <f t="shared" si="4"/>
        <v/>
      </c>
      <c r="U251" s="4" t="str">
        <f t="shared" si="12"/>
        <v/>
      </c>
      <c r="V251" s="4" t="str">
        <f t="array" ref="V251">XLOOKUP(R251,'Dados Funil'!$A:$A,'Dados Funil'!$K:$K,"")</f>
        <v/>
      </c>
      <c r="W251" s="4" t="str">
        <f t="array" ref="W251">XLOOKUP(R251,'Dados Funil'!$A:$A,'Dados Funil'!$L:$L,"")</f>
        <v/>
      </c>
      <c r="X251" s="4"/>
      <c r="Y251" s="4"/>
      <c r="Z251" s="7" t="str">
        <f t="shared" si="5"/>
        <v/>
      </c>
      <c r="AA251" s="4" t="str">
        <f t="shared" si="13"/>
        <v/>
      </c>
      <c r="AB251" s="4" t="str">
        <f t="array" ref="AB251">XLOOKUP(X251,'Dados Funil'!A:A,'Dados Funil'!O:O,"")</f>
        <v/>
      </c>
      <c r="AE251" s="7" t="str">
        <f t="shared" si="6"/>
        <v/>
      </c>
      <c r="AG251" s="4" t="str">
        <f t="array" ref="AG251">XLOOKUP(AC251,'Dados Funil'!A:A,'Dados Funil'!AM:AM,"")</f>
        <v/>
      </c>
      <c r="AH251" s="4" t="str">
        <f t="array" ref="AH251">XLOOKUP(AC251,'Dados Funil'!A:A,'Dados Funil'!AN:AN,"")</f>
        <v/>
      </c>
    </row>
    <row r="252">
      <c r="A252" s="4"/>
      <c r="B252" s="4"/>
      <c r="C252" s="7" t="str">
        <f t="shared" si="1"/>
        <v/>
      </c>
      <c r="D252" s="4" t="str">
        <f t="shared" si="9"/>
        <v/>
      </c>
      <c r="E252" s="4" t="str">
        <f t="array" ref="E252">XLOOKUP(A252,'Dados Funil'!$A:$A,'Dados Funil'!$K:$K,"")</f>
        <v/>
      </c>
      <c r="F252" s="4" t="str">
        <f t="array" ref="F252">XLOOKUP(A252,'Dados Funil'!$A:$A,'Dados Funil'!$L:$L,"")</f>
        <v/>
      </c>
      <c r="G252" s="4"/>
      <c r="H252" s="4"/>
      <c r="I252" s="7" t="str">
        <f t="shared" si="2"/>
        <v/>
      </c>
      <c r="J252" s="4" t="str">
        <f t="shared" si="10"/>
        <v/>
      </c>
      <c r="K252" s="4" t="str">
        <f t="array" ref="K252">XLOOKUP(G252,'Dados Funil'!A:A,'Dados Funil'!O:O,"")</f>
        <v/>
      </c>
      <c r="L252" s="4"/>
      <c r="M252" s="4"/>
      <c r="N252" s="7" t="str">
        <f t="shared" si="3"/>
        <v/>
      </c>
      <c r="O252" s="4" t="str">
        <f t="shared" si="11"/>
        <v/>
      </c>
      <c r="P252" s="4" t="str">
        <f t="array" ref="P252">XLOOKUP(L252,'Dados Funil'!A:A,'Dados Funil'!AM:AM,"")</f>
        <v/>
      </c>
      <c r="Q252" s="4" t="str">
        <f t="array" ref="Q252">XLOOKUP(L252,'Dados Funil'!A:A,'Dados Funil'!AN:AN,"")</f>
        <v/>
      </c>
      <c r="T252" s="7" t="str">
        <f t="shared" si="4"/>
        <v/>
      </c>
      <c r="U252" s="4" t="str">
        <f t="shared" si="12"/>
        <v/>
      </c>
      <c r="V252" s="4" t="str">
        <f t="array" ref="V252">XLOOKUP(R252,'Dados Funil'!$A:$A,'Dados Funil'!$K:$K,"")</f>
        <v/>
      </c>
      <c r="W252" s="4" t="str">
        <f t="array" ref="W252">XLOOKUP(R252,'Dados Funil'!$A:$A,'Dados Funil'!$L:$L,"")</f>
        <v/>
      </c>
      <c r="X252" s="4"/>
      <c r="Y252" s="4"/>
      <c r="Z252" s="7" t="str">
        <f t="shared" si="5"/>
        <v/>
      </c>
      <c r="AA252" s="4" t="str">
        <f t="shared" si="13"/>
        <v/>
      </c>
      <c r="AB252" s="4" t="str">
        <f t="array" ref="AB252">XLOOKUP(X252,'Dados Funil'!A:A,'Dados Funil'!O:O,"")</f>
        <v/>
      </c>
      <c r="AE252" s="7" t="str">
        <f t="shared" si="6"/>
        <v/>
      </c>
      <c r="AG252" s="4" t="str">
        <f t="array" ref="AG252">XLOOKUP(AC252,'Dados Funil'!A:A,'Dados Funil'!AM:AM,"")</f>
        <v/>
      </c>
      <c r="AH252" s="4" t="str">
        <f t="array" ref="AH252">XLOOKUP(AC252,'Dados Funil'!A:A,'Dados Funil'!AN:AN,"")</f>
        <v/>
      </c>
    </row>
    <row r="253">
      <c r="A253" s="4"/>
      <c r="B253" s="4"/>
      <c r="C253" s="7" t="str">
        <f t="shared" si="1"/>
        <v/>
      </c>
      <c r="D253" s="4" t="str">
        <f t="shared" si="9"/>
        <v/>
      </c>
      <c r="E253" s="4" t="str">
        <f t="array" ref="E253">XLOOKUP(A253,'Dados Funil'!$A:$A,'Dados Funil'!$K:$K,"")</f>
        <v/>
      </c>
      <c r="F253" s="4" t="str">
        <f t="array" ref="F253">XLOOKUP(A253,'Dados Funil'!$A:$A,'Dados Funil'!$L:$L,"")</f>
        <v/>
      </c>
      <c r="G253" s="4"/>
      <c r="H253" s="4"/>
      <c r="I253" s="7" t="str">
        <f t="shared" si="2"/>
        <v/>
      </c>
      <c r="J253" s="4" t="str">
        <f t="shared" si="10"/>
        <v/>
      </c>
      <c r="K253" s="4" t="str">
        <f t="array" ref="K253">XLOOKUP(G253,'Dados Funil'!A:A,'Dados Funil'!O:O,"")</f>
        <v/>
      </c>
      <c r="L253" s="4"/>
      <c r="M253" s="4"/>
      <c r="N253" s="7" t="str">
        <f t="shared" si="3"/>
        <v/>
      </c>
      <c r="O253" s="4" t="str">
        <f t="shared" si="11"/>
        <v/>
      </c>
      <c r="P253" s="4" t="str">
        <f t="array" ref="P253">XLOOKUP(L253,'Dados Funil'!A:A,'Dados Funil'!AM:AM,"")</f>
        <v/>
      </c>
      <c r="Q253" s="4" t="str">
        <f t="array" ref="Q253">XLOOKUP(L253,'Dados Funil'!A:A,'Dados Funil'!AN:AN,"")</f>
        <v/>
      </c>
      <c r="T253" s="7" t="str">
        <f t="shared" si="4"/>
        <v/>
      </c>
      <c r="U253" s="4" t="str">
        <f t="shared" si="12"/>
        <v/>
      </c>
      <c r="V253" s="4" t="str">
        <f t="array" ref="V253">XLOOKUP(R253,'Dados Funil'!$A:$A,'Dados Funil'!$K:$K,"")</f>
        <v/>
      </c>
      <c r="W253" s="4" t="str">
        <f t="array" ref="W253">XLOOKUP(R253,'Dados Funil'!$A:$A,'Dados Funil'!$L:$L,"")</f>
        <v/>
      </c>
      <c r="X253" s="4"/>
      <c r="Y253" s="4"/>
      <c r="Z253" s="7" t="str">
        <f t="shared" si="5"/>
        <v/>
      </c>
      <c r="AA253" s="4" t="str">
        <f t="shared" si="13"/>
        <v/>
      </c>
      <c r="AB253" s="4" t="str">
        <f t="array" ref="AB253">XLOOKUP(X253,'Dados Funil'!A:A,'Dados Funil'!O:O,"")</f>
        <v/>
      </c>
      <c r="AE253" s="7" t="str">
        <f t="shared" si="6"/>
        <v/>
      </c>
      <c r="AG253" s="4" t="str">
        <f t="array" ref="AG253">XLOOKUP(AC253,'Dados Funil'!A:A,'Dados Funil'!AM:AM,"")</f>
        <v/>
      </c>
      <c r="AH253" s="4" t="str">
        <f t="array" ref="AH253">XLOOKUP(AC253,'Dados Funil'!A:A,'Dados Funil'!AN:AN,"")</f>
        <v/>
      </c>
    </row>
    <row r="254">
      <c r="A254" s="4"/>
      <c r="B254" s="4"/>
      <c r="C254" s="7" t="str">
        <f t="shared" si="1"/>
        <v/>
      </c>
      <c r="D254" s="4" t="str">
        <f t="shared" si="9"/>
        <v/>
      </c>
      <c r="E254" s="4" t="str">
        <f t="array" ref="E254">XLOOKUP(A254,'Dados Funil'!$A:$A,'Dados Funil'!$K:$K,"")</f>
        <v/>
      </c>
      <c r="F254" s="4" t="str">
        <f t="array" ref="F254">XLOOKUP(A254,'Dados Funil'!$A:$A,'Dados Funil'!$L:$L,"")</f>
        <v/>
      </c>
      <c r="G254" s="4"/>
      <c r="H254" s="4"/>
      <c r="I254" s="7" t="str">
        <f t="shared" si="2"/>
        <v/>
      </c>
      <c r="J254" s="4" t="str">
        <f t="shared" si="10"/>
        <v/>
      </c>
      <c r="K254" s="4" t="str">
        <f t="array" ref="K254">XLOOKUP(G254,'Dados Funil'!A:A,'Dados Funil'!O:O,"")</f>
        <v/>
      </c>
      <c r="L254" s="4"/>
      <c r="M254" s="4"/>
      <c r="N254" s="7" t="str">
        <f t="shared" si="3"/>
        <v/>
      </c>
      <c r="O254" s="4" t="str">
        <f t="shared" si="11"/>
        <v/>
      </c>
      <c r="P254" s="4" t="str">
        <f t="array" ref="P254">XLOOKUP(L254,'Dados Funil'!A:A,'Dados Funil'!AM:AM,"")</f>
        <v/>
      </c>
      <c r="Q254" s="4" t="str">
        <f t="array" ref="Q254">XLOOKUP(L254,'Dados Funil'!A:A,'Dados Funil'!AN:AN,"")</f>
        <v/>
      </c>
      <c r="T254" s="7" t="str">
        <f t="shared" si="4"/>
        <v/>
      </c>
      <c r="U254" s="4" t="str">
        <f t="shared" si="12"/>
        <v/>
      </c>
      <c r="V254" s="4" t="str">
        <f t="array" ref="V254">XLOOKUP(R254,'Dados Funil'!$A:$A,'Dados Funil'!$K:$K,"")</f>
        <v/>
      </c>
      <c r="W254" s="4" t="str">
        <f t="array" ref="W254">XLOOKUP(R254,'Dados Funil'!$A:$A,'Dados Funil'!$L:$L,"")</f>
        <v/>
      </c>
      <c r="X254" s="4"/>
      <c r="Y254" s="4"/>
      <c r="Z254" s="7" t="str">
        <f t="shared" si="5"/>
        <v/>
      </c>
      <c r="AA254" s="4" t="str">
        <f t="shared" si="13"/>
        <v/>
      </c>
      <c r="AB254" s="4" t="str">
        <f t="array" ref="AB254">XLOOKUP(X254,'Dados Funil'!A:A,'Dados Funil'!O:O,"")</f>
        <v/>
      </c>
      <c r="AE254" s="7" t="str">
        <f t="shared" si="6"/>
        <v/>
      </c>
      <c r="AG254" s="4" t="str">
        <f t="array" ref="AG254">XLOOKUP(AC254,'Dados Funil'!A:A,'Dados Funil'!AM:AM,"")</f>
        <v/>
      </c>
      <c r="AH254" s="4" t="str">
        <f t="array" ref="AH254">XLOOKUP(AC254,'Dados Funil'!A:A,'Dados Funil'!AN:AN,"")</f>
        <v/>
      </c>
    </row>
    <row r="255">
      <c r="A255" s="4"/>
      <c r="B255" s="4"/>
      <c r="C255" s="7" t="str">
        <f t="shared" si="1"/>
        <v/>
      </c>
      <c r="D255" s="4" t="str">
        <f t="shared" si="9"/>
        <v/>
      </c>
      <c r="E255" s="4" t="str">
        <f t="array" ref="E255">XLOOKUP(A255,'Dados Funil'!$A:$A,'Dados Funil'!$K:$K,"")</f>
        <v/>
      </c>
      <c r="F255" s="4" t="str">
        <f t="array" ref="F255">XLOOKUP(A255,'Dados Funil'!$A:$A,'Dados Funil'!$L:$L,"")</f>
        <v/>
      </c>
      <c r="G255" s="4"/>
      <c r="H255" s="4"/>
      <c r="I255" s="7" t="str">
        <f t="shared" si="2"/>
        <v/>
      </c>
      <c r="J255" s="4" t="str">
        <f t="shared" si="10"/>
        <v/>
      </c>
      <c r="K255" s="4" t="str">
        <f t="array" ref="K255">XLOOKUP(G255,'Dados Funil'!A:A,'Dados Funil'!O:O,"")</f>
        <v/>
      </c>
      <c r="L255" s="4"/>
      <c r="M255" s="4"/>
      <c r="N255" s="7" t="str">
        <f t="shared" si="3"/>
        <v/>
      </c>
      <c r="O255" s="4" t="str">
        <f t="shared" si="11"/>
        <v/>
      </c>
      <c r="P255" s="4" t="str">
        <f t="array" ref="P255">XLOOKUP(L255,'Dados Funil'!A:A,'Dados Funil'!AM:AM,"")</f>
        <v/>
      </c>
      <c r="Q255" s="4" t="str">
        <f t="array" ref="Q255">XLOOKUP(L255,'Dados Funil'!A:A,'Dados Funil'!AN:AN,"")</f>
        <v/>
      </c>
      <c r="T255" s="7" t="str">
        <f t="shared" si="4"/>
        <v/>
      </c>
      <c r="U255" s="4" t="str">
        <f t="shared" si="12"/>
        <v/>
      </c>
      <c r="V255" s="4" t="str">
        <f t="array" ref="V255">XLOOKUP(R255,'Dados Funil'!$A:$A,'Dados Funil'!$K:$K,"")</f>
        <v/>
      </c>
      <c r="W255" s="4" t="str">
        <f t="array" ref="W255">XLOOKUP(R255,'Dados Funil'!$A:$A,'Dados Funil'!$L:$L,"")</f>
        <v/>
      </c>
      <c r="X255" s="4"/>
      <c r="Y255" s="4"/>
      <c r="Z255" s="7" t="str">
        <f t="shared" si="5"/>
        <v/>
      </c>
      <c r="AA255" s="4" t="str">
        <f t="shared" si="13"/>
        <v/>
      </c>
      <c r="AB255" s="4" t="str">
        <f t="array" ref="AB255">XLOOKUP(X255,'Dados Funil'!A:A,'Dados Funil'!O:O,"")</f>
        <v/>
      </c>
      <c r="AE255" s="7" t="str">
        <f t="shared" si="6"/>
        <v/>
      </c>
      <c r="AG255" s="4" t="str">
        <f t="array" ref="AG255">XLOOKUP(AC255,'Dados Funil'!A:A,'Dados Funil'!AM:AM,"")</f>
        <v/>
      </c>
      <c r="AH255" s="4" t="str">
        <f t="array" ref="AH255">XLOOKUP(AC255,'Dados Funil'!A:A,'Dados Funil'!AN:AN,"")</f>
        <v/>
      </c>
    </row>
    <row r="256">
      <c r="A256" s="4"/>
      <c r="B256" s="4"/>
      <c r="C256" s="7" t="str">
        <f t="shared" si="1"/>
        <v/>
      </c>
      <c r="D256" s="4" t="str">
        <f t="shared" si="9"/>
        <v/>
      </c>
      <c r="E256" s="4" t="str">
        <f t="array" ref="E256">XLOOKUP(A256,'Dados Funil'!$A:$A,'Dados Funil'!$K:$K,"")</f>
        <v/>
      </c>
      <c r="F256" s="4" t="str">
        <f t="array" ref="F256">XLOOKUP(A256,'Dados Funil'!$A:$A,'Dados Funil'!$L:$L,"")</f>
        <v/>
      </c>
      <c r="G256" s="4"/>
      <c r="H256" s="4"/>
      <c r="I256" s="7" t="str">
        <f t="shared" si="2"/>
        <v/>
      </c>
      <c r="J256" s="4" t="str">
        <f t="shared" si="10"/>
        <v/>
      </c>
      <c r="K256" s="4" t="str">
        <f t="array" ref="K256">XLOOKUP(G256,'Dados Funil'!A:A,'Dados Funil'!O:O,"")</f>
        <v/>
      </c>
      <c r="L256" s="4"/>
      <c r="M256" s="4"/>
      <c r="N256" s="7" t="str">
        <f t="shared" si="3"/>
        <v/>
      </c>
      <c r="O256" s="4" t="str">
        <f t="shared" si="11"/>
        <v/>
      </c>
      <c r="P256" s="4" t="str">
        <f t="array" ref="P256">XLOOKUP(L256,'Dados Funil'!A:A,'Dados Funil'!AM:AM,"")</f>
        <v/>
      </c>
      <c r="Q256" s="4" t="str">
        <f t="array" ref="Q256">XLOOKUP(L256,'Dados Funil'!A:A,'Dados Funil'!AN:AN,"")</f>
        <v/>
      </c>
      <c r="T256" s="7" t="str">
        <f t="shared" si="4"/>
        <v/>
      </c>
      <c r="U256" s="4" t="str">
        <f t="shared" si="12"/>
        <v/>
      </c>
      <c r="V256" s="4" t="str">
        <f t="array" ref="V256">XLOOKUP(R256,'Dados Funil'!$A:$A,'Dados Funil'!$K:$K,"")</f>
        <v/>
      </c>
      <c r="W256" s="4" t="str">
        <f t="array" ref="W256">XLOOKUP(R256,'Dados Funil'!$A:$A,'Dados Funil'!$L:$L,"")</f>
        <v/>
      </c>
      <c r="X256" s="4"/>
      <c r="Y256" s="4"/>
      <c r="Z256" s="7" t="str">
        <f t="shared" si="5"/>
        <v/>
      </c>
      <c r="AA256" s="4" t="str">
        <f t="shared" si="13"/>
        <v/>
      </c>
      <c r="AB256" s="4" t="str">
        <f t="array" ref="AB256">XLOOKUP(X256,'Dados Funil'!A:A,'Dados Funil'!O:O,"")</f>
        <v/>
      </c>
      <c r="AE256" s="7" t="str">
        <f t="shared" si="6"/>
        <v/>
      </c>
      <c r="AG256" s="4" t="str">
        <f t="array" ref="AG256">XLOOKUP(AC256,'Dados Funil'!A:A,'Dados Funil'!AM:AM,"")</f>
        <v/>
      </c>
      <c r="AH256" s="4" t="str">
        <f t="array" ref="AH256">XLOOKUP(AC256,'Dados Funil'!A:A,'Dados Funil'!AN:AN,"")</f>
        <v/>
      </c>
    </row>
    <row r="257">
      <c r="A257" s="4"/>
      <c r="B257" s="4"/>
      <c r="C257" s="7" t="str">
        <f t="shared" si="1"/>
        <v/>
      </c>
      <c r="D257" s="4" t="str">
        <f t="shared" si="9"/>
        <v/>
      </c>
      <c r="E257" s="4" t="str">
        <f t="array" ref="E257">XLOOKUP(A257,'Dados Funil'!$A:$A,'Dados Funil'!$K:$K,"")</f>
        <v/>
      </c>
      <c r="F257" s="4" t="str">
        <f t="array" ref="F257">XLOOKUP(A257,'Dados Funil'!$A:$A,'Dados Funil'!$L:$L,"")</f>
        <v/>
      </c>
      <c r="G257" s="4"/>
      <c r="H257" s="4"/>
      <c r="I257" s="7" t="str">
        <f t="shared" si="2"/>
        <v/>
      </c>
      <c r="J257" s="4" t="str">
        <f t="shared" si="10"/>
        <v/>
      </c>
      <c r="K257" s="4" t="str">
        <f t="array" ref="K257">XLOOKUP(G257,'Dados Funil'!A:A,'Dados Funil'!O:O,"")</f>
        <v/>
      </c>
      <c r="L257" s="4"/>
      <c r="M257" s="4"/>
      <c r="N257" s="7" t="str">
        <f t="shared" si="3"/>
        <v/>
      </c>
      <c r="O257" s="4" t="str">
        <f t="shared" si="11"/>
        <v/>
      </c>
      <c r="P257" s="4" t="str">
        <f t="array" ref="P257">XLOOKUP(L257,'Dados Funil'!A:A,'Dados Funil'!AM:AM,"")</f>
        <v/>
      </c>
      <c r="Q257" s="4" t="str">
        <f t="array" ref="Q257">XLOOKUP(L257,'Dados Funil'!A:A,'Dados Funil'!AN:AN,"")</f>
        <v/>
      </c>
      <c r="T257" s="7" t="str">
        <f t="shared" si="4"/>
        <v/>
      </c>
      <c r="U257" s="4" t="str">
        <f t="shared" si="12"/>
        <v/>
      </c>
      <c r="V257" s="4" t="str">
        <f t="array" ref="V257">XLOOKUP(R257,'Dados Funil'!$A:$A,'Dados Funil'!$K:$K,"")</f>
        <v/>
      </c>
      <c r="W257" s="4" t="str">
        <f t="array" ref="W257">XLOOKUP(R257,'Dados Funil'!$A:$A,'Dados Funil'!$L:$L,"")</f>
        <v/>
      </c>
      <c r="X257" s="4"/>
      <c r="Y257" s="4"/>
      <c r="Z257" s="7" t="str">
        <f t="shared" si="5"/>
        <v/>
      </c>
      <c r="AA257" s="4" t="str">
        <f t="shared" si="13"/>
        <v/>
      </c>
      <c r="AB257" s="4" t="str">
        <f t="array" ref="AB257">XLOOKUP(X257,'Dados Funil'!A:A,'Dados Funil'!O:O,"")</f>
        <v/>
      </c>
      <c r="AE257" s="7" t="str">
        <f t="shared" si="6"/>
        <v/>
      </c>
      <c r="AG257" s="4" t="str">
        <f t="array" ref="AG257">XLOOKUP(AC257,'Dados Funil'!A:A,'Dados Funil'!AM:AM,"")</f>
        <v/>
      </c>
      <c r="AH257" s="4" t="str">
        <f t="array" ref="AH257">XLOOKUP(AC257,'Dados Funil'!A:A,'Dados Funil'!AN:AN,"")</f>
        <v/>
      </c>
    </row>
    <row r="258">
      <c r="A258" s="4"/>
      <c r="B258" s="4"/>
      <c r="C258" s="7" t="str">
        <f t="shared" si="1"/>
        <v/>
      </c>
      <c r="D258" s="4" t="str">
        <f t="shared" si="9"/>
        <v/>
      </c>
      <c r="E258" s="4" t="str">
        <f t="array" ref="E258">XLOOKUP(A258,'Dados Funil'!$A:$A,'Dados Funil'!$K:$K,"")</f>
        <v/>
      </c>
      <c r="F258" s="4" t="str">
        <f t="array" ref="F258">XLOOKUP(A258,'Dados Funil'!$A:$A,'Dados Funil'!$L:$L,"")</f>
        <v/>
      </c>
      <c r="G258" s="4"/>
      <c r="H258" s="4"/>
      <c r="I258" s="7" t="str">
        <f t="shared" si="2"/>
        <v/>
      </c>
      <c r="J258" s="4" t="str">
        <f t="shared" si="10"/>
        <v/>
      </c>
      <c r="K258" s="4" t="str">
        <f t="array" ref="K258">XLOOKUP(G258,'Dados Funil'!A:A,'Dados Funil'!O:O,"")</f>
        <v/>
      </c>
      <c r="L258" s="4"/>
      <c r="M258" s="4"/>
      <c r="N258" s="7" t="str">
        <f t="shared" si="3"/>
        <v/>
      </c>
      <c r="O258" s="4" t="str">
        <f t="shared" si="11"/>
        <v/>
      </c>
      <c r="P258" s="4" t="str">
        <f t="array" ref="P258">XLOOKUP(L258,'Dados Funil'!A:A,'Dados Funil'!AM:AM,"")</f>
        <v/>
      </c>
      <c r="Q258" s="4" t="str">
        <f t="array" ref="Q258">XLOOKUP(L258,'Dados Funil'!A:A,'Dados Funil'!AN:AN,"")</f>
        <v/>
      </c>
      <c r="T258" s="7" t="str">
        <f t="shared" si="4"/>
        <v/>
      </c>
      <c r="U258" s="4" t="str">
        <f t="shared" si="12"/>
        <v/>
      </c>
      <c r="V258" s="4" t="str">
        <f t="array" ref="V258">XLOOKUP(R258,'Dados Funil'!$A:$A,'Dados Funil'!$K:$K,"")</f>
        <v/>
      </c>
      <c r="W258" s="4" t="str">
        <f t="array" ref="W258">XLOOKUP(R258,'Dados Funil'!$A:$A,'Dados Funil'!$L:$L,"")</f>
        <v/>
      </c>
      <c r="X258" s="4"/>
      <c r="Y258" s="4"/>
      <c r="Z258" s="7" t="str">
        <f t="shared" si="5"/>
        <v/>
      </c>
      <c r="AA258" s="4" t="str">
        <f t="shared" si="13"/>
        <v/>
      </c>
      <c r="AB258" s="4" t="str">
        <f t="array" ref="AB258">XLOOKUP(X258,'Dados Funil'!A:A,'Dados Funil'!O:O,"")</f>
        <v/>
      </c>
      <c r="AE258" s="7" t="str">
        <f t="shared" si="6"/>
        <v/>
      </c>
      <c r="AG258" s="4" t="str">
        <f t="array" ref="AG258">XLOOKUP(AC258,'Dados Funil'!A:A,'Dados Funil'!AM:AM,"")</f>
        <v/>
      </c>
      <c r="AH258" s="4" t="str">
        <f t="array" ref="AH258">XLOOKUP(AC258,'Dados Funil'!A:A,'Dados Funil'!AN:AN,"")</f>
        <v/>
      </c>
    </row>
    <row r="259">
      <c r="A259" s="4"/>
      <c r="B259" s="4"/>
      <c r="C259" s="7" t="str">
        <f t="shared" si="1"/>
        <v/>
      </c>
      <c r="D259" s="4" t="str">
        <f t="shared" si="9"/>
        <v/>
      </c>
      <c r="E259" s="4" t="str">
        <f t="array" ref="E259">XLOOKUP(A259,'Dados Funil'!$A:$A,'Dados Funil'!$K:$K,"")</f>
        <v/>
      </c>
      <c r="F259" s="4" t="str">
        <f t="array" ref="F259">XLOOKUP(A259,'Dados Funil'!$A:$A,'Dados Funil'!$L:$L,"")</f>
        <v/>
      </c>
      <c r="G259" s="4"/>
      <c r="H259" s="4"/>
      <c r="I259" s="7" t="str">
        <f t="shared" si="2"/>
        <v/>
      </c>
      <c r="J259" s="4" t="str">
        <f t="shared" si="10"/>
        <v/>
      </c>
      <c r="K259" s="4" t="str">
        <f t="array" ref="K259">XLOOKUP(G259,'Dados Funil'!A:A,'Dados Funil'!O:O,"")</f>
        <v/>
      </c>
      <c r="L259" s="4"/>
      <c r="M259" s="4"/>
      <c r="N259" s="7" t="str">
        <f t="shared" si="3"/>
        <v/>
      </c>
      <c r="O259" s="4" t="str">
        <f t="shared" si="11"/>
        <v/>
      </c>
      <c r="P259" s="4" t="str">
        <f t="array" ref="P259">XLOOKUP(L259,'Dados Funil'!A:A,'Dados Funil'!AM:AM,"")</f>
        <v/>
      </c>
      <c r="Q259" s="4" t="str">
        <f t="array" ref="Q259">XLOOKUP(L259,'Dados Funil'!A:A,'Dados Funil'!AN:AN,"")</f>
        <v/>
      </c>
      <c r="T259" s="7" t="str">
        <f t="shared" si="4"/>
        <v/>
      </c>
      <c r="U259" s="4" t="str">
        <f t="shared" si="12"/>
        <v/>
      </c>
      <c r="V259" s="4" t="str">
        <f t="array" ref="V259">XLOOKUP(R259,'Dados Funil'!$A:$A,'Dados Funil'!$K:$K,"")</f>
        <v/>
      </c>
      <c r="W259" s="4" t="str">
        <f t="array" ref="W259">XLOOKUP(R259,'Dados Funil'!$A:$A,'Dados Funil'!$L:$L,"")</f>
        <v/>
      </c>
      <c r="X259" s="4"/>
      <c r="Y259" s="4"/>
      <c r="Z259" s="7" t="str">
        <f t="shared" si="5"/>
        <v/>
      </c>
      <c r="AA259" s="4" t="str">
        <f t="shared" si="13"/>
        <v/>
      </c>
      <c r="AB259" s="4" t="str">
        <f t="array" ref="AB259">XLOOKUP(X259,'Dados Funil'!A:A,'Dados Funil'!O:O,"")</f>
        <v/>
      </c>
      <c r="AE259" s="7" t="str">
        <f t="shared" si="6"/>
        <v/>
      </c>
      <c r="AG259" s="4" t="str">
        <f t="array" ref="AG259">XLOOKUP(AC259,'Dados Funil'!A:A,'Dados Funil'!AM:AM,"")</f>
        <v/>
      </c>
      <c r="AH259" s="4" t="str">
        <f t="array" ref="AH259">XLOOKUP(AC259,'Dados Funil'!A:A,'Dados Funil'!AN:AN,"")</f>
        <v/>
      </c>
    </row>
    <row r="260">
      <c r="A260" s="4"/>
      <c r="B260" s="4"/>
      <c r="C260" s="7" t="str">
        <f t="shared" si="1"/>
        <v/>
      </c>
      <c r="D260" s="4" t="str">
        <f t="shared" si="9"/>
        <v/>
      </c>
      <c r="E260" s="4" t="str">
        <f t="array" ref="E260">XLOOKUP(A260,'Dados Funil'!$A:$A,'Dados Funil'!$K:$K,"")</f>
        <v/>
      </c>
      <c r="F260" s="4" t="str">
        <f t="array" ref="F260">XLOOKUP(A260,'Dados Funil'!$A:$A,'Dados Funil'!$L:$L,"")</f>
        <v/>
      </c>
      <c r="G260" s="4"/>
      <c r="H260" s="4"/>
      <c r="I260" s="7" t="str">
        <f t="shared" si="2"/>
        <v/>
      </c>
      <c r="J260" s="4" t="str">
        <f t="shared" si="10"/>
        <v/>
      </c>
      <c r="K260" s="4" t="str">
        <f t="array" ref="K260">XLOOKUP(G260,'Dados Funil'!A:A,'Dados Funil'!O:O,"")</f>
        <v/>
      </c>
      <c r="L260" s="4"/>
      <c r="M260" s="4"/>
      <c r="N260" s="7" t="str">
        <f t="shared" si="3"/>
        <v/>
      </c>
      <c r="O260" s="4" t="str">
        <f t="shared" si="11"/>
        <v/>
      </c>
      <c r="P260" s="4" t="str">
        <f t="array" ref="P260">XLOOKUP(L260,'Dados Funil'!A:A,'Dados Funil'!AM:AM,"")</f>
        <v/>
      </c>
      <c r="Q260" s="4" t="str">
        <f t="array" ref="Q260">XLOOKUP(L260,'Dados Funil'!A:A,'Dados Funil'!AN:AN,"")</f>
        <v/>
      </c>
      <c r="T260" s="7" t="str">
        <f t="shared" si="4"/>
        <v/>
      </c>
      <c r="U260" s="4" t="str">
        <f t="shared" si="12"/>
        <v/>
      </c>
      <c r="V260" s="4" t="str">
        <f t="array" ref="V260">XLOOKUP(R260,'Dados Funil'!$A:$A,'Dados Funil'!$K:$K,"")</f>
        <v/>
      </c>
      <c r="W260" s="4" t="str">
        <f t="array" ref="W260">XLOOKUP(R260,'Dados Funil'!$A:$A,'Dados Funil'!$L:$L,"")</f>
        <v/>
      </c>
      <c r="X260" s="4"/>
      <c r="Y260" s="4"/>
      <c r="Z260" s="7" t="str">
        <f t="shared" si="5"/>
        <v/>
      </c>
      <c r="AA260" s="4" t="str">
        <f t="shared" si="13"/>
        <v/>
      </c>
      <c r="AB260" s="4" t="str">
        <f t="array" ref="AB260">XLOOKUP(X260,'Dados Funil'!A:A,'Dados Funil'!O:O,"")</f>
        <v/>
      </c>
      <c r="AE260" s="7" t="str">
        <f t="shared" si="6"/>
        <v/>
      </c>
      <c r="AG260" s="4" t="str">
        <f t="array" ref="AG260">XLOOKUP(AC260,'Dados Funil'!A:A,'Dados Funil'!AM:AM,"")</f>
        <v/>
      </c>
      <c r="AH260" s="4" t="str">
        <f t="array" ref="AH260">XLOOKUP(AC260,'Dados Funil'!A:A,'Dados Funil'!AN:AN,"")</f>
        <v/>
      </c>
    </row>
    <row r="261">
      <c r="A261" s="4"/>
      <c r="B261" s="4"/>
      <c r="C261" s="7" t="str">
        <f t="shared" si="1"/>
        <v/>
      </c>
      <c r="D261" s="4" t="str">
        <f t="shared" si="9"/>
        <v/>
      </c>
      <c r="E261" s="4" t="str">
        <f t="array" ref="E261">XLOOKUP(A261,'Dados Funil'!$A:$A,'Dados Funil'!$K:$K,"")</f>
        <v/>
      </c>
      <c r="F261" s="4" t="str">
        <f t="array" ref="F261">XLOOKUP(A261,'Dados Funil'!$A:$A,'Dados Funil'!$L:$L,"")</f>
        <v/>
      </c>
      <c r="G261" s="4"/>
      <c r="H261" s="4"/>
      <c r="I261" s="7" t="str">
        <f t="shared" si="2"/>
        <v/>
      </c>
      <c r="J261" s="4" t="str">
        <f t="shared" si="10"/>
        <v/>
      </c>
      <c r="K261" s="4" t="str">
        <f t="array" ref="K261">XLOOKUP(G261,'Dados Funil'!A:A,'Dados Funil'!O:O,"")</f>
        <v/>
      </c>
      <c r="L261" s="4"/>
      <c r="M261" s="4"/>
      <c r="N261" s="7" t="str">
        <f t="shared" si="3"/>
        <v/>
      </c>
      <c r="O261" s="4" t="str">
        <f t="shared" si="11"/>
        <v/>
      </c>
      <c r="P261" s="4" t="str">
        <f t="array" ref="P261">XLOOKUP(L261,'Dados Funil'!A:A,'Dados Funil'!AM:AM,"")</f>
        <v/>
      </c>
      <c r="Q261" s="4" t="str">
        <f t="array" ref="Q261">XLOOKUP(L261,'Dados Funil'!A:A,'Dados Funil'!AN:AN,"")</f>
        <v/>
      </c>
      <c r="T261" s="7" t="str">
        <f t="shared" si="4"/>
        <v/>
      </c>
      <c r="U261" s="4" t="str">
        <f t="shared" si="12"/>
        <v/>
      </c>
      <c r="V261" s="4" t="str">
        <f t="array" ref="V261">XLOOKUP(R261,'Dados Funil'!$A:$A,'Dados Funil'!$K:$K,"")</f>
        <v/>
      </c>
      <c r="W261" s="4" t="str">
        <f t="array" ref="W261">XLOOKUP(R261,'Dados Funil'!$A:$A,'Dados Funil'!$L:$L,"")</f>
        <v/>
      </c>
      <c r="X261" s="4"/>
      <c r="Y261" s="4"/>
      <c r="Z261" s="7" t="str">
        <f t="shared" si="5"/>
        <v/>
      </c>
      <c r="AA261" s="4" t="str">
        <f t="shared" si="13"/>
        <v/>
      </c>
      <c r="AB261" s="4" t="str">
        <f t="array" ref="AB261">XLOOKUP(X261,'Dados Funil'!A:A,'Dados Funil'!O:O,"")</f>
        <v/>
      </c>
      <c r="AE261" s="7" t="str">
        <f t="shared" si="6"/>
        <v/>
      </c>
      <c r="AG261" s="4" t="str">
        <f t="array" ref="AG261">XLOOKUP(AC261,'Dados Funil'!A:A,'Dados Funil'!AM:AM,"")</f>
        <v/>
      </c>
      <c r="AH261" s="4" t="str">
        <f t="array" ref="AH261">XLOOKUP(AC261,'Dados Funil'!A:A,'Dados Funil'!AN:AN,"")</f>
        <v/>
      </c>
    </row>
    <row r="262">
      <c r="A262" s="4"/>
      <c r="B262" s="4"/>
      <c r="C262" s="7" t="str">
        <f t="shared" si="1"/>
        <v/>
      </c>
      <c r="D262" s="4" t="str">
        <f t="shared" si="9"/>
        <v/>
      </c>
      <c r="E262" s="4" t="str">
        <f t="array" ref="E262">XLOOKUP(A262,'Dados Funil'!$A:$A,'Dados Funil'!$K:$K,"")</f>
        <v/>
      </c>
      <c r="F262" s="4" t="str">
        <f t="array" ref="F262">XLOOKUP(A262,'Dados Funil'!$A:$A,'Dados Funil'!$L:$L,"")</f>
        <v/>
      </c>
      <c r="G262" s="4"/>
      <c r="H262" s="4"/>
      <c r="I262" s="7" t="str">
        <f t="shared" si="2"/>
        <v/>
      </c>
      <c r="J262" s="4" t="str">
        <f t="shared" si="10"/>
        <v/>
      </c>
      <c r="K262" s="4" t="str">
        <f t="array" ref="K262">XLOOKUP(G262,'Dados Funil'!A:A,'Dados Funil'!O:O,"")</f>
        <v/>
      </c>
      <c r="L262" s="4"/>
      <c r="M262" s="4"/>
      <c r="N262" s="7" t="str">
        <f t="shared" si="3"/>
        <v/>
      </c>
      <c r="O262" s="4" t="str">
        <f t="shared" si="11"/>
        <v/>
      </c>
      <c r="P262" s="4" t="str">
        <f t="array" ref="P262">XLOOKUP(L262,'Dados Funil'!A:A,'Dados Funil'!AM:AM,"")</f>
        <v/>
      </c>
      <c r="Q262" s="4" t="str">
        <f t="array" ref="Q262">XLOOKUP(L262,'Dados Funil'!A:A,'Dados Funil'!AN:AN,"")</f>
        <v/>
      </c>
      <c r="T262" s="7" t="str">
        <f t="shared" si="4"/>
        <v/>
      </c>
      <c r="U262" s="4" t="str">
        <f t="shared" si="12"/>
        <v/>
      </c>
      <c r="V262" s="4" t="str">
        <f t="array" ref="V262">XLOOKUP(R262,'Dados Funil'!$A:$A,'Dados Funil'!$K:$K,"")</f>
        <v/>
      </c>
      <c r="W262" s="4" t="str">
        <f t="array" ref="W262">XLOOKUP(R262,'Dados Funil'!$A:$A,'Dados Funil'!$L:$L,"")</f>
        <v/>
      </c>
      <c r="X262" s="4"/>
      <c r="Y262" s="4"/>
      <c r="Z262" s="7" t="str">
        <f t="shared" si="5"/>
        <v/>
      </c>
      <c r="AA262" s="4" t="str">
        <f t="shared" si="13"/>
        <v/>
      </c>
      <c r="AB262" s="4" t="str">
        <f t="array" ref="AB262">XLOOKUP(X262,'Dados Funil'!A:A,'Dados Funil'!O:O,"")</f>
        <v/>
      </c>
      <c r="AE262" s="7" t="str">
        <f t="shared" si="6"/>
        <v/>
      </c>
      <c r="AG262" s="4" t="str">
        <f t="array" ref="AG262">XLOOKUP(AC262,'Dados Funil'!A:A,'Dados Funil'!AM:AM,"")</f>
        <v/>
      </c>
      <c r="AH262" s="4" t="str">
        <f t="array" ref="AH262">XLOOKUP(AC262,'Dados Funil'!A:A,'Dados Funil'!AN:AN,"")</f>
        <v/>
      </c>
    </row>
    <row r="263">
      <c r="A263" s="4"/>
      <c r="B263" s="4"/>
      <c r="C263" s="7" t="str">
        <f t="shared" si="1"/>
        <v/>
      </c>
      <c r="D263" s="4" t="str">
        <f t="shared" si="9"/>
        <v/>
      </c>
      <c r="E263" s="4" t="str">
        <f t="array" ref="E263">XLOOKUP(A263,'Dados Funil'!$A:$A,'Dados Funil'!$K:$K,"")</f>
        <v/>
      </c>
      <c r="F263" s="4" t="str">
        <f t="array" ref="F263">XLOOKUP(A263,'Dados Funil'!$A:$A,'Dados Funil'!$L:$L,"")</f>
        <v/>
      </c>
      <c r="G263" s="4"/>
      <c r="H263" s="4"/>
      <c r="I263" s="7" t="str">
        <f t="shared" si="2"/>
        <v/>
      </c>
      <c r="J263" s="4" t="str">
        <f t="shared" si="10"/>
        <v/>
      </c>
      <c r="K263" s="4" t="str">
        <f t="array" ref="K263">XLOOKUP(G263,'Dados Funil'!A:A,'Dados Funil'!O:O,"")</f>
        <v/>
      </c>
      <c r="L263" s="4"/>
      <c r="M263" s="4"/>
      <c r="N263" s="7" t="str">
        <f t="shared" si="3"/>
        <v/>
      </c>
      <c r="O263" s="4" t="str">
        <f t="shared" si="11"/>
        <v/>
      </c>
      <c r="P263" s="4" t="str">
        <f t="array" ref="P263">XLOOKUP(L263,'Dados Funil'!A:A,'Dados Funil'!AM:AM,"")</f>
        <v/>
      </c>
      <c r="Q263" s="4" t="str">
        <f t="array" ref="Q263">XLOOKUP(L263,'Dados Funil'!A:A,'Dados Funil'!AN:AN,"")</f>
        <v/>
      </c>
      <c r="T263" s="7" t="str">
        <f t="shared" si="4"/>
        <v/>
      </c>
      <c r="U263" s="4" t="str">
        <f t="shared" si="12"/>
        <v/>
      </c>
      <c r="V263" s="4" t="str">
        <f t="array" ref="V263">XLOOKUP(R263,'Dados Funil'!$A:$A,'Dados Funil'!$K:$K,"")</f>
        <v/>
      </c>
      <c r="W263" s="4" t="str">
        <f t="array" ref="W263">XLOOKUP(R263,'Dados Funil'!$A:$A,'Dados Funil'!$L:$L,"")</f>
        <v/>
      </c>
      <c r="X263" s="4"/>
      <c r="Y263" s="4"/>
      <c r="Z263" s="7" t="str">
        <f t="shared" si="5"/>
        <v/>
      </c>
      <c r="AA263" s="4" t="str">
        <f t="shared" si="13"/>
        <v/>
      </c>
      <c r="AB263" s="4" t="str">
        <f t="array" ref="AB263">XLOOKUP(X263,'Dados Funil'!A:A,'Dados Funil'!O:O,"")</f>
        <v/>
      </c>
      <c r="AE263" s="7" t="str">
        <f t="shared" si="6"/>
        <v/>
      </c>
      <c r="AG263" s="4" t="str">
        <f t="array" ref="AG263">XLOOKUP(AC263,'Dados Funil'!A:A,'Dados Funil'!AM:AM,"")</f>
        <v/>
      </c>
      <c r="AH263" s="4" t="str">
        <f t="array" ref="AH263">XLOOKUP(AC263,'Dados Funil'!A:A,'Dados Funil'!AN:AN,"")</f>
        <v/>
      </c>
    </row>
    <row r="264">
      <c r="A264" s="4"/>
      <c r="B264" s="4"/>
      <c r="C264" s="7" t="str">
        <f t="shared" si="1"/>
        <v/>
      </c>
      <c r="D264" s="4" t="str">
        <f t="shared" si="9"/>
        <v/>
      </c>
      <c r="E264" s="4" t="str">
        <f t="array" ref="E264">XLOOKUP(A264,'Dados Funil'!$A:$A,'Dados Funil'!$K:$K,"")</f>
        <v/>
      </c>
      <c r="F264" s="4" t="str">
        <f t="array" ref="F264">XLOOKUP(A264,'Dados Funil'!$A:$A,'Dados Funil'!$L:$L,"")</f>
        <v/>
      </c>
      <c r="G264" s="4"/>
      <c r="H264" s="4"/>
      <c r="I264" s="7" t="str">
        <f t="shared" si="2"/>
        <v/>
      </c>
      <c r="J264" s="4" t="str">
        <f t="shared" si="10"/>
        <v/>
      </c>
      <c r="K264" s="4" t="str">
        <f t="array" ref="K264">XLOOKUP(G264,'Dados Funil'!A:A,'Dados Funil'!O:O,"")</f>
        <v/>
      </c>
      <c r="L264" s="4"/>
      <c r="M264" s="4"/>
      <c r="N264" s="7" t="str">
        <f t="shared" si="3"/>
        <v/>
      </c>
      <c r="O264" s="4" t="str">
        <f t="shared" si="11"/>
        <v/>
      </c>
      <c r="P264" s="4" t="str">
        <f t="array" ref="P264">XLOOKUP(L264,'Dados Funil'!A:A,'Dados Funil'!AM:AM,"")</f>
        <v/>
      </c>
      <c r="Q264" s="4" t="str">
        <f t="array" ref="Q264">XLOOKUP(L264,'Dados Funil'!A:A,'Dados Funil'!AN:AN,"")</f>
        <v/>
      </c>
      <c r="T264" s="7" t="str">
        <f t="shared" si="4"/>
        <v/>
      </c>
      <c r="U264" s="4" t="str">
        <f t="shared" si="12"/>
        <v/>
      </c>
      <c r="V264" s="4" t="str">
        <f t="array" ref="V264">XLOOKUP(R264,'Dados Funil'!$A:$A,'Dados Funil'!$K:$K,"")</f>
        <v/>
      </c>
      <c r="W264" s="4" t="str">
        <f t="array" ref="W264">XLOOKUP(R264,'Dados Funil'!$A:$A,'Dados Funil'!$L:$L,"")</f>
        <v/>
      </c>
      <c r="X264" s="4"/>
      <c r="Y264" s="4"/>
      <c r="Z264" s="7" t="str">
        <f t="shared" si="5"/>
        <v/>
      </c>
      <c r="AA264" s="4" t="str">
        <f t="shared" si="13"/>
        <v/>
      </c>
      <c r="AB264" s="4" t="str">
        <f t="array" ref="AB264">XLOOKUP(X264,'Dados Funil'!A:A,'Dados Funil'!O:O,"")</f>
        <v/>
      </c>
      <c r="AE264" s="7" t="str">
        <f t="shared" si="6"/>
        <v/>
      </c>
      <c r="AG264" s="4" t="str">
        <f t="array" ref="AG264">XLOOKUP(AC264,'Dados Funil'!A:A,'Dados Funil'!AM:AM,"")</f>
        <v/>
      </c>
      <c r="AH264" s="4" t="str">
        <f t="array" ref="AH264">XLOOKUP(AC264,'Dados Funil'!A:A,'Dados Funil'!AN:AN,"")</f>
        <v/>
      </c>
    </row>
    <row r="265">
      <c r="A265" s="4"/>
      <c r="B265" s="4"/>
      <c r="C265" s="7" t="str">
        <f t="shared" si="1"/>
        <v/>
      </c>
      <c r="D265" s="4" t="str">
        <f t="shared" si="9"/>
        <v/>
      </c>
      <c r="E265" s="4" t="str">
        <f t="array" ref="E265">XLOOKUP(A265,'Dados Funil'!$A:$A,'Dados Funil'!$K:$K,"")</f>
        <v/>
      </c>
      <c r="F265" s="4" t="str">
        <f t="array" ref="F265">XLOOKUP(A265,'Dados Funil'!$A:$A,'Dados Funil'!$L:$L,"")</f>
        <v/>
      </c>
      <c r="G265" s="4"/>
      <c r="H265" s="4"/>
      <c r="I265" s="7" t="str">
        <f t="shared" si="2"/>
        <v/>
      </c>
      <c r="J265" s="4" t="str">
        <f t="shared" si="10"/>
        <v/>
      </c>
      <c r="K265" s="4" t="str">
        <f t="array" ref="K265">XLOOKUP(G265,'Dados Funil'!A:A,'Dados Funil'!O:O,"")</f>
        <v/>
      </c>
      <c r="L265" s="4"/>
      <c r="M265" s="4"/>
      <c r="N265" s="7" t="str">
        <f t="shared" si="3"/>
        <v/>
      </c>
      <c r="O265" s="4" t="str">
        <f t="shared" si="11"/>
        <v/>
      </c>
      <c r="P265" s="4" t="str">
        <f t="array" ref="P265">XLOOKUP(L265,'Dados Funil'!A:A,'Dados Funil'!AM:AM,"")</f>
        <v/>
      </c>
      <c r="Q265" s="4" t="str">
        <f t="array" ref="Q265">XLOOKUP(L265,'Dados Funil'!A:A,'Dados Funil'!AN:AN,"")</f>
        <v/>
      </c>
      <c r="T265" s="7" t="str">
        <f t="shared" si="4"/>
        <v/>
      </c>
      <c r="U265" s="4" t="str">
        <f t="shared" si="12"/>
        <v/>
      </c>
      <c r="V265" s="4" t="str">
        <f t="array" ref="V265">XLOOKUP(R265,'Dados Funil'!$A:$A,'Dados Funil'!$K:$K,"")</f>
        <v/>
      </c>
      <c r="W265" s="4" t="str">
        <f t="array" ref="W265">XLOOKUP(R265,'Dados Funil'!$A:$A,'Dados Funil'!$L:$L,"")</f>
        <v/>
      </c>
      <c r="X265" s="4"/>
      <c r="Y265" s="4"/>
      <c r="Z265" s="7" t="str">
        <f t="shared" si="5"/>
        <v/>
      </c>
      <c r="AA265" s="4" t="str">
        <f t="shared" si="13"/>
        <v/>
      </c>
      <c r="AB265" s="4" t="str">
        <f t="array" ref="AB265">XLOOKUP(X265,'Dados Funil'!A:A,'Dados Funil'!O:O,"")</f>
        <v/>
      </c>
      <c r="AE265" s="7" t="str">
        <f t="shared" si="6"/>
        <v/>
      </c>
      <c r="AG265" s="4" t="str">
        <f t="array" ref="AG265">XLOOKUP(AC265,'Dados Funil'!A:A,'Dados Funil'!AM:AM,"")</f>
        <v/>
      </c>
      <c r="AH265" s="4" t="str">
        <f t="array" ref="AH265">XLOOKUP(AC265,'Dados Funil'!A:A,'Dados Funil'!AN:AN,"")</f>
        <v/>
      </c>
    </row>
    <row r="266">
      <c r="A266" s="4"/>
      <c r="B266" s="4"/>
      <c r="C266" s="7" t="str">
        <f t="shared" si="1"/>
        <v/>
      </c>
      <c r="D266" s="4" t="str">
        <f t="shared" si="9"/>
        <v/>
      </c>
      <c r="E266" s="4" t="str">
        <f t="array" ref="E266">XLOOKUP(A266,'Dados Funil'!$A:$A,'Dados Funil'!$K:$K,"")</f>
        <v/>
      </c>
      <c r="F266" s="4" t="str">
        <f t="array" ref="F266">XLOOKUP(A266,'Dados Funil'!$A:$A,'Dados Funil'!$L:$L,"")</f>
        <v/>
      </c>
      <c r="G266" s="4"/>
      <c r="H266" s="4"/>
      <c r="I266" s="7" t="str">
        <f t="shared" si="2"/>
        <v/>
      </c>
      <c r="J266" s="4" t="str">
        <f t="shared" si="10"/>
        <v/>
      </c>
      <c r="K266" s="4" t="str">
        <f t="array" ref="K266">XLOOKUP(G266,'Dados Funil'!A:A,'Dados Funil'!O:O,"")</f>
        <v/>
      </c>
      <c r="L266" s="4"/>
      <c r="M266" s="4"/>
      <c r="N266" s="7" t="str">
        <f t="shared" si="3"/>
        <v/>
      </c>
      <c r="O266" s="4" t="str">
        <f t="shared" si="11"/>
        <v/>
      </c>
      <c r="P266" s="4" t="str">
        <f t="array" ref="P266">XLOOKUP(L266,'Dados Funil'!A:A,'Dados Funil'!AM:AM,"")</f>
        <v/>
      </c>
      <c r="Q266" s="4" t="str">
        <f t="array" ref="Q266">XLOOKUP(L266,'Dados Funil'!A:A,'Dados Funil'!AN:AN,"")</f>
        <v/>
      </c>
      <c r="T266" s="7" t="str">
        <f t="shared" si="4"/>
        <v/>
      </c>
      <c r="U266" s="4" t="str">
        <f t="shared" si="12"/>
        <v/>
      </c>
      <c r="V266" s="4" t="str">
        <f t="array" ref="V266">XLOOKUP(R266,'Dados Funil'!$A:$A,'Dados Funil'!$K:$K,"")</f>
        <v/>
      </c>
      <c r="W266" s="4" t="str">
        <f t="array" ref="W266">XLOOKUP(R266,'Dados Funil'!$A:$A,'Dados Funil'!$L:$L,"")</f>
        <v/>
      </c>
      <c r="X266" s="4"/>
      <c r="Y266" s="4"/>
      <c r="Z266" s="7" t="str">
        <f t="shared" si="5"/>
        <v/>
      </c>
      <c r="AA266" s="4" t="str">
        <f t="shared" si="13"/>
        <v/>
      </c>
      <c r="AB266" s="4" t="str">
        <f t="array" ref="AB266">XLOOKUP(X266,'Dados Funil'!A:A,'Dados Funil'!O:O,"")</f>
        <v/>
      </c>
      <c r="AE266" s="7" t="str">
        <f t="shared" si="6"/>
        <v/>
      </c>
      <c r="AG266" s="4" t="str">
        <f t="array" ref="AG266">XLOOKUP(AC266,'Dados Funil'!A:A,'Dados Funil'!AM:AM,"")</f>
        <v/>
      </c>
      <c r="AH266" s="4" t="str">
        <f t="array" ref="AH266">XLOOKUP(AC266,'Dados Funil'!A:A,'Dados Funil'!AN:AN,"")</f>
        <v/>
      </c>
    </row>
    <row r="267">
      <c r="A267" s="4"/>
      <c r="B267" s="4"/>
      <c r="C267" s="7" t="str">
        <f t="shared" si="1"/>
        <v/>
      </c>
      <c r="D267" s="4" t="str">
        <f t="shared" si="9"/>
        <v/>
      </c>
      <c r="E267" s="4" t="str">
        <f t="array" ref="E267">XLOOKUP(A267,'Dados Funil'!$A:$A,'Dados Funil'!$K:$K,"")</f>
        <v/>
      </c>
      <c r="F267" s="4" t="str">
        <f t="array" ref="F267">XLOOKUP(A267,'Dados Funil'!$A:$A,'Dados Funil'!$L:$L,"")</f>
        <v/>
      </c>
      <c r="G267" s="4"/>
      <c r="H267" s="4"/>
      <c r="I267" s="7" t="str">
        <f t="shared" si="2"/>
        <v/>
      </c>
      <c r="J267" s="4" t="str">
        <f t="shared" si="10"/>
        <v/>
      </c>
      <c r="K267" s="4" t="str">
        <f t="array" ref="K267">XLOOKUP(G267,'Dados Funil'!A:A,'Dados Funil'!O:O,"")</f>
        <v/>
      </c>
      <c r="L267" s="4"/>
      <c r="M267" s="4"/>
      <c r="N267" s="7" t="str">
        <f t="shared" si="3"/>
        <v/>
      </c>
      <c r="O267" s="4" t="str">
        <f t="shared" si="11"/>
        <v/>
      </c>
      <c r="P267" s="4" t="str">
        <f t="array" ref="P267">XLOOKUP(L267,'Dados Funil'!A:A,'Dados Funil'!AM:AM,"")</f>
        <v/>
      </c>
      <c r="Q267" s="4" t="str">
        <f t="array" ref="Q267">XLOOKUP(L267,'Dados Funil'!A:A,'Dados Funil'!AN:AN,"")</f>
        <v/>
      </c>
      <c r="T267" s="7" t="str">
        <f t="shared" si="4"/>
        <v/>
      </c>
      <c r="U267" s="4" t="str">
        <f t="shared" si="12"/>
        <v/>
      </c>
      <c r="V267" s="4" t="str">
        <f t="array" ref="V267">XLOOKUP(R267,'Dados Funil'!$A:$A,'Dados Funil'!$K:$K,"")</f>
        <v/>
      </c>
      <c r="W267" s="4" t="str">
        <f t="array" ref="W267">XLOOKUP(R267,'Dados Funil'!$A:$A,'Dados Funil'!$L:$L,"")</f>
        <v/>
      </c>
      <c r="X267" s="4"/>
      <c r="Y267" s="4"/>
      <c r="Z267" s="7" t="str">
        <f t="shared" si="5"/>
        <v/>
      </c>
      <c r="AA267" s="4" t="str">
        <f t="shared" si="13"/>
        <v/>
      </c>
      <c r="AB267" s="4" t="str">
        <f t="array" ref="AB267">XLOOKUP(X267,'Dados Funil'!A:A,'Dados Funil'!O:O,"")</f>
        <v/>
      </c>
      <c r="AE267" s="7" t="str">
        <f t="shared" si="6"/>
        <v/>
      </c>
      <c r="AG267" s="4" t="str">
        <f t="array" ref="AG267">XLOOKUP(AC267,'Dados Funil'!A:A,'Dados Funil'!AM:AM,"")</f>
        <v/>
      </c>
      <c r="AH267" s="4" t="str">
        <f t="array" ref="AH267">XLOOKUP(AC267,'Dados Funil'!A:A,'Dados Funil'!AN:AN,"")</f>
        <v/>
      </c>
    </row>
    <row r="268">
      <c r="A268" s="4"/>
      <c r="B268" s="4"/>
      <c r="C268" s="7" t="str">
        <f t="shared" si="1"/>
        <v/>
      </c>
      <c r="D268" s="4" t="str">
        <f t="shared" si="9"/>
        <v/>
      </c>
      <c r="E268" s="4" t="str">
        <f t="array" ref="E268">XLOOKUP(A268,'Dados Funil'!$A:$A,'Dados Funil'!$K:$K,"")</f>
        <v/>
      </c>
      <c r="F268" s="4" t="str">
        <f t="array" ref="F268">XLOOKUP(A268,'Dados Funil'!$A:$A,'Dados Funil'!$L:$L,"")</f>
        <v/>
      </c>
      <c r="G268" s="4"/>
      <c r="H268" s="4"/>
      <c r="I268" s="7" t="str">
        <f t="shared" si="2"/>
        <v/>
      </c>
      <c r="J268" s="4" t="str">
        <f t="shared" si="10"/>
        <v/>
      </c>
      <c r="K268" s="4" t="str">
        <f t="array" ref="K268">XLOOKUP(G268,'Dados Funil'!A:A,'Dados Funil'!O:O,"")</f>
        <v/>
      </c>
      <c r="L268" s="4"/>
      <c r="M268" s="4"/>
      <c r="N268" s="7" t="str">
        <f t="shared" si="3"/>
        <v/>
      </c>
      <c r="O268" s="4" t="str">
        <f t="shared" si="11"/>
        <v/>
      </c>
      <c r="P268" s="4" t="str">
        <f t="array" ref="P268">XLOOKUP(L268,'Dados Funil'!A:A,'Dados Funil'!AM:AM,"")</f>
        <v/>
      </c>
      <c r="Q268" s="4" t="str">
        <f t="array" ref="Q268">XLOOKUP(L268,'Dados Funil'!A:A,'Dados Funil'!AN:AN,"")</f>
        <v/>
      </c>
      <c r="T268" s="7" t="str">
        <f t="shared" si="4"/>
        <v/>
      </c>
      <c r="U268" s="4" t="str">
        <f t="shared" si="12"/>
        <v/>
      </c>
      <c r="V268" s="4" t="str">
        <f t="array" ref="V268">XLOOKUP(R268,'Dados Funil'!$A:$A,'Dados Funil'!$K:$K,"")</f>
        <v/>
      </c>
      <c r="W268" s="4" t="str">
        <f t="array" ref="W268">XLOOKUP(R268,'Dados Funil'!$A:$A,'Dados Funil'!$L:$L,"")</f>
        <v/>
      </c>
      <c r="X268" s="4"/>
      <c r="Y268" s="4"/>
      <c r="Z268" s="7" t="str">
        <f t="shared" si="5"/>
        <v/>
      </c>
      <c r="AA268" s="4" t="str">
        <f t="shared" si="13"/>
        <v/>
      </c>
      <c r="AB268" s="4" t="str">
        <f t="array" ref="AB268">XLOOKUP(X268,'Dados Funil'!A:A,'Dados Funil'!O:O,"")</f>
        <v/>
      </c>
      <c r="AE268" s="7" t="str">
        <f t="shared" si="6"/>
        <v/>
      </c>
      <c r="AG268" s="4" t="str">
        <f t="array" ref="AG268">XLOOKUP(AC268,'Dados Funil'!A:A,'Dados Funil'!AM:AM,"")</f>
        <v/>
      </c>
      <c r="AH268" s="4" t="str">
        <f t="array" ref="AH268">XLOOKUP(AC268,'Dados Funil'!A:A,'Dados Funil'!AN:AN,"")</f>
        <v/>
      </c>
    </row>
    <row r="269">
      <c r="A269" s="4"/>
      <c r="B269" s="4"/>
      <c r="C269" s="7" t="str">
        <f t="shared" si="1"/>
        <v/>
      </c>
      <c r="D269" s="4" t="str">
        <f t="shared" si="9"/>
        <v/>
      </c>
      <c r="E269" s="4" t="str">
        <f t="array" ref="E269">XLOOKUP(A269,'Dados Funil'!$A:$A,'Dados Funil'!$K:$K,"")</f>
        <v/>
      </c>
      <c r="F269" s="4" t="str">
        <f t="array" ref="F269">XLOOKUP(A269,'Dados Funil'!$A:$A,'Dados Funil'!$L:$L,"")</f>
        <v/>
      </c>
      <c r="G269" s="4"/>
      <c r="H269" s="4"/>
      <c r="I269" s="7" t="str">
        <f t="shared" si="2"/>
        <v/>
      </c>
      <c r="J269" s="4" t="str">
        <f t="shared" si="10"/>
        <v/>
      </c>
      <c r="K269" s="4" t="str">
        <f t="array" ref="K269">XLOOKUP(G269,'Dados Funil'!A:A,'Dados Funil'!O:O,"")</f>
        <v/>
      </c>
      <c r="L269" s="4"/>
      <c r="M269" s="4"/>
      <c r="N269" s="7" t="str">
        <f t="shared" si="3"/>
        <v/>
      </c>
      <c r="O269" s="4" t="str">
        <f t="shared" si="11"/>
        <v/>
      </c>
      <c r="P269" s="4" t="str">
        <f t="array" ref="P269">XLOOKUP(L269,'Dados Funil'!A:A,'Dados Funil'!AM:AM,"")</f>
        <v/>
      </c>
      <c r="Q269" s="4" t="str">
        <f t="array" ref="Q269">XLOOKUP(L269,'Dados Funil'!A:A,'Dados Funil'!AN:AN,"")</f>
        <v/>
      </c>
      <c r="T269" s="7" t="str">
        <f t="shared" si="4"/>
        <v/>
      </c>
      <c r="U269" s="4" t="str">
        <f t="shared" si="12"/>
        <v/>
      </c>
      <c r="V269" s="4" t="str">
        <f t="array" ref="V269">XLOOKUP(R269,'Dados Funil'!$A:$A,'Dados Funil'!$K:$K,"")</f>
        <v/>
      </c>
      <c r="W269" s="4" t="str">
        <f t="array" ref="W269">XLOOKUP(R269,'Dados Funil'!$A:$A,'Dados Funil'!$L:$L,"")</f>
        <v/>
      </c>
      <c r="X269" s="4"/>
      <c r="Y269" s="4"/>
      <c r="Z269" s="7" t="str">
        <f t="shared" si="5"/>
        <v/>
      </c>
      <c r="AA269" s="4" t="str">
        <f t="shared" si="13"/>
        <v/>
      </c>
      <c r="AB269" s="4" t="str">
        <f t="array" ref="AB269">XLOOKUP(X269,'Dados Funil'!A:A,'Dados Funil'!O:O,"")</f>
        <v/>
      </c>
      <c r="AE269" s="7" t="str">
        <f t="shared" si="6"/>
        <v/>
      </c>
      <c r="AG269" s="4" t="str">
        <f t="array" ref="AG269">XLOOKUP(AC269,'Dados Funil'!A:A,'Dados Funil'!AM:AM,"")</f>
        <v/>
      </c>
      <c r="AH269" s="4" t="str">
        <f t="array" ref="AH269">XLOOKUP(AC269,'Dados Funil'!A:A,'Dados Funil'!AN:AN,"")</f>
        <v/>
      </c>
    </row>
    <row r="270">
      <c r="A270" s="4"/>
      <c r="B270" s="4"/>
      <c r="C270" s="7" t="str">
        <f t="shared" si="1"/>
        <v/>
      </c>
      <c r="D270" s="4" t="str">
        <f t="shared" si="9"/>
        <v/>
      </c>
      <c r="E270" s="4" t="str">
        <f t="array" ref="E270">XLOOKUP(A270,'Dados Funil'!$A:$A,'Dados Funil'!$K:$K,"")</f>
        <v/>
      </c>
      <c r="F270" s="4" t="str">
        <f t="array" ref="F270">XLOOKUP(A270,'Dados Funil'!$A:$A,'Dados Funil'!$L:$L,"")</f>
        <v/>
      </c>
      <c r="G270" s="4"/>
      <c r="H270" s="4"/>
      <c r="I270" s="7" t="str">
        <f t="shared" si="2"/>
        <v/>
      </c>
      <c r="J270" s="4" t="str">
        <f t="shared" si="10"/>
        <v/>
      </c>
      <c r="K270" s="4" t="str">
        <f t="array" ref="K270">XLOOKUP(G270,'Dados Funil'!A:A,'Dados Funil'!O:O,"")</f>
        <v/>
      </c>
      <c r="L270" s="4"/>
      <c r="M270" s="4"/>
      <c r="N270" s="7" t="str">
        <f t="shared" si="3"/>
        <v/>
      </c>
      <c r="O270" s="4" t="str">
        <f t="shared" si="11"/>
        <v/>
      </c>
      <c r="P270" s="4" t="str">
        <f t="array" ref="P270">XLOOKUP(L270,'Dados Funil'!A:A,'Dados Funil'!AM:AM,"")</f>
        <v/>
      </c>
      <c r="Q270" s="4" t="str">
        <f t="array" ref="Q270">XLOOKUP(L270,'Dados Funil'!A:A,'Dados Funil'!AN:AN,"")</f>
        <v/>
      </c>
      <c r="T270" s="7" t="str">
        <f t="shared" si="4"/>
        <v/>
      </c>
      <c r="U270" s="4" t="str">
        <f t="shared" si="12"/>
        <v/>
      </c>
      <c r="V270" s="4" t="str">
        <f t="array" ref="V270">XLOOKUP(R270,'Dados Funil'!$A:$A,'Dados Funil'!$K:$K,"")</f>
        <v/>
      </c>
      <c r="W270" s="4" t="str">
        <f t="array" ref="W270">XLOOKUP(R270,'Dados Funil'!$A:$A,'Dados Funil'!$L:$L,"")</f>
        <v/>
      </c>
      <c r="X270" s="4"/>
      <c r="Y270" s="4"/>
      <c r="Z270" s="7" t="str">
        <f t="shared" si="5"/>
        <v/>
      </c>
      <c r="AA270" s="4" t="str">
        <f t="shared" si="13"/>
        <v/>
      </c>
      <c r="AB270" s="4" t="str">
        <f t="array" ref="AB270">XLOOKUP(X270,'Dados Funil'!A:A,'Dados Funil'!O:O,"")</f>
        <v/>
      </c>
      <c r="AE270" s="7" t="str">
        <f t="shared" si="6"/>
        <v/>
      </c>
      <c r="AG270" s="4" t="str">
        <f t="array" ref="AG270">XLOOKUP(AC270,'Dados Funil'!A:A,'Dados Funil'!AM:AM,"")</f>
        <v/>
      </c>
      <c r="AH270" s="4" t="str">
        <f t="array" ref="AH270">XLOOKUP(AC270,'Dados Funil'!A:A,'Dados Funil'!AN:AN,"")</f>
        <v/>
      </c>
    </row>
    <row r="271">
      <c r="A271" s="4"/>
      <c r="B271" s="4"/>
      <c r="C271" s="7" t="str">
        <f t="shared" si="1"/>
        <v/>
      </c>
      <c r="D271" s="4" t="str">
        <f t="shared" si="9"/>
        <v/>
      </c>
      <c r="E271" s="4" t="str">
        <f t="array" ref="E271">XLOOKUP(A271,'Dados Funil'!$A:$A,'Dados Funil'!$K:$K,"")</f>
        <v/>
      </c>
      <c r="F271" s="4" t="str">
        <f t="array" ref="F271">XLOOKUP(A271,'Dados Funil'!$A:$A,'Dados Funil'!$L:$L,"")</f>
        <v/>
      </c>
      <c r="G271" s="4"/>
      <c r="H271" s="4"/>
      <c r="I271" s="7" t="str">
        <f t="shared" si="2"/>
        <v/>
      </c>
      <c r="J271" s="4" t="str">
        <f t="shared" si="10"/>
        <v/>
      </c>
      <c r="K271" s="4" t="str">
        <f t="array" ref="K271">XLOOKUP(G271,'Dados Funil'!A:A,'Dados Funil'!O:O,"")</f>
        <v/>
      </c>
      <c r="L271" s="4"/>
      <c r="M271" s="4"/>
      <c r="N271" s="7" t="str">
        <f t="shared" si="3"/>
        <v/>
      </c>
      <c r="O271" s="4" t="str">
        <f t="shared" si="11"/>
        <v/>
      </c>
      <c r="P271" s="4" t="str">
        <f t="array" ref="P271">XLOOKUP(L271,'Dados Funil'!A:A,'Dados Funil'!AM:AM,"")</f>
        <v/>
      </c>
      <c r="Q271" s="4" t="str">
        <f t="array" ref="Q271">XLOOKUP(L271,'Dados Funil'!A:A,'Dados Funil'!AN:AN,"")</f>
        <v/>
      </c>
      <c r="T271" s="7" t="str">
        <f t="shared" si="4"/>
        <v/>
      </c>
      <c r="U271" s="4" t="str">
        <f t="shared" si="12"/>
        <v/>
      </c>
      <c r="V271" s="4" t="str">
        <f t="array" ref="V271">XLOOKUP(R271,'Dados Funil'!$A:$A,'Dados Funil'!$K:$K,"")</f>
        <v/>
      </c>
      <c r="W271" s="4" t="str">
        <f t="array" ref="W271">XLOOKUP(R271,'Dados Funil'!$A:$A,'Dados Funil'!$L:$L,"")</f>
        <v/>
      </c>
      <c r="X271" s="4"/>
      <c r="Y271" s="4"/>
      <c r="Z271" s="7" t="str">
        <f t="shared" si="5"/>
        <v/>
      </c>
      <c r="AA271" s="4" t="str">
        <f t="shared" si="13"/>
        <v/>
      </c>
      <c r="AB271" s="4" t="str">
        <f t="array" ref="AB271">XLOOKUP(X271,'Dados Funil'!A:A,'Dados Funil'!O:O,"")</f>
        <v/>
      </c>
      <c r="AE271" s="7" t="str">
        <f t="shared" si="6"/>
        <v/>
      </c>
      <c r="AG271" s="4" t="str">
        <f t="array" ref="AG271">XLOOKUP(AC271,'Dados Funil'!A:A,'Dados Funil'!AM:AM,"")</f>
        <v/>
      </c>
      <c r="AH271" s="4" t="str">
        <f t="array" ref="AH271">XLOOKUP(AC271,'Dados Funil'!A:A,'Dados Funil'!AN:AN,"")</f>
        <v/>
      </c>
    </row>
    <row r="272">
      <c r="A272" s="4"/>
      <c r="B272" s="4"/>
      <c r="C272" s="7" t="str">
        <f t="shared" si="1"/>
        <v/>
      </c>
      <c r="D272" s="4" t="str">
        <f t="shared" si="9"/>
        <v/>
      </c>
      <c r="E272" s="4" t="str">
        <f t="array" ref="E272">XLOOKUP(A272,'Dados Funil'!$A:$A,'Dados Funil'!$K:$K,"")</f>
        <v/>
      </c>
      <c r="F272" s="4" t="str">
        <f t="array" ref="F272">XLOOKUP(A272,'Dados Funil'!$A:$A,'Dados Funil'!$L:$L,"")</f>
        <v/>
      </c>
      <c r="G272" s="4"/>
      <c r="H272" s="4"/>
      <c r="I272" s="7" t="str">
        <f t="shared" si="2"/>
        <v/>
      </c>
      <c r="J272" s="4" t="str">
        <f t="shared" si="10"/>
        <v/>
      </c>
      <c r="K272" s="4" t="str">
        <f t="array" ref="K272">XLOOKUP(G272,'Dados Funil'!A:A,'Dados Funil'!O:O,"")</f>
        <v/>
      </c>
      <c r="L272" s="4"/>
      <c r="M272" s="4"/>
      <c r="N272" s="7" t="str">
        <f t="shared" si="3"/>
        <v/>
      </c>
      <c r="O272" s="4" t="str">
        <f t="shared" si="11"/>
        <v/>
      </c>
      <c r="P272" s="4" t="str">
        <f t="array" ref="P272">XLOOKUP(L272,'Dados Funil'!A:A,'Dados Funil'!AM:AM,"")</f>
        <v/>
      </c>
      <c r="Q272" s="4" t="str">
        <f t="array" ref="Q272">XLOOKUP(L272,'Dados Funil'!A:A,'Dados Funil'!AN:AN,"")</f>
        <v/>
      </c>
      <c r="T272" s="7" t="str">
        <f t="shared" si="4"/>
        <v/>
      </c>
      <c r="U272" s="4" t="str">
        <f t="shared" si="12"/>
        <v/>
      </c>
      <c r="V272" s="4" t="str">
        <f t="array" ref="V272">XLOOKUP(R272,'Dados Funil'!$A:$A,'Dados Funil'!$K:$K,"")</f>
        <v/>
      </c>
      <c r="W272" s="4" t="str">
        <f t="array" ref="W272">XLOOKUP(R272,'Dados Funil'!$A:$A,'Dados Funil'!$L:$L,"")</f>
        <v/>
      </c>
      <c r="X272" s="4"/>
      <c r="Y272" s="4"/>
      <c r="Z272" s="7" t="str">
        <f t="shared" si="5"/>
        <v/>
      </c>
      <c r="AA272" s="4" t="str">
        <f t="shared" si="13"/>
        <v/>
      </c>
      <c r="AB272" s="4" t="str">
        <f t="array" ref="AB272">XLOOKUP(X272,'Dados Funil'!A:A,'Dados Funil'!O:O,"")</f>
        <v/>
      </c>
      <c r="AE272" s="7" t="str">
        <f t="shared" si="6"/>
        <v/>
      </c>
      <c r="AG272" s="4" t="str">
        <f t="array" ref="AG272">XLOOKUP(AC272,'Dados Funil'!A:A,'Dados Funil'!AM:AM,"")</f>
        <v/>
      </c>
      <c r="AH272" s="4" t="str">
        <f t="array" ref="AH272">XLOOKUP(AC272,'Dados Funil'!A:A,'Dados Funil'!AN:AN,"")</f>
        <v/>
      </c>
    </row>
    <row r="273">
      <c r="A273" s="4"/>
      <c r="B273" s="4"/>
      <c r="C273" s="7" t="str">
        <f t="shared" si="1"/>
        <v/>
      </c>
      <c r="D273" s="4" t="str">
        <f t="shared" si="9"/>
        <v/>
      </c>
      <c r="E273" s="4" t="str">
        <f t="array" ref="E273">XLOOKUP(A273,'Dados Funil'!$A:$A,'Dados Funil'!$K:$K,"")</f>
        <v/>
      </c>
      <c r="F273" s="4" t="str">
        <f t="array" ref="F273">XLOOKUP(A273,'Dados Funil'!$A:$A,'Dados Funil'!$L:$L,"")</f>
        <v/>
      </c>
      <c r="G273" s="4"/>
      <c r="H273" s="4"/>
      <c r="I273" s="7" t="str">
        <f t="shared" si="2"/>
        <v/>
      </c>
      <c r="J273" s="4" t="str">
        <f t="shared" si="10"/>
        <v/>
      </c>
      <c r="K273" s="4" t="str">
        <f t="array" ref="K273">XLOOKUP(G273,'Dados Funil'!A:A,'Dados Funil'!O:O,"")</f>
        <v/>
      </c>
      <c r="L273" s="4"/>
      <c r="M273" s="4"/>
      <c r="N273" s="7" t="str">
        <f t="shared" si="3"/>
        <v/>
      </c>
      <c r="O273" s="4" t="str">
        <f t="shared" si="11"/>
        <v/>
      </c>
      <c r="P273" s="4" t="str">
        <f t="array" ref="P273">XLOOKUP(L273,'Dados Funil'!A:A,'Dados Funil'!AM:AM,"")</f>
        <v/>
      </c>
      <c r="Q273" s="4" t="str">
        <f t="array" ref="Q273">XLOOKUP(L273,'Dados Funil'!A:A,'Dados Funil'!AN:AN,"")</f>
        <v/>
      </c>
      <c r="T273" s="7" t="str">
        <f t="shared" si="4"/>
        <v/>
      </c>
      <c r="U273" s="4" t="str">
        <f t="shared" si="12"/>
        <v/>
      </c>
      <c r="V273" s="4" t="str">
        <f t="array" ref="V273">XLOOKUP(R273,'Dados Funil'!$A:$A,'Dados Funil'!$K:$K,"")</f>
        <v/>
      </c>
      <c r="W273" s="4" t="str">
        <f t="array" ref="W273">XLOOKUP(R273,'Dados Funil'!$A:$A,'Dados Funil'!$L:$L,"")</f>
        <v/>
      </c>
      <c r="X273" s="4"/>
      <c r="Y273" s="4"/>
      <c r="Z273" s="7" t="str">
        <f t="shared" si="5"/>
        <v/>
      </c>
      <c r="AA273" s="4" t="str">
        <f t="shared" si="13"/>
        <v/>
      </c>
      <c r="AB273" s="4" t="str">
        <f t="array" ref="AB273">XLOOKUP(X273,'Dados Funil'!A:A,'Dados Funil'!O:O,"")</f>
        <v/>
      </c>
      <c r="AE273" s="7" t="str">
        <f t="shared" si="6"/>
        <v/>
      </c>
      <c r="AG273" s="4" t="str">
        <f t="array" ref="AG273">XLOOKUP(AC273,'Dados Funil'!A:A,'Dados Funil'!AM:AM,"")</f>
        <v/>
      </c>
      <c r="AH273" s="4" t="str">
        <f t="array" ref="AH273">XLOOKUP(AC273,'Dados Funil'!A:A,'Dados Funil'!AN:AN,"")</f>
        <v/>
      </c>
    </row>
    <row r="274">
      <c r="A274" s="4"/>
      <c r="B274" s="4"/>
      <c r="C274" s="7" t="str">
        <f t="shared" si="1"/>
        <v/>
      </c>
      <c r="D274" s="4" t="str">
        <f t="shared" si="9"/>
        <v/>
      </c>
      <c r="E274" s="4" t="str">
        <f t="array" ref="E274">XLOOKUP(A274,'Dados Funil'!$A:$A,'Dados Funil'!$K:$K,"")</f>
        <v/>
      </c>
      <c r="F274" s="4" t="str">
        <f t="array" ref="F274">XLOOKUP(A274,'Dados Funil'!$A:$A,'Dados Funil'!$L:$L,"")</f>
        <v/>
      </c>
      <c r="G274" s="4"/>
      <c r="H274" s="4"/>
      <c r="I274" s="7" t="str">
        <f t="shared" si="2"/>
        <v/>
      </c>
      <c r="J274" s="4" t="str">
        <f t="shared" si="10"/>
        <v/>
      </c>
      <c r="K274" s="4" t="str">
        <f t="array" ref="K274">XLOOKUP(G274,'Dados Funil'!A:A,'Dados Funil'!O:O,"")</f>
        <v/>
      </c>
      <c r="L274" s="4"/>
      <c r="M274" s="4"/>
      <c r="N274" s="7" t="str">
        <f t="shared" si="3"/>
        <v/>
      </c>
      <c r="O274" s="4" t="str">
        <f t="shared" si="11"/>
        <v/>
      </c>
      <c r="P274" s="4" t="str">
        <f t="array" ref="P274">XLOOKUP(L274,'Dados Funil'!A:A,'Dados Funil'!AM:AM,"")</f>
        <v/>
      </c>
      <c r="Q274" s="4" t="str">
        <f t="array" ref="Q274">XLOOKUP(L274,'Dados Funil'!A:A,'Dados Funil'!AN:AN,"")</f>
        <v/>
      </c>
      <c r="T274" s="7" t="str">
        <f t="shared" si="4"/>
        <v/>
      </c>
      <c r="U274" s="4" t="str">
        <f t="shared" si="12"/>
        <v/>
      </c>
      <c r="V274" s="4" t="str">
        <f t="array" ref="V274">XLOOKUP(R274,'Dados Funil'!$A:$A,'Dados Funil'!$K:$K,"")</f>
        <v/>
      </c>
      <c r="W274" s="4" t="str">
        <f t="array" ref="W274">XLOOKUP(R274,'Dados Funil'!$A:$A,'Dados Funil'!$L:$L,"")</f>
        <v/>
      </c>
      <c r="X274" s="4"/>
      <c r="Y274" s="4"/>
      <c r="Z274" s="7" t="str">
        <f t="shared" si="5"/>
        <v/>
      </c>
      <c r="AA274" s="4" t="str">
        <f t="shared" si="13"/>
        <v/>
      </c>
      <c r="AB274" s="4" t="str">
        <f t="array" ref="AB274">XLOOKUP(X274,'Dados Funil'!A:A,'Dados Funil'!O:O,"")</f>
        <v/>
      </c>
      <c r="AE274" s="7" t="str">
        <f t="shared" si="6"/>
        <v/>
      </c>
      <c r="AG274" s="4" t="str">
        <f t="array" ref="AG274">XLOOKUP(AC274,'Dados Funil'!A:A,'Dados Funil'!AM:AM,"")</f>
        <v/>
      </c>
      <c r="AH274" s="4" t="str">
        <f t="array" ref="AH274">XLOOKUP(AC274,'Dados Funil'!A:A,'Dados Funil'!AN:AN,"")</f>
        <v/>
      </c>
    </row>
    <row r="275">
      <c r="A275" s="4"/>
      <c r="B275" s="4"/>
      <c r="C275" s="7" t="str">
        <f t="shared" si="1"/>
        <v/>
      </c>
      <c r="D275" s="4" t="str">
        <f t="shared" si="9"/>
        <v/>
      </c>
      <c r="E275" s="4" t="str">
        <f t="array" ref="E275">XLOOKUP(A275,'Dados Funil'!$A:$A,'Dados Funil'!$K:$K,"")</f>
        <v/>
      </c>
      <c r="F275" s="4" t="str">
        <f t="array" ref="F275">XLOOKUP(A275,'Dados Funil'!$A:$A,'Dados Funil'!$L:$L,"")</f>
        <v/>
      </c>
      <c r="G275" s="4"/>
      <c r="H275" s="4"/>
      <c r="I275" s="7" t="str">
        <f t="shared" si="2"/>
        <v/>
      </c>
      <c r="J275" s="4" t="str">
        <f t="shared" si="10"/>
        <v/>
      </c>
      <c r="K275" s="4" t="str">
        <f t="array" ref="K275">XLOOKUP(G275,'Dados Funil'!A:A,'Dados Funil'!O:O,"")</f>
        <v/>
      </c>
      <c r="L275" s="4"/>
      <c r="M275" s="4"/>
      <c r="N275" s="7" t="str">
        <f t="shared" si="3"/>
        <v/>
      </c>
      <c r="O275" s="4" t="str">
        <f t="shared" si="11"/>
        <v/>
      </c>
      <c r="P275" s="4" t="str">
        <f t="array" ref="P275">XLOOKUP(L275,'Dados Funil'!A:A,'Dados Funil'!AM:AM,"")</f>
        <v/>
      </c>
      <c r="Q275" s="4" t="str">
        <f t="array" ref="Q275">XLOOKUP(L275,'Dados Funil'!A:A,'Dados Funil'!AN:AN,"")</f>
        <v/>
      </c>
      <c r="T275" s="7" t="str">
        <f t="shared" si="4"/>
        <v/>
      </c>
      <c r="U275" s="4" t="str">
        <f t="shared" si="12"/>
        <v/>
      </c>
      <c r="V275" s="4" t="str">
        <f t="array" ref="V275">XLOOKUP(R275,'Dados Funil'!$A:$A,'Dados Funil'!$K:$K,"")</f>
        <v/>
      </c>
      <c r="W275" s="4" t="str">
        <f t="array" ref="W275">XLOOKUP(R275,'Dados Funil'!$A:$A,'Dados Funil'!$L:$L,"")</f>
        <v/>
      </c>
      <c r="X275" s="4"/>
      <c r="Y275" s="4"/>
      <c r="Z275" s="7" t="str">
        <f t="shared" si="5"/>
        <v/>
      </c>
      <c r="AA275" s="4" t="str">
        <f t="shared" si="13"/>
        <v/>
      </c>
      <c r="AB275" s="4" t="str">
        <f t="array" ref="AB275">XLOOKUP(X275,'Dados Funil'!A:A,'Dados Funil'!O:O,"")</f>
        <v/>
      </c>
      <c r="AE275" s="7" t="str">
        <f t="shared" si="6"/>
        <v/>
      </c>
      <c r="AG275" s="4" t="str">
        <f t="array" ref="AG275">XLOOKUP(AC275,'Dados Funil'!A:A,'Dados Funil'!AM:AM,"")</f>
        <v/>
      </c>
      <c r="AH275" s="4" t="str">
        <f t="array" ref="AH275">XLOOKUP(AC275,'Dados Funil'!A:A,'Dados Funil'!AN:AN,"")</f>
        <v/>
      </c>
    </row>
    <row r="276">
      <c r="A276" s="4"/>
      <c r="B276" s="4"/>
      <c r="C276" s="7" t="str">
        <f t="shared" si="1"/>
        <v/>
      </c>
      <c r="D276" s="4" t="str">
        <f t="shared" si="9"/>
        <v/>
      </c>
      <c r="E276" s="4" t="str">
        <f t="array" ref="E276">XLOOKUP(A276,'Dados Funil'!$A:$A,'Dados Funil'!$K:$K,"")</f>
        <v/>
      </c>
      <c r="F276" s="4" t="str">
        <f t="array" ref="F276">XLOOKUP(A276,'Dados Funil'!$A:$A,'Dados Funil'!$L:$L,"")</f>
        <v/>
      </c>
      <c r="G276" s="4"/>
      <c r="H276" s="4"/>
      <c r="I276" s="7" t="str">
        <f t="shared" si="2"/>
        <v/>
      </c>
      <c r="J276" s="4" t="str">
        <f t="shared" si="10"/>
        <v/>
      </c>
      <c r="K276" s="4" t="str">
        <f t="array" ref="K276">XLOOKUP(G276,'Dados Funil'!A:A,'Dados Funil'!O:O,"")</f>
        <v/>
      </c>
      <c r="L276" s="4"/>
      <c r="M276" s="4"/>
      <c r="N276" s="7" t="str">
        <f t="shared" si="3"/>
        <v/>
      </c>
      <c r="O276" s="4" t="str">
        <f t="shared" si="11"/>
        <v/>
      </c>
      <c r="P276" s="4" t="str">
        <f t="array" ref="P276">XLOOKUP(L276,'Dados Funil'!A:A,'Dados Funil'!AM:AM,"")</f>
        <v/>
      </c>
      <c r="Q276" s="4" t="str">
        <f t="array" ref="Q276">XLOOKUP(L276,'Dados Funil'!A:A,'Dados Funil'!AN:AN,"")</f>
        <v/>
      </c>
      <c r="T276" s="7" t="str">
        <f t="shared" si="4"/>
        <v/>
      </c>
      <c r="U276" s="4" t="str">
        <f t="shared" si="12"/>
        <v/>
      </c>
      <c r="V276" s="4" t="str">
        <f t="array" ref="V276">XLOOKUP(R276,'Dados Funil'!$A:$A,'Dados Funil'!$K:$K,"")</f>
        <v/>
      </c>
      <c r="W276" s="4" t="str">
        <f t="array" ref="W276">XLOOKUP(R276,'Dados Funil'!$A:$A,'Dados Funil'!$L:$L,"")</f>
        <v/>
      </c>
      <c r="X276" s="4"/>
      <c r="Y276" s="4"/>
      <c r="Z276" s="7" t="str">
        <f t="shared" si="5"/>
        <v/>
      </c>
      <c r="AA276" s="4" t="str">
        <f t="shared" si="13"/>
        <v/>
      </c>
      <c r="AB276" s="4" t="str">
        <f t="array" ref="AB276">XLOOKUP(X276,'Dados Funil'!A:A,'Dados Funil'!O:O,"")</f>
        <v/>
      </c>
      <c r="AE276" s="7" t="str">
        <f t="shared" si="6"/>
        <v/>
      </c>
      <c r="AG276" s="4" t="str">
        <f t="array" ref="AG276">XLOOKUP(AC276,'Dados Funil'!A:A,'Dados Funil'!AM:AM,"")</f>
        <v/>
      </c>
      <c r="AH276" s="4" t="str">
        <f t="array" ref="AH276">XLOOKUP(AC276,'Dados Funil'!A:A,'Dados Funil'!AN:AN,"")</f>
        <v/>
      </c>
    </row>
    <row r="277">
      <c r="A277" s="4"/>
      <c r="B277" s="4"/>
      <c r="C277" s="7" t="str">
        <f t="shared" si="1"/>
        <v/>
      </c>
      <c r="D277" s="4" t="str">
        <f t="shared" si="9"/>
        <v/>
      </c>
      <c r="E277" s="4" t="str">
        <f t="array" ref="E277">XLOOKUP(A277,'Dados Funil'!$A:$A,'Dados Funil'!$K:$K,"")</f>
        <v/>
      </c>
      <c r="F277" s="4" t="str">
        <f t="array" ref="F277">XLOOKUP(A277,'Dados Funil'!$A:$A,'Dados Funil'!$L:$L,"")</f>
        <v/>
      </c>
      <c r="G277" s="4"/>
      <c r="H277" s="4"/>
      <c r="I277" s="7" t="str">
        <f t="shared" si="2"/>
        <v/>
      </c>
      <c r="J277" s="4" t="str">
        <f t="shared" si="10"/>
        <v/>
      </c>
      <c r="K277" s="4" t="str">
        <f t="array" ref="K277">XLOOKUP(G277,'Dados Funil'!A:A,'Dados Funil'!O:O,"")</f>
        <v/>
      </c>
      <c r="L277" s="4"/>
      <c r="M277" s="4"/>
      <c r="N277" s="7" t="str">
        <f t="shared" si="3"/>
        <v/>
      </c>
      <c r="O277" s="4" t="str">
        <f t="shared" si="11"/>
        <v/>
      </c>
      <c r="P277" s="4" t="str">
        <f t="array" ref="P277">XLOOKUP(L277,'Dados Funil'!A:A,'Dados Funil'!AM:AM,"")</f>
        <v/>
      </c>
      <c r="Q277" s="4" t="str">
        <f t="array" ref="Q277">XLOOKUP(L277,'Dados Funil'!A:A,'Dados Funil'!AN:AN,"")</f>
        <v/>
      </c>
      <c r="T277" s="7" t="str">
        <f t="shared" si="4"/>
        <v/>
      </c>
      <c r="U277" s="4" t="str">
        <f t="shared" si="12"/>
        <v/>
      </c>
      <c r="V277" s="4" t="str">
        <f t="array" ref="V277">XLOOKUP(R277,'Dados Funil'!$A:$A,'Dados Funil'!$K:$K,"")</f>
        <v/>
      </c>
      <c r="W277" s="4" t="str">
        <f t="array" ref="W277">XLOOKUP(R277,'Dados Funil'!$A:$A,'Dados Funil'!$L:$L,"")</f>
        <v/>
      </c>
      <c r="X277" s="4"/>
      <c r="Y277" s="4"/>
      <c r="Z277" s="7" t="str">
        <f t="shared" si="5"/>
        <v/>
      </c>
      <c r="AA277" s="4" t="str">
        <f t="shared" si="13"/>
        <v/>
      </c>
      <c r="AB277" s="4" t="str">
        <f t="array" ref="AB277">XLOOKUP(X277,'Dados Funil'!A:A,'Dados Funil'!O:O,"")</f>
        <v/>
      </c>
      <c r="AE277" s="7" t="str">
        <f t="shared" si="6"/>
        <v/>
      </c>
      <c r="AG277" s="4" t="str">
        <f t="array" ref="AG277">XLOOKUP(AC277,'Dados Funil'!A:A,'Dados Funil'!AM:AM,"")</f>
        <v/>
      </c>
      <c r="AH277" s="4" t="str">
        <f t="array" ref="AH277">XLOOKUP(AC277,'Dados Funil'!A:A,'Dados Funil'!AN:AN,"")</f>
        <v/>
      </c>
    </row>
    <row r="278">
      <c r="A278" s="4"/>
      <c r="B278" s="4"/>
      <c r="C278" s="7" t="str">
        <f t="shared" si="1"/>
        <v/>
      </c>
      <c r="D278" s="4" t="str">
        <f t="shared" si="9"/>
        <v/>
      </c>
      <c r="E278" s="4" t="str">
        <f t="array" ref="E278">XLOOKUP(A278,'Dados Funil'!$A:$A,'Dados Funil'!$K:$K,"")</f>
        <v/>
      </c>
      <c r="F278" s="4" t="str">
        <f t="array" ref="F278">XLOOKUP(A278,'Dados Funil'!$A:$A,'Dados Funil'!$L:$L,"")</f>
        <v/>
      </c>
      <c r="G278" s="4"/>
      <c r="H278" s="4"/>
      <c r="I278" s="7" t="str">
        <f t="shared" si="2"/>
        <v/>
      </c>
      <c r="J278" s="4" t="str">
        <f t="shared" si="10"/>
        <v/>
      </c>
      <c r="K278" s="4" t="str">
        <f t="array" ref="K278">XLOOKUP(G278,'Dados Funil'!A:A,'Dados Funil'!O:O,"")</f>
        <v/>
      </c>
      <c r="L278" s="4"/>
      <c r="M278" s="4"/>
      <c r="N278" s="7" t="str">
        <f t="shared" si="3"/>
        <v/>
      </c>
      <c r="O278" s="4" t="str">
        <f t="shared" si="11"/>
        <v/>
      </c>
      <c r="P278" s="4" t="str">
        <f t="array" ref="P278">XLOOKUP(L278,'Dados Funil'!A:A,'Dados Funil'!AM:AM,"")</f>
        <v/>
      </c>
      <c r="Q278" s="4" t="str">
        <f t="array" ref="Q278">XLOOKUP(L278,'Dados Funil'!A:A,'Dados Funil'!AN:AN,"")</f>
        <v/>
      </c>
      <c r="T278" s="7" t="str">
        <f t="shared" si="4"/>
        <v/>
      </c>
      <c r="U278" s="4" t="str">
        <f t="shared" si="12"/>
        <v/>
      </c>
      <c r="V278" s="4" t="str">
        <f t="array" ref="V278">XLOOKUP(R278,'Dados Funil'!$A:$A,'Dados Funil'!$K:$K,"")</f>
        <v/>
      </c>
      <c r="W278" s="4" t="str">
        <f t="array" ref="W278">XLOOKUP(R278,'Dados Funil'!$A:$A,'Dados Funil'!$L:$L,"")</f>
        <v/>
      </c>
      <c r="X278" s="4"/>
      <c r="Y278" s="4"/>
      <c r="Z278" s="7" t="str">
        <f t="shared" si="5"/>
        <v/>
      </c>
      <c r="AA278" s="4" t="str">
        <f t="shared" si="13"/>
        <v/>
      </c>
      <c r="AB278" s="4" t="str">
        <f t="array" ref="AB278">XLOOKUP(X278,'Dados Funil'!A:A,'Dados Funil'!O:O,"")</f>
        <v/>
      </c>
      <c r="AE278" s="7" t="str">
        <f t="shared" si="6"/>
        <v/>
      </c>
      <c r="AG278" s="4" t="str">
        <f t="array" ref="AG278">XLOOKUP(AC278,'Dados Funil'!A:A,'Dados Funil'!AM:AM,"")</f>
        <v/>
      </c>
      <c r="AH278" s="4" t="str">
        <f t="array" ref="AH278">XLOOKUP(AC278,'Dados Funil'!A:A,'Dados Funil'!AN:AN,"")</f>
        <v/>
      </c>
    </row>
    <row r="279">
      <c r="A279" s="4"/>
      <c r="B279" s="4"/>
      <c r="C279" s="7" t="str">
        <f t="shared" si="1"/>
        <v/>
      </c>
      <c r="D279" s="4" t="str">
        <f t="shared" si="9"/>
        <v/>
      </c>
      <c r="E279" s="4" t="str">
        <f t="array" ref="E279">XLOOKUP(A279,'Dados Funil'!$A:$A,'Dados Funil'!$K:$K,"")</f>
        <v/>
      </c>
      <c r="F279" s="4" t="str">
        <f t="array" ref="F279">XLOOKUP(A279,'Dados Funil'!$A:$A,'Dados Funil'!$L:$L,"")</f>
        <v/>
      </c>
      <c r="G279" s="4"/>
      <c r="H279" s="4"/>
      <c r="I279" s="7" t="str">
        <f t="shared" si="2"/>
        <v/>
      </c>
      <c r="J279" s="4" t="str">
        <f t="shared" si="10"/>
        <v/>
      </c>
      <c r="K279" s="4" t="str">
        <f t="array" ref="K279">XLOOKUP(G279,'Dados Funil'!A:A,'Dados Funil'!O:O,"")</f>
        <v/>
      </c>
      <c r="L279" s="4"/>
      <c r="M279" s="4"/>
      <c r="N279" s="7" t="str">
        <f t="shared" si="3"/>
        <v/>
      </c>
      <c r="O279" s="4" t="str">
        <f t="shared" si="11"/>
        <v/>
      </c>
      <c r="P279" s="4" t="str">
        <f t="array" ref="P279">XLOOKUP(L279,'Dados Funil'!A:A,'Dados Funil'!AM:AM,"")</f>
        <v/>
      </c>
      <c r="Q279" s="4" t="str">
        <f t="array" ref="Q279">XLOOKUP(L279,'Dados Funil'!A:A,'Dados Funil'!AN:AN,"")</f>
        <v/>
      </c>
      <c r="T279" s="7" t="str">
        <f t="shared" si="4"/>
        <v/>
      </c>
      <c r="U279" s="4" t="str">
        <f t="shared" si="12"/>
        <v/>
      </c>
      <c r="V279" s="4" t="str">
        <f t="array" ref="V279">XLOOKUP(R279,'Dados Funil'!$A:$A,'Dados Funil'!$K:$K,"")</f>
        <v/>
      </c>
      <c r="W279" s="4" t="str">
        <f t="array" ref="W279">XLOOKUP(R279,'Dados Funil'!$A:$A,'Dados Funil'!$L:$L,"")</f>
        <v/>
      </c>
      <c r="X279" s="4"/>
      <c r="Y279" s="4"/>
      <c r="Z279" s="7" t="str">
        <f t="shared" si="5"/>
        <v/>
      </c>
      <c r="AA279" s="4" t="str">
        <f t="shared" si="13"/>
        <v/>
      </c>
      <c r="AB279" s="4" t="str">
        <f t="array" ref="AB279">XLOOKUP(X279,'Dados Funil'!A:A,'Dados Funil'!O:O,"")</f>
        <v/>
      </c>
      <c r="AE279" s="7" t="str">
        <f t="shared" si="6"/>
        <v/>
      </c>
      <c r="AG279" s="4" t="str">
        <f t="array" ref="AG279">XLOOKUP(AC279,'Dados Funil'!A:A,'Dados Funil'!AM:AM,"")</f>
        <v/>
      </c>
      <c r="AH279" s="4" t="str">
        <f t="array" ref="AH279">XLOOKUP(AC279,'Dados Funil'!A:A,'Dados Funil'!AN:AN,"")</f>
        <v/>
      </c>
    </row>
    <row r="280">
      <c r="A280" s="4"/>
      <c r="B280" s="4"/>
      <c r="C280" s="7" t="str">
        <f t="shared" si="1"/>
        <v/>
      </c>
      <c r="D280" s="4" t="str">
        <f t="shared" si="9"/>
        <v/>
      </c>
      <c r="E280" s="4" t="str">
        <f t="array" ref="E280">XLOOKUP(A280,'Dados Funil'!$A:$A,'Dados Funil'!$K:$K,"")</f>
        <v/>
      </c>
      <c r="F280" s="4" t="str">
        <f t="array" ref="F280">XLOOKUP(A280,'Dados Funil'!$A:$A,'Dados Funil'!$L:$L,"")</f>
        <v/>
      </c>
      <c r="G280" s="4"/>
      <c r="H280" s="4"/>
      <c r="I280" s="7" t="str">
        <f t="shared" si="2"/>
        <v/>
      </c>
      <c r="J280" s="4" t="str">
        <f t="shared" si="10"/>
        <v/>
      </c>
      <c r="K280" s="4" t="str">
        <f t="array" ref="K280">XLOOKUP(G280,'Dados Funil'!A:A,'Dados Funil'!O:O,"")</f>
        <v/>
      </c>
      <c r="L280" s="4"/>
      <c r="M280" s="4"/>
      <c r="N280" s="7" t="str">
        <f t="shared" si="3"/>
        <v/>
      </c>
      <c r="O280" s="4" t="str">
        <f t="shared" si="11"/>
        <v/>
      </c>
      <c r="P280" s="4" t="str">
        <f t="array" ref="P280">XLOOKUP(L280,'Dados Funil'!A:A,'Dados Funil'!AM:AM,"")</f>
        <v/>
      </c>
      <c r="Q280" s="4" t="str">
        <f t="array" ref="Q280">XLOOKUP(L280,'Dados Funil'!A:A,'Dados Funil'!AN:AN,"")</f>
        <v/>
      </c>
      <c r="T280" s="7" t="str">
        <f t="shared" si="4"/>
        <v/>
      </c>
      <c r="U280" s="4" t="str">
        <f t="shared" si="12"/>
        <v/>
      </c>
      <c r="V280" s="4" t="str">
        <f t="array" ref="V280">XLOOKUP(R280,'Dados Funil'!$A:$A,'Dados Funil'!$K:$K,"")</f>
        <v/>
      </c>
      <c r="W280" s="4" t="str">
        <f t="array" ref="W280">XLOOKUP(R280,'Dados Funil'!$A:$A,'Dados Funil'!$L:$L,"")</f>
        <v/>
      </c>
      <c r="X280" s="4"/>
      <c r="Y280" s="4"/>
      <c r="Z280" s="7" t="str">
        <f t="shared" si="5"/>
        <v/>
      </c>
      <c r="AA280" s="4" t="str">
        <f t="shared" si="13"/>
        <v/>
      </c>
      <c r="AB280" s="4" t="str">
        <f t="array" ref="AB280">XLOOKUP(X280,'Dados Funil'!A:A,'Dados Funil'!O:O,"")</f>
        <v/>
      </c>
      <c r="AE280" s="7" t="str">
        <f t="shared" si="6"/>
        <v/>
      </c>
      <c r="AG280" s="4" t="str">
        <f t="array" ref="AG280">XLOOKUP(AC280,'Dados Funil'!A:A,'Dados Funil'!AM:AM,"")</f>
        <v/>
      </c>
      <c r="AH280" s="4" t="str">
        <f t="array" ref="AH280">XLOOKUP(AC280,'Dados Funil'!A:A,'Dados Funil'!AN:AN,"")</f>
        <v/>
      </c>
    </row>
    <row r="281">
      <c r="A281" s="4"/>
      <c r="B281" s="4"/>
      <c r="C281" s="7" t="str">
        <f t="shared" si="1"/>
        <v/>
      </c>
      <c r="D281" s="4" t="str">
        <f t="shared" si="9"/>
        <v/>
      </c>
      <c r="E281" s="4" t="str">
        <f t="array" ref="E281">XLOOKUP(A281,'Dados Funil'!$A:$A,'Dados Funil'!$K:$K,"")</f>
        <v/>
      </c>
      <c r="F281" s="4" t="str">
        <f t="array" ref="F281">XLOOKUP(A281,'Dados Funil'!$A:$A,'Dados Funil'!$L:$L,"")</f>
        <v/>
      </c>
      <c r="G281" s="4"/>
      <c r="H281" s="4"/>
      <c r="I281" s="7" t="str">
        <f t="shared" si="2"/>
        <v/>
      </c>
      <c r="J281" s="4" t="str">
        <f t="shared" si="10"/>
        <v/>
      </c>
      <c r="K281" s="4" t="str">
        <f t="array" ref="K281">XLOOKUP(G281,'Dados Funil'!A:A,'Dados Funil'!O:O,"")</f>
        <v/>
      </c>
      <c r="L281" s="4"/>
      <c r="M281" s="4"/>
      <c r="N281" s="7" t="str">
        <f t="shared" si="3"/>
        <v/>
      </c>
      <c r="O281" s="4" t="str">
        <f t="shared" si="11"/>
        <v/>
      </c>
      <c r="P281" s="4" t="str">
        <f t="array" ref="P281">XLOOKUP(L281,'Dados Funil'!A:A,'Dados Funil'!AM:AM,"")</f>
        <v/>
      </c>
      <c r="Q281" s="4" t="str">
        <f t="array" ref="Q281">XLOOKUP(L281,'Dados Funil'!A:A,'Dados Funil'!AN:AN,"")</f>
        <v/>
      </c>
      <c r="T281" s="7" t="str">
        <f t="shared" si="4"/>
        <v/>
      </c>
      <c r="U281" s="4" t="str">
        <f t="shared" si="12"/>
        <v/>
      </c>
      <c r="V281" s="4" t="str">
        <f t="array" ref="V281">XLOOKUP(R281,'Dados Funil'!$A:$A,'Dados Funil'!$K:$K,"")</f>
        <v/>
      </c>
      <c r="W281" s="4" t="str">
        <f t="array" ref="W281">XLOOKUP(R281,'Dados Funil'!$A:$A,'Dados Funil'!$L:$L,"")</f>
        <v/>
      </c>
      <c r="X281" s="4"/>
      <c r="Y281" s="4"/>
      <c r="Z281" s="7" t="str">
        <f t="shared" si="5"/>
        <v/>
      </c>
      <c r="AA281" s="4" t="str">
        <f t="shared" si="13"/>
        <v/>
      </c>
      <c r="AB281" s="4" t="str">
        <f t="array" ref="AB281">XLOOKUP(X281,'Dados Funil'!A:A,'Dados Funil'!O:O,"")</f>
        <v/>
      </c>
      <c r="AE281" s="7" t="str">
        <f t="shared" si="6"/>
        <v/>
      </c>
      <c r="AG281" s="4" t="str">
        <f t="array" ref="AG281">XLOOKUP(AC281,'Dados Funil'!A:A,'Dados Funil'!AM:AM,"")</f>
        <v/>
      </c>
      <c r="AH281" s="4" t="str">
        <f t="array" ref="AH281">XLOOKUP(AC281,'Dados Funil'!A:A,'Dados Funil'!AN:AN,"")</f>
        <v/>
      </c>
    </row>
    <row r="282">
      <c r="A282" s="4"/>
      <c r="B282" s="4"/>
      <c r="C282" s="7" t="str">
        <f t="shared" si="1"/>
        <v/>
      </c>
      <c r="D282" s="4" t="str">
        <f t="shared" si="9"/>
        <v/>
      </c>
      <c r="E282" s="4" t="str">
        <f t="array" ref="E282">XLOOKUP(A282,'Dados Funil'!$A:$A,'Dados Funil'!$K:$K,"")</f>
        <v/>
      </c>
      <c r="F282" s="4" t="str">
        <f t="array" ref="F282">XLOOKUP(A282,'Dados Funil'!$A:$A,'Dados Funil'!$L:$L,"")</f>
        <v/>
      </c>
      <c r="G282" s="4"/>
      <c r="H282" s="4"/>
      <c r="I282" s="7" t="str">
        <f t="shared" si="2"/>
        <v/>
      </c>
      <c r="J282" s="4" t="str">
        <f t="shared" si="10"/>
        <v/>
      </c>
      <c r="K282" s="4" t="str">
        <f t="array" ref="K282">XLOOKUP(G282,'Dados Funil'!A:A,'Dados Funil'!O:O,"")</f>
        <v/>
      </c>
      <c r="L282" s="4"/>
      <c r="M282" s="4"/>
      <c r="N282" s="7" t="str">
        <f t="shared" si="3"/>
        <v/>
      </c>
      <c r="O282" s="4" t="str">
        <f t="shared" si="11"/>
        <v/>
      </c>
      <c r="P282" s="4" t="str">
        <f t="array" ref="P282">XLOOKUP(L282,'Dados Funil'!A:A,'Dados Funil'!AM:AM,"")</f>
        <v/>
      </c>
      <c r="Q282" s="4" t="str">
        <f t="array" ref="Q282">XLOOKUP(L282,'Dados Funil'!A:A,'Dados Funil'!AN:AN,"")</f>
        <v/>
      </c>
      <c r="T282" s="7" t="str">
        <f t="shared" si="4"/>
        <v/>
      </c>
      <c r="U282" s="4" t="str">
        <f t="shared" si="12"/>
        <v/>
      </c>
      <c r="V282" s="4" t="str">
        <f t="array" ref="V282">XLOOKUP(R282,'Dados Funil'!$A:$A,'Dados Funil'!$K:$K,"")</f>
        <v/>
      </c>
      <c r="W282" s="4" t="str">
        <f t="array" ref="W282">XLOOKUP(R282,'Dados Funil'!$A:$A,'Dados Funil'!$L:$L,"")</f>
        <v/>
      </c>
      <c r="X282" s="4"/>
      <c r="Y282" s="4"/>
      <c r="Z282" s="7" t="str">
        <f t="shared" si="5"/>
        <v/>
      </c>
      <c r="AA282" s="4" t="str">
        <f t="shared" si="13"/>
        <v/>
      </c>
      <c r="AB282" s="4" t="str">
        <f t="array" ref="AB282">XLOOKUP(X282,'Dados Funil'!A:A,'Dados Funil'!O:O,"")</f>
        <v/>
      </c>
      <c r="AE282" s="7" t="str">
        <f t="shared" si="6"/>
        <v/>
      </c>
      <c r="AG282" s="4" t="str">
        <f t="array" ref="AG282">XLOOKUP(AC282,'Dados Funil'!A:A,'Dados Funil'!AM:AM,"")</f>
        <v/>
      </c>
      <c r="AH282" s="4" t="str">
        <f t="array" ref="AH282">XLOOKUP(AC282,'Dados Funil'!A:A,'Dados Funil'!AN:AN,"")</f>
        <v/>
      </c>
    </row>
    <row r="283">
      <c r="A283" s="4"/>
      <c r="B283" s="4"/>
      <c r="C283" s="7" t="str">
        <f t="shared" si="1"/>
        <v/>
      </c>
      <c r="D283" s="4" t="str">
        <f t="shared" si="9"/>
        <v/>
      </c>
      <c r="E283" s="4" t="str">
        <f t="array" ref="E283">XLOOKUP(A283,'Dados Funil'!$A:$A,'Dados Funil'!$K:$K,"")</f>
        <v/>
      </c>
      <c r="F283" s="4" t="str">
        <f t="array" ref="F283">XLOOKUP(A283,'Dados Funil'!$A:$A,'Dados Funil'!$L:$L,"")</f>
        <v/>
      </c>
      <c r="G283" s="4"/>
      <c r="H283" s="4"/>
      <c r="I283" s="7" t="str">
        <f t="shared" si="2"/>
        <v/>
      </c>
      <c r="J283" s="4" t="str">
        <f t="shared" si="10"/>
        <v/>
      </c>
      <c r="K283" s="4" t="str">
        <f t="array" ref="K283">XLOOKUP(G283,'Dados Funil'!A:A,'Dados Funil'!O:O,"")</f>
        <v/>
      </c>
      <c r="L283" s="4"/>
      <c r="M283" s="4"/>
      <c r="N283" s="7" t="str">
        <f t="shared" si="3"/>
        <v/>
      </c>
      <c r="O283" s="4" t="str">
        <f t="shared" si="11"/>
        <v/>
      </c>
      <c r="P283" s="4" t="str">
        <f t="array" ref="P283">XLOOKUP(L283,'Dados Funil'!A:A,'Dados Funil'!AM:AM,"")</f>
        <v/>
      </c>
      <c r="Q283" s="4" t="str">
        <f t="array" ref="Q283">XLOOKUP(L283,'Dados Funil'!A:A,'Dados Funil'!AN:AN,"")</f>
        <v/>
      </c>
      <c r="T283" s="7" t="str">
        <f t="shared" si="4"/>
        <v/>
      </c>
      <c r="U283" s="4" t="str">
        <f t="shared" si="12"/>
        <v/>
      </c>
      <c r="V283" s="4" t="str">
        <f t="array" ref="V283">XLOOKUP(R283,'Dados Funil'!$A:$A,'Dados Funil'!$K:$K,"")</f>
        <v/>
      </c>
      <c r="W283" s="4" t="str">
        <f t="array" ref="W283">XLOOKUP(R283,'Dados Funil'!$A:$A,'Dados Funil'!$L:$L,"")</f>
        <v/>
      </c>
      <c r="X283" s="4"/>
      <c r="Y283" s="4"/>
      <c r="Z283" s="7" t="str">
        <f t="shared" si="5"/>
        <v/>
      </c>
      <c r="AA283" s="4" t="str">
        <f t="shared" si="13"/>
        <v/>
      </c>
      <c r="AB283" s="4" t="str">
        <f t="array" ref="AB283">XLOOKUP(X283,'Dados Funil'!A:A,'Dados Funil'!O:O,"")</f>
        <v/>
      </c>
      <c r="AE283" s="7" t="str">
        <f t="shared" si="6"/>
        <v/>
      </c>
      <c r="AG283" s="4" t="str">
        <f t="array" ref="AG283">XLOOKUP(AC283,'Dados Funil'!A:A,'Dados Funil'!AM:AM,"")</f>
        <v/>
      </c>
      <c r="AH283" s="4" t="str">
        <f t="array" ref="AH283">XLOOKUP(AC283,'Dados Funil'!A:A,'Dados Funil'!AN:AN,"")</f>
        <v/>
      </c>
    </row>
    <row r="284">
      <c r="A284" s="4"/>
      <c r="B284" s="4"/>
      <c r="C284" s="7" t="str">
        <f t="shared" si="1"/>
        <v/>
      </c>
      <c r="D284" s="4" t="str">
        <f t="shared" si="9"/>
        <v/>
      </c>
      <c r="E284" s="4" t="str">
        <f t="array" ref="E284">XLOOKUP(A284,'Dados Funil'!$A:$A,'Dados Funil'!$K:$K,"")</f>
        <v/>
      </c>
      <c r="F284" s="4" t="str">
        <f t="array" ref="F284">XLOOKUP(A284,'Dados Funil'!$A:$A,'Dados Funil'!$L:$L,"")</f>
        <v/>
      </c>
      <c r="G284" s="4"/>
      <c r="H284" s="4"/>
      <c r="I284" s="7" t="str">
        <f t="shared" si="2"/>
        <v/>
      </c>
      <c r="J284" s="4" t="str">
        <f t="shared" si="10"/>
        <v/>
      </c>
      <c r="K284" s="4" t="str">
        <f t="array" ref="K284">XLOOKUP(G284,'Dados Funil'!A:A,'Dados Funil'!O:O,"")</f>
        <v/>
      </c>
      <c r="L284" s="4"/>
      <c r="M284" s="4"/>
      <c r="N284" s="7" t="str">
        <f t="shared" si="3"/>
        <v/>
      </c>
      <c r="O284" s="4" t="str">
        <f t="shared" si="11"/>
        <v/>
      </c>
      <c r="P284" s="4" t="str">
        <f t="array" ref="P284">XLOOKUP(L284,'Dados Funil'!A:A,'Dados Funil'!AM:AM,"")</f>
        <v/>
      </c>
      <c r="Q284" s="4" t="str">
        <f t="array" ref="Q284">XLOOKUP(L284,'Dados Funil'!A:A,'Dados Funil'!AN:AN,"")</f>
        <v/>
      </c>
      <c r="T284" s="7" t="str">
        <f t="shared" si="4"/>
        <v/>
      </c>
      <c r="U284" s="4" t="str">
        <f t="shared" si="12"/>
        <v/>
      </c>
      <c r="V284" s="4" t="str">
        <f t="array" ref="V284">XLOOKUP(R284,'Dados Funil'!$A:$A,'Dados Funil'!$K:$K,"")</f>
        <v/>
      </c>
      <c r="W284" s="4" t="str">
        <f t="array" ref="W284">XLOOKUP(R284,'Dados Funil'!$A:$A,'Dados Funil'!$L:$L,"")</f>
        <v/>
      </c>
      <c r="X284" s="4"/>
      <c r="Y284" s="4"/>
      <c r="Z284" s="7" t="str">
        <f t="shared" si="5"/>
        <v/>
      </c>
      <c r="AA284" s="4" t="str">
        <f t="shared" si="13"/>
        <v/>
      </c>
      <c r="AB284" s="4" t="str">
        <f t="array" ref="AB284">XLOOKUP(X284,'Dados Funil'!A:A,'Dados Funil'!O:O,"")</f>
        <v/>
      </c>
      <c r="AE284" s="7" t="str">
        <f t="shared" si="6"/>
        <v/>
      </c>
      <c r="AG284" s="4" t="str">
        <f t="array" ref="AG284">XLOOKUP(AC284,'Dados Funil'!A:A,'Dados Funil'!AM:AM,"")</f>
        <v/>
      </c>
      <c r="AH284" s="4" t="str">
        <f t="array" ref="AH284">XLOOKUP(AC284,'Dados Funil'!A:A,'Dados Funil'!AN:AN,"")</f>
        <v/>
      </c>
    </row>
    <row r="285">
      <c r="A285" s="4"/>
      <c r="B285" s="4"/>
      <c r="C285" s="7" t="str">
        <f t="shared" si="1"/>
        <v/>
      </c>
      <c r="D285" s="4" t="str">
        <f t="shared" si="9"/>
        <v/>
      </c>
      <c r="E285" s="4" t="str">
        <f t="array" ref="E285">XLOOKUP(A285,'Dados Funil'!$A:$A,'Dados Funil'!$K:$K,"")</f>
        <v/>
      </c>
      <c r="F285" s="4" t="str">
        <f t="array" ref="F285">XLOOKUP(A285,'Dados Funil'!$A:$A,'Dados Funil'!$L:$L,"")</f>
        <v/>
      </c>
      <c r="G285" s="4"/>
      <c r="H285" s="4"/>
      <c r="I285" s="7" t="str">
        <f t="shared" si="2"/>
        <v/>
      </c>
      <c r="J285" s="4" t="str">
        <f t="shared" si="10"/>
        <v/>
      </c>
      <c r="K285" s="4" t="str">
        <f t="array" ref="K285">XLOOKUP(G285,'Dados Funil'!A:A,'Dados Funil'!O:O,"")</f>
        <v/>
      </c>
      <c r="L285" s="4"/>
      <c r="M285" s="4"/>
      <c r="N285" s="7" t="str">
        <f t="shared" si="3"/>
        <v/>
      </c>
      <c r="O285" s="4" t="str">
        <f t="shared" si="11"/>
        <v/>
      </c>
      <c r="P285" s="4" t="str">
        <f t="array" ref="P285">XLOOKUP(L285,'Dados Funil'!A:A,'Dados Funil'!AM:AM,"")</f>
        <v/>
      </c>
      <c r="Q285" s="4" t="str">
        <f t="array" ref="Q285">XLOOKUP(L285,'Dados Funil'!A:A,'Dados Funil'!AN:AN,"")</f>
        <v/>
      </c>
      <c r="T285" s="7" t="str">
        <f t="shared" si="4"/>
        <v/>
      </c>
      <c r="U285" s="4" t="str">
        <f t="shared" si="12"/>
        <v/>
      </c>
      <c r="V285" s="4" t="str">
        <f t="array" ref="V285">XLOOKUP(R285,'Dados Funil'!$A:$A,'Dados Funil'!$K:$K,"")</f>
        <v/>
      </c>
      <c r="W285" s="4" t="str">
        <f t="array" ref="W285">XLOOKUP(R285,'Dados Funil'!$A:$A,'Dados Funil'!$L:$L,"")</f>
        <v/>
      </c>
      <c r="X285" s="4"/>
      <c r="Y285" s="4"/>
      <c r="Z285" s="7" t="str">
        <f t="shared" si="5"/>
        <v/>
      </c>
      <c r="AA285" s="4" t="str">
        <f t="shared" si="13"/>
        <v/>
      </c>
      <c r="AB285" s="4" t="str">
        <f t="array" ref="AB285">XLOOKUP(X285,'Dados Funil'!A:A,'Dados Funil'!O:O,"")</f>
        <v/>
      </c>
      <c r="AE285" s="7" t="str">
        <f t="shared" si="6"/>
        <v/>
      </c>
      <c r="AG285" s="4" t="str">
        <f t="array" ref="AG285">XLOOKUP(AC285,'Dados Funil'!A:A,'Dados Funil'!AM:AM,"")</f>
        <v/>
      </c>
      <c r="AH285" s="4" t="str">
        <f t="array" ref="AH285">XLOOKUP(AC285,'Dados Funil'!A:A,'Dados Funil'!AN:AN,"")</f>
        <v/>
      </c>
    </row>
    <row r="286">
      <c r="A286" s="4"/>
      <c r="B286" s="4"/>
      <c r="C286" s="7" t="str">
        <f t="shared" si="1"/>
        <v/>
      </c>
      <c r="D286" s="4" t="str">
        <f t="shared" si="9"/>
        <v/>
      </c>
      <c r="E286" s="4" t="str">
        <f t="array" ref="E286">XLOOKUP(A286,'Dados Funil'!$A:$A,'Dados Funil'!$K:$K,"")</f>
        <v/>
      </c>
      <c r="F286" s="4" t="str">
        <f t="array" ref="F286">XLOOKUP(A286,'Dados Funil'!$A:$A,'Dados Funil'!$L:$L,"")</f>
        <v/>
      </c>
      <c r="G286" s="4"/>
      <c r="H286" s="4"/>
      <c r="I286" s="7" t="str">
        <f t="shared" si="2"/>
        <v/>
      </c>
      <c r="J286" s="4" t="str">
        <f t="shared" si="10"/>
        <v/>
      </c>
      <c r="K286" s="4" t="str">
        <f t="array" ref="K286">XLOOKUP(G286,'Dados Funil'!A:A,'Dados Funil'!O:O,"")</f>
        <v/>
      </c>
      <c r="L286" s="4"/>
      <c r="M286" s="4"/>
      <c r="N286" s="7" t="str">
        <f t="shared" si="3"/>
        <v/>
      </c>
      <c r="O286" s="4" t="str">
        <f t="shared" si="11"/>
        <v/>
      </c>
      <c r="P286" s="4" t="str">
        <f t="array" ref="P286">XLOOKUP(L286,'Dados Funil'!A:A,'Dados Funil'!AM:AM,"")</f>
        <v/>
      </c>
      <c r="Q286" s="4" t="str">
        <f t="array" ref="Q286">XLOOKUP(L286,'Dados Funil'!A:A,'Dados Funil'!AN:AN,"")</f>
        <v/>
      </c>
      <c r="T286" s="7" t="str">
        <f t="shared" si="4"/>
        <v/>
      </c>
      <c r="U286" s="4" t="str">
        <f t="shared" si="12"/>
        <v/>
      </c>
      <c r="V286" s="4" t="str">
        <f t="array" ref="V286">XLOOKUP(R286,'Dados Funil'!$A:$A,'Dados Funil'!$K:$K,"")</f>
        <v/>
      </c>
      <c r="W286" s="4" t="str">
        <f t="array" ref="W286">XLOOKUP(R286,'Dados Funil'!$A:$A,'Dados Funil'!$L:$L,"")</f>
        <v/>
      </c>
      <c r="X286" s="4"/>
      <c r="Y286" s="4"/>
      <c r="Z286" s="7" t="str">
        <f t="shared" si="5"/>
        <v/>
      </c>
      <c r="AA286" s="4" t="str">
        <f t="shared" si="13"/>
        <v/>
      </c>
      <c r="AB286" s="4" t="str">
        <f t="array" ref="AB286">XLOOKUP(X286,'Dados Funil'!A:A,'Dados Funil'!O:O,"")</f>
        <v/>
      </c>
      <c r="AE286" s="7" t="str">
        <f t="shared" si="6"/>
        <v/>
      </c>
      <c r="AG286" s="4" t="str">
        <f t="array" ref="AG286">XLOOKUP(AC286,'Dados Funil'!A:A,'Dados Funil'!AM:AM,"")</f>
        <v/>
      </c>
      <c r="AH286" s="4" t="str">
        <f t="array" ref="AH286">XLOOKUP(AC286,'Dados Funil'!A:A,'Dados Funil'!AN:AN,"")</f>
        <v/>
      </c>
    </row>
    <row r="287">
      <c r="A287" s="4"/>
      <c r="B287" s="4"/>
      <c r="C287" s="7" t="str">
        <f t="shared" si="1"/>
        <v/>
      </c>
      <c r="D287" s="4" t="str">
        <f t="shared" si="9"/>
        <v/>
      </c>
      <c r="E287" s="4" t="str">
        <f t="array" ref="E287">XLOOKUP(A287,'Dados Funil'!$A:$A,'Dados Funil'!$K:$K,"")</f>
        <v/>
      </c>
      <c r="F287" s="4" t="str">
        <f t="array" ref="F287">XLOOKUP(A287,'Dados Funil'!$A:$A,'Dados Funil'!$L:$L,"")</f>
        <v/>
      </c>
      <c r="G287" s="4"/>
      <c r="H287" s="4"/>
      <c r="I287" s="7" t="str">
        <f t="shared" si="2"/>
        <v/>
      </c>
      <c r="J287" s="4" t="str">
        <f t="shared" si="10"/>
        <v/>
      </c>
      <c r="K287" s="4" t="str">
        <f t="array" ref="K287">XLOOKUP(G287,'Dados Funil'!A:A,'Dados Funil'!O:O,"")</f>
        <v/>
      </c>
      <c r="L287" s="4"/>
      <c r="M287" s="4"/>
      <c r="N287" s="7" t="str">
        <f t="shared" si="3"/>
        <v/>
      </c>
      <c r="O287" s="4" t="str">
        <f t="shared" si="11"/>
        <v/>
      </c>
      <c r="P287" s="4" t="str">
        <f t="array" ref="P287">XLOOKUP(L287,'Dados Funil'!A:A,'Dados Funil'!AM:AM,"")</f>
        <v/>
      </c>
      <c r="Q287" s="4" t="str">
        <f t="array" ref="Q287">XLOOKUP(L287,'Dados Funil'!A:A,'Dados Funil'!AN:AN,"")</f>
        <v/>
      </c>
      <c r="T287" s="7" t="str">
        <f t="shared" si="4"/>
        <v/>
      </c>
      <c r="U287" s="4" t="str">
        <f t="shared" si="12"/>
        <v/>
      </c>
      <c r="V287" s="4" t="str">
        <f t="array" ref="V287">XLOOKUP(R287,'Dados Funil'!$A:$A,'Dados Funil'!$K:$K,"")</f>
        <v/>
      </c>
      <c r="W287" s="4" t="str">
        <f t="array" ref="W287">XLOOKUP(R287,'Dados Funil'!$A:$A,'Dados Funil'!$L:$L,"")</f>
        <v/>
      </c>
      <c r="X287" s="4"/>
      <c r="Y287" s="4"/>
      <c r="Z287" s="7" t="str">
        <f t="shared" si="5"/>
        <v/>
      </c>
      <c r="AA287" s="4" t="str">
        <f t="shared" si="13"/>
        <v/>
      </c>
      <c r="AB287" s="4" t="str">
        <f t="array" ref="AB287">XLOOKUP(X287,'Dados Funil'!A:A,'Dados Funil'!O:O,"")</f>
        <v/>
      </c>
      <c r="AE287" s="7" t="str">
        <f t="shared" si="6"/>
        <v/>
      </c>
      <c r="AG287" s="4" t="str">
        <f t="array" ref="AG287">XLOOKUP(AC287,'Dados Funil'!A:A,'Dados Funil'!AM:AM,"")</f>
        <v/>
      </c>
      <c r="AH287" s="4" t="str">
        <f t="array" ref="AH287">XLOOKUP(AC287,'Dados Funil'!A:A,'Dados Funil'!AN:AN,"")</f>
        <v/>
      </c>
    </row>
    <row r="288">
      <c r="A288" s="4"/>
      <c r="B288" s="4"/>
      <c r="C288" s="7" t="str">
        <f t="shared" si="1"/>
        <v/>
      </c>
      <c r="D288" s="4" t="str">
        <f t="shared" si="9"/>
        <v/>
      </c>
      <c r="E288" s="4" t="str">
        <f t="array" ref="E288">XLOOKUP(A288,'Dados Funil'!$A:$A,'Dados Funil'!$K:$K,"")</f>
        <v/>
      </c>
      <c r="F288" s="4" t="str">
        <f t="array" ref="F288">XLOOKUP(A288,'Dados Funil'!$A:$A,'Dados Funil'!$L:$L,"")</f>
        <v/>
      </c>
      <c r="G288" s="4"/>
      <c r="H288" s="4"/>
      <c r="I288" s="7" t="str">
        <f t="shared" si="2"/>
        <v/>
      </c>
      <c r="J288" s="4" t="str">
        <f t="shared" si="10"/>
        <v/>
      </c>
      <c r="K288" s="4" t="str">
        <f t="array" ref="K288">XLOOKUP(G288,'Dados Funil'!A:A,'Dados Funil'!O:O,"")</f>
        <v/>
      </c>
      <c r="L288" s="4"/>
      <c r="M288" s="4"/>
      <c r="N288" s="7" t="str">
        <f t="shared" si="3"/>
        <v/>
      </c>
      <c r="O288" s="4" t="str">
        <f t="shared" si="11"/>
        <v/>
      </c>
      <c r="P288" s="4" t="str">
        <f t="array" ref="P288">XLOOKUP(L288,'Dados Funil'!A:A,'Dados Funil'!AM:AM,"")</f>
        <v/>
      </c>
      <c r="Q288" s="4" t="str">
        <f t="array" ref="Q288">XLOOKUP(L288,'Dados Funil'!A:A,'Dados Funil'!AN:AN,"")</f>
        <v/>
      </c>
      <c r="T288" s="7" t="str">
        <f t="shared" si="4"/>
        <v/>
      </c>
      <c r="U288" s="4" t="str">
        <f t="shared" si="12"/>
        <v/>
      </c>
      <c r="V288" s="4" t="str">
        <f t="array" ref="V288">XLOOKUP(R288,'Dados Funil'!$A:$A,'Dados Funil'!$K:$K,"")</f>
        <v/>
      </c>
      <c r="W288" s="4" t="str">
        <f t="array" ref="W288">XLOOKUP(R288,'Dados Funil'!$A:$A,'Dados Funil'!$L:$L,"")</f>
        <v/>
      </c>
      <c r="X288" s="4"/>
      <c r="Y288" s="4"/>
      <c r="Z288" s="7" t="str">
        <f t="shared" si="5"/>
        <v/>
      </c>
      <c r="AA288" s="4" t="str">
        <f t="shared" si="13"/>
        <v/>
      </c>
      <c r="AB288" s="4" t="str">
        <f t="array" ref="AB288">XLOOKUP(X288,'Dados Funil'!A:A,'Dados Funil'!O:O,"")</f>
        <v/>
      </c>
      <c r="AE288" s="7" t="str">
        <f t="shared" si="6"/>
        <v/>
      </c>
      <c r="AG288" s="4" t="str">
        <f t="array" ref="AG288">XLOOKUP(AC288,'Dados Funil'!A:A,'Dados Funil'!AM:AM,"")</f>
        <v/>
      </c>
      <c r="AH288" s="4" t="str">
        <f t="array" ref="AH288">XLOOKUP(AC288,'Dados Funil'!A:A,'Dados Funil'!AN:AN,"")</f>
        <v/>
      </c>
    </row>
    <row r="289">
      <c r="A289" s="4"/>
      <c r="B289" s="4"/>
      <c r="C289" s="7" t="str">
        <f t="shared" si="1"/>
        <v/>
      </c>
      <c r="D289" s="4" t="str">
        <f t="shared" si="9"/>
        <v/>
      </c>
      <c r="E289" s="4" t="str">
        <f t="array" ref="E289">XLOOKUP(A289,'Dados Funil'!$A:$A,'Dados Funil'!$K:$K,"")</f>
        <v/>
      </c>
      <c r="F289" s="4" t="str">
        <f t="array" ref="F289">XLOOKUP(A289,'Dados Funil'!$A:$A,'Dados Funil'!$L:$L,"")</f>
        <v/>
      </c>
      <c r="G289" s="4"/>
      <c r="H289" s="4"/>
      <c r="I289" s="7" t="str">
        <f t="shared" si="2"/>
        <v/>
      </c>
      <c r="J289" s="4" t="str">
        <f t="shared" si="10"/>
        <v/>
      </c>
      <c r="K289" s="4" t="str">
        <f t="array" ref="K289">XLOOKUP(G289,'Dados Funil'!A:A,'Dados Funil'!O:O,"")</f>
        <v/>
      </c>
      <c r="L289" s="4"/>
      <c r="M289" s="4"/>
      <c r="N289" s="7" t="str">
        <f t="shared" si="3"/>
        <v/>
      </c>
      <c r="O289" s="4" t="str">
        <f t="shared" si="11"/>
        <v/>
      </c>
      <c r="P289" s="4" t="str">
        <f t="array" ref="P289">XLOOKUP(L289,'Dados Funil'!A:A,'Dados Funil'!AM:AM,"")</f>
        <v/>
      </c>
      <c r="Q289" s="4" t="str">
        <f t="array" ref="Q289">XLOOKUP(L289,'Dados Funil'!A:A,'Dados Funil'!AN:AN,"")</f>
        <v/>
      </c>
      <c r="T289" s="7" t="str">
        <f t="shared" si="4"/>
        <v/>
      </c>
      <c r="U289" s="4" t="str">
        <f t="shared" si="12"/>
        <v/>
      </c>
      <c r="V289" s="4" t="str">
        <f t="array" ref="V289">XLOOKUP(R289,'Dados Funil'!$A:$A,'Dados Funil'!$K:$K,"")</f>
        <v/>
      </c>
      <c r="W289" s="4" t="str">
        <f t="array" ref="W289">XLOOKUP(R289,'Dados Funil'!$A:$A,'Dados Funil'!$L:$L,"")</f>
        <v/>
      </c>
      <c r="X289" s="4"/>
      <c r="Y289" s="4"/>
      <c r="Z289" s="7" t="str">
        <f t="shared" si="5"/>
        <v/>
      </c>
      <c r="AA289" s="4" t="str">
        <f t="shared" si="13"/>
        <v/>
      </c>
      <c r="AB289" s="4" t="str">
        <f t="array" ref="AB289">XLOOKUP(X289,'Dados Funil'!A:A,'Dados Funil'!O:O,"")</f>
        <v/>
      </c>
      <c r="AE289" s="7" t="str">
        <f t="shared" si="6"/>
        <v/>
      </c>
      <c r="AG289" s="4" t="str">
        <f t="array" ref="AG289">XLOOKUP(AC289,'Dados Funil'!A:A,'Dados Funil'!AM:AM,"")</f>
        <v/>
      </c>
      <c r="AH289" s="4" t="str">
        <f t="array" ref="AH289">XLOOKUP(AC289,'Dados Funil'!A:A,'Dados Funil'!AN:AN,"")</f>
        <v/>
      </c>
    </row>
    <row r="290">
      <c r="A290" s="4"/>
      <c r="B290" s="4"/>
      <c r="C290" s="7" t="str">
        <f t="shared" si="1"/>
        <v/>
      </c>
      <c r="D290" s="4" t="str">
        <f t="shared" si="9"/>
        <v/>
      </c>
      <c r="E290" s="4" t="str">
        <f t="array" ref="E290">XLOOKUP(A290,'Dados Funil'!$A:$A,'Dados Funil'!$K:$K,"")</f>
        <v/>
      </c>
      <c r="F290" s="4" t="str">
        <f t="array" ref="F290">XLOOKUP(A290,'Dados Funil'!$A:$A,'Dados Funil'!$L:$L,"")</f>
        <v/>
      </c>
      <c r="G290" s="4"/>
      <c r="H290" s="4"/>
      <c r="I290" s="7" t="str">
        <f t="shared" si="2"/>
        <v/>
      </c>
      <c r="J290" s="4" t="str">
        <f t="shared" si="10"/>
        <v/>
      </c>
      <c r="K290" s="4" t="str">
        <f t="array" ref="K290">XLOOKUP(G290,'Dados Funil'!A:A,'Dados Funil'!O:O,"")</f>
        <v/>
      </c>
      <c r="L290" s="4"/>
      <c r="M290" s="4"/>
      <c r="N290" s="7" t="str">
        <f t="shared" si="3"/>
        <v/>
      </c>
      <c r="O290" s="4" t="str">
        <f t="shared" si="11"/>
        <v/>
      </c>
      <c r="P290" s="4" t="str">
        <f t="array" ref="P290">XLOOKUP(L290,'Dados Funil'!A:A,'Dados Funil'!AM:AM,"")</f>
        <v/>
      </c>
      <c r="Q290" s="4" t="str">
        <f t="array" ref="Q290">XLOOKUP(L290,'Dados Funil'!A:A,'Dados Funil'!AN:AN,"")</f>
        <v/>
      </c>
      <c r="T290" s="7" t="str">
        <f t="shared" si="4"/>
        <v/>
      </c>
      <c r="U290" s="4" t="str">
        <f t="shared" si="12"/>
        <v/>
      </c>
      <c r="V290" s="4" t="str">
        <f t="array" ref="V290">XLOOKUP(R290,'Dados Funil'!$A:$A,'Dados Funil'!$K:$K,"")</f>
        <v/>
      </c>
      <c r="W290" s="4" t="str">
        <f t="array" ref="W290">XLOOKUP(R290,'Dados Funil'!$A:$A,'Dados Funil'!$L:$L,"")</f>
        <v/>
      </c>
      <c r="X290" s="4"/>
      <c r="Y290" s="4"/>
      <c r="Z290" s="7" t="str">
        <f t="shared" si="5"/>
        <v/>
      </c>
      <c r="AA290" s="4" t="str">
        <f t="shared" si="13"/>
        <v/>
      </c>
      <c r="AB290" s="4" t="str">
        <f t="array" ref="AB290">XLOOKUP(X290,'Dados Funil'!A:A,'Dados Funil'!O:O,"")</f>
        <v/>
      </c>
      <c r="AE290" s="7" t="str">
        <f t="shared" si="6"/>
        <v/>
      </c>
      <c r="AG290" s="4" t="str">
        <f t="array" ref="AG290">XLOOKUP(AC290,'Dados Funil'!A:A,'Dados Funil'!AM:AM,"")</f>
        <v/>
      </c>
      <c r="AH290" s="4" t="str">
        <f t="array" ref="AH290">XLOOKUP(AC290,'Dados Funil'!A:A,'Dados Funil'!AN:AN,"")</f>
        <v/>
      </c>
    </row>
    <row r="291">
      <c r="A291" s="4"/>
      <c r="B291" s="4"/>
      <c r="C291" s="7" t="str">
        <f t="shared" si="1"/>
        <v/>
      </c>
      <c r="D291" s="4" t="str">
        <f t="shared" si="9"/>
        <v/>
      </c>
      <c r="E291" s="4" t="str">
        <f t="array" ref="E291">XLOOKUP(A291,'Dados Funil'!$A:$A,'Dados Funil'!$K:$K,"")</f>
        <v/>
      </c>
      <c r="F291" s="4" t="str">
        <f t="array" ref="F291">XLOOKUP(A291,'Dados Funil'!$A:$A,'Dados Funil'!$L:$L,"")</f>
        <v/>
      </c>
      <c r="G291" s="4"/>
      <c r="H291" s="4"/>
      <c r="I291" s="7" t="str">
        <f t="shared" si="2"/>
        <v/>
      </c>
      <c r="J291" s="4" t="str">
        <f t="shared" si="10"/>
        <v/>
      </c>
      <c r="K291" s="4" t="str">
        <f t="array" ref="K291">XLOOKUP(G291,'Dados Funil'!A:A,'Dados Funil'!O:O,"")</f>
        <v/>
      </c>
      <c r="L291" s="4"/>
      <c r="M291" s="4"/>
      <c r="N291" s="7" t="str">
        <f t="shared" si="3"/>
        <v/>
      </c>
      <c r="O291" s="4" t="str">
        <f t="shared" si="11"/>
        <v/>
      </c>
      <c r="P291" s="4" t="str">
        <f t="array" ref="P291">XLOOKUP(L291,'Dados Funil'!A:A,'Dados Funil'!AM:AM,"")</f>
        <v/>
      </c>
      <c r="Q291" s="4" t="str">
        <f t="array" ref="Q291">XLOOKUP(L291,'Dados Funil'!A:A,'Dados Funil'!AN:AN,"")</f>
        <v/>
      </c>
      <c r="T291" s="7" t="str">
        <f t="shared" si="4"/>
        <v/>
      </c>
      <c r="U291" s="4" t="str">
        <f t="shared" si="12"/>
        <v/>
      </c>
      <c r="V291" s="4" t="str">
        <f t="array" ref="V291">XLOOKUP(R291,'Dados Funil'!$A:$A,'Dados Funil'!$K:$K,"")</f>
        <v/>
      </c>
      <c r="W291" s="4" t="str">
        <f t="array" ref="W291">XLOOKUP(R291,'Dados Funil'!$A:$A,'Dados Funil'!$L:$L,"")</f>
        <v/>
      </c>
      <c r="X291" s="4"/>
      <c r="Y291" s="4"/>
      <c r="Z291" s="7" t="str">
        <f t="shared" si="5"/>
        <v/>
      </c>
      <c r="AA291" s="4" t="str">
        <f t="shared" si="13"/>
        <v/>
      </c>
      <c r="AB291" s="4" t="str">
        <f t="array" ref="AB291">XLOOKUP(X291,'Dados Funil'!A:A,'Dados Funil'!O:O,"")</f>
        <v/>
      </c>
      <c r="AE291" s="7" t="str">
        <f t="shared" si="6"/>
        <v/>
      </c>
      <c r="AG291" s="4" t="str">
        <f t="array" ref="AG291">XLOOKUP(AC291,'Dados Funil'!A:A,'Dados Funil'!AM:AM,"")</f>
        <v/>
      </c>
      <c r="AH291" s="4" t="str">
        <f t="array" ref="AH291">XLOOKUP(AC291,'Dados Funil'!A:A,'Dados Funil'!AN:AN,"")</f>
        <v/>
      </c>
    </row>
    <row r="292">
      <c r="A292" s="4"/>
      <c r="B292" s="4"/>
      <c r="C292" s="7" t="str">
        <f t="shared" si="1"/>
        <v/>
      </c>
      <c r="D292" s="4" t="str">
        <f t="shared" si="9"/>
        <v/>
      </c>
      <c r="E292" s="4" t="str">
        <f t="array" ref="E292">XLOOKUP(A292,'Dados Funil'!$A:$A,'Dados Funil'!$K:$K,"")</f>
        <v/>
      </c>
      <c r="F292" s="4" t="str">
        <f t="array" ref="F292">XLOOKUP(A292,'Dados Funil'!$A:$A,'Dados Funil'!$L:$L,"")</f>
        <v/>
      </c>
      <c r="G292" s="4"/>
      <c r="H292" s="4"/>
      <c r="I292" s="7" t="str">
        <f t="shared" si="2"/>
        <v/>
      </c>
      <c r="J292" s="4" t="str">
        <f t="shared" si="10"/>
        <v/>
      </c>
      <c r="K292" s="4" t="str">
        <f t="array" ref="K292">XLOOKUP(G292,'Dados Funil'!A:A,'Dados Funil'!O:O,"")</f>
        <v/>
      </c>
      <c r="L292" s="4"/>
      <c r="M292" s="4"/>
      <c r="N292" s="7" t="str">
        <f t="shared" si="3"/>
        <v/>
      </c>
      <c r="O292" s="4" t="str">
        <f t="shared" si="11"/>
        <v/>
      </c>
      <c r="P292" s="4" t="str">
        <f t="array" ref="P292">XLOOKUP(L292,'Dados Funil'!A:A,'Dados Funil'!AM:AM,"")</f>
        <v/>
      </c>
      <c r="Q292" s="4" t="str">
        <f t="array" ref="Q292">XLOOKUP(L292,'Dados Funil'!A:A,'Dados Funil'!AN:AN,"")</f>
        <v/>
      </c>
      <c r="T292" s="7" t="str">
        <f t="shared" si="4"/>
        <v/>
      </c>
      <c r="U292" s="4" t="str">
        <f t="shared" si="12"/>
        <v/>
      </c>
      <c r="V292" s="4" t="str">
        <f t="array" ref="V292">XLOOKUP(R292,'Dados Funil'!$A:$A,'Dados Funil'!$K:$K,"")</f>
        <v/>
      </c>
      <c r="W292" s="4" t="str">
        <f t="array" ref="W292">XLOOKUP(R292,'Dados Funil'!$A:$A,'Dados Funil'!$L:$L,"")</f>
        <v/>
      </c>
      <c r="X292" s="4"/>
      <c r="Y292" s="4"/>
      <c r="Z292" s="7" t="str">
        <f t="shared" si="5"/>
        <v/>
      </c>
      <c r="AA292" s="4" t="str">
        <f t="shared" si="13"/>
        <v/>
      </c>
      <c r="AB292" s="4" t="str">
        <f t="array" ref="AB292">XLOOKUP(X292,'Dados Funil'!A:A,'Dados Funil'!O:O,"")</f>
        <v/>
      </c>
      <c r="AE292" s="7" t="str">
        <f t="shared" si="6"/>
        <v/>
      </c>
      <c r="AG292" s="4" t="str">
        <f t="array" ref="AG292">XLOOKUP(AC292,'Dados Funil'!A:A,'Dados Funil'!AM:AM,"")</f>
        <v/>
      </c>
      <c r="AH292" s="4" t="str">
        <f t="array" ref="AH292">XLOOKUP(AC292,'Dados Funil'!A:A,'Dados Funil'!AN:AN,"")</f>
        <v/>
      </c>
    </row>
    <row r="293">
      <c r="A293" s="4"/>
      <c r="B293" s="4"/>
      <c r="C293" s="7" t="str">
        <f t="shared" si="1"/>
        <v/>
      </c>
      <c r="D293" s="4" t="str">
        <f t="shared" si="9"/>
        <v/>
      </c>
      <c r="E293" s="4" t="str">
        <f t="array" ref="E293">XLOOKUP(A293,'Dados Funil'!$A:$A,'Dados Funil'!$K:$K,"")</f>
        <v/>
      </c>
      <c r="F293" s="4" t="str">
        <f t="array" ref="F293">XLOOKUP(A293,'Dados Funil'!$A:$A,'Dados Funil'!$L:$L,"")</f>
        <v/>
      </c>
      <c r="G293" s="4"/>
      <c r="H293" s="4"/>
      <c r="I293" s="7" t="str">
        <f t="shared" si="2"/>
        <v/>
      </c>
      <c r="J293" s="4" t="str">
        <f t="shared" si="10"/>
        <v/>
      </c>
      <c r="K293" s="4" t="str">
        <f t="array" ref="K293">XLOOKUP(G293,'Dados Funil'!A:A,'Dados Funil'!O:O,"")</f>
        <v/>
      </c>
      <c r="L293" s="4"/>
      <c r="M293" s="4"/>
      <c r="N293" s="7" t="str">
        <f t="shared" si="3"/>
        <v/>
      </c>
      <c r="O293" s="4" t="str">
        <f t="shared" si="11"/>
        <v/>
      </c>
      <c r="P293" s="4" t="str">
        <f t="array" ref="P293">XLOOKUP(L293,'Dados Funil'!A:A,'Dados Funil'!AM:AM,"")</f>
        <v/>
      </c>
      <c r="Q293" s="4" t="str">
        <f t="array" ref="Q293">XLOOKUP(L293,'Dados Funil'!A:A,'Dados Funil'!AN:AN,"")</f>
        <v/>
      </c>
      <c r="T293" s="7" t="str">
        <f t="shared" si="4"/>
        <v/>
      </c>
      <c r="U293" s="4" t="str">
        <f t="shared" si="12"/>
        <v/>
      </c>
      <c r="V293" s="4" t="str">
        <f t="array" ref="V293">XLOOKUP(R293,'Dados Funil'!$A:$A,'Dados Funil'!$K:$K,"")</f>
        <v/>
      </c>
      <c r="W293" s="4" t="str">
        <f t="array" ref="W293">XLOOKUP(R293,'Dados Funil'!$A:$A,'Dados Funil'!$L:$L,"")</f>
        <v/>
      </c>
      <c r="X293" s="4"/>
      <c r="Y293" s="4"/>
      <c r="Z293" s="7" t="str">
        <f t="shared" si="5"/>
        <v/>
      </c>
      <c r="AA293" s="4" t="str">
        <f t="shared" si="13"/>
        <v/>
      </c>
      <c r="AB293" s="4" t="str">
        <f t="array" ref="AB293">XLOOKUP(X293,'Dados Funil'!A:A,'Dados Funil'!O:O,"")</f>
        <v/>
      </c>
      <c r="AE293" s="7" t="str">
        <f t="shared" si="6"/>
        <v/>
      </c>
      <c r="AG293" s="4" t="str">
        <f t="array" ref="AG293">XLOOKUP(AC293,'Dados Funil'!A:A,'Dados Funil'!AM:AM,"")</f>
        <v/>
      </c>
      <c r="AH293" s="4" t="str">
        <f t="array" ref="AH293">XLOOKUP(AC293,'Dados Funil'!A:A,'Dados Funil'!AN:AN,"")</f>
        <v/>
      </c>
    </row>
    <row r="294">
      <c r="A294" s="4"/>
      <c r="B294" s="4"/>
      <c r="C294" s="7" t="str">
        <f t="shared" si="1"/>
        <v/>
      </c>
      <c r="D294" s="4" t="str">
        <f t="shared" si="9"/>
        <v/>
      </c>
      <c r="E294" s="4" t="str">
        <f t="array" ref="E294">XLOOKUP(A294,'Dados Funil'!$A:$A,'Dados Funil'!$K:$K,"")</f>
        <v/>
      </c>
      <c r="F294" s="4" t="str">
        <f t="array" ref="F294">XLOOKUP(A294,'Dados Funil'!$A:$A,'Dados Funil'!$L:$L,"")</f>
        <v/>
      </c>
      <c r="G294" s="4"/>
      <c r="H294" s="4"/>
      <c r="I294" s="7" t="str">
        <f t="shared" si="2"/>
        <v/>
      </c>
      <c r="J294" s="4" t="str">
        <f t="shared" si="10"/>
        <v/>
      </c>
      <c r="K294" s="4" t="str">
        <f t="array" ref="K294">XLOOKUP(G294,'Dados Funil'!A:A,'Dados Funil'!O:O,"")</f>
        <v/>
      </c>
      <c r="L294" s="4"/>
      <c r="M294" s="4"/>
      <c r="N294" s="7" t="str">
        <f t="shared" si="3"/>
        <v/>
      </c>
      <c r="O294" s="4" t="str">
        <f t="shared" si="11"/>
        <v/>
      </c>
      <c r="P294" s="4" t="str">
        <f t="array" ref="P294">XLOOKUP(L294,'Dados Funil'!A:A,'Dados Funil'!AM:AM,"")</f>
        <v/>
      </c>
      <c r="Q294" s="4" t="str">
        <f t="array" ref="Q294">XLOOKUP(L294,'Dados Funil'!A:A,'Dados Funil'!AN:AN,"")</f>
        <v/>
      </c>
      <c r="T294" s="7" t="str">
        <f t="shared" si="4"/>
        <v/>
      </c>
      <c r="U294" s="4" t="str">
        <f t="shared" si="12"/>
        <v/>
      </c>
      <c r="V294" s="4" t="str">
        <f t="array" ref="V294">XLOOKUP(R294,'Dados Funil'!$A:$A,'Dados Funil'!$K:$K,"")</f>
        <v/>
      </c>
      <c r="W294" s="4" t="str">
        <f t="array" ref="W294">XLOOKUP(R294,'Dados Funil'!$A:$A,'Dados Funil'!$L:$L,"")</f>
        <v/>
      </c>
      <c r="X294" s="4"/>
      <c r="Y294" s="4"/>
      <c r="Z294" s="7" t="str">
        <f t="shared" si="5"/>
        <v/>
      </c>
      <c r="AA294" s="4" t="str">
        <f t="shared" si="13"/>
        <v/>
      </c>
      <c r="AB294" s="4" t="str">
        <f t="array" ref="AB294">XLOOKUP(X294,'Dados Funil'!A:A,'Dados Funil'!O:O,"")</f>
        <v/>
      </c>
      <c r="AE294" s="7" t="str">
        <f t="shared" si="6"/>
        <v/>
      </c>
      <c r="AG294" s="4" t="str">
        <f t="array" ref="AG294">XLOOKUP(AC294,'Dados Funil'!A:A,'Dados Funil'!AM:AM,"")</f>
        <v/>
      </c>
      <c r="AH294" s="4" t="str">
        <f t="array" ref="AH294">XLOOKUP(AC294,'Dados Funil'!A:A,'Dados Funil'!AN:AN,"")</f>
        <v/>
      </c>
    </row>
    <row r="295">
      <c r="A295" s="4"/>
      <c r="B295" s="4"/>
      <c r="C295" s="7" t="str">
        <f t="shared" si="1"/>
        <v/>
      </c>
      <c r="D295" s="4" t="str">
        <f t="shared" si="9"/>
        <v/>
      </c>
      <c r="E295" s="4" t="str">
        <f t="array" ref="E295">XLOOKUP(A295,'Dados Funil'!$A:$A,'Dados Funil'!$K:$K,"")</f>
        <v/>
      </c>
      <c r="F295" s="4" t="str">
        <f t="array" ref="F295">XLOOKUP(A295,'Dados Funil'!$A:$A,'Dados Funil'!$L:$L,"")</f>
        <v/>
      </c>
      <c r="G295" s="4"/>
      <c r="H295" s="4"/>
      <c r="I295" s="7" t="str">
        <f t="shared" si="2"/>
        <v/>
      </c>
      <c r="J295" s="4" t="str">
        <f t="shared" si="10"/>
        <v/>
      </c>
      <c r="K295" s="4" t="str">
        <f t="array" ref="K295">XLOOKUP(G295,'Dados Funil'!A:A,'Dados Funil'!O:O,"")</f>
        <v/>
      </c>
      <c r="L295" s="4"/>
      <c r="M295" s="4"/>
      <c r="N295" s="7" t="str">
        <f t="shared" si="3"/>
        <v/>
      </c>
      <c r="O295" s="4" t="str">
        <f t="shared" si="11"/>
        <v/>
      </c>
      <c r="P295" s="4" t="str">
        <f t="array" ref="P295">XLOOKUP(L295,'Dados Funil'!A:A,'Dados Funil'!AM:AM,"")</f>
        <v/>
      </c>
      <c r="Q295" s="4" t="str">
        <f t="array" ref="Q295">XLOOKUP(L295,'Dados Funil'!A:A,'Dados Funil'!AN:AN,"")</f>
        <v/>
      </c>
      <c r="T295" s="7" t="str">
        <f t="shared" si="4"/>
        <v/>
      </c>
      <c r="U295" s="4" t="str">
        <f t="shared" si="12"/>
        <v/>
      </c>
      <c r="V295" s="4" t="str">
        <f t="array" ref="V295">XLOOKUP(R295,'Dados Funil'!$A:$A,'Dados Funil'!$K:$K,"")</f>
        <v/>
      </c>
      <c r="W295" s="4" t="str">
        <f t="array" ref="W295">XLOOKUP(R295,'Dados Funil'!$A:$A,'Dados Funil'!$L:$L,"")</f>
        <v/>
      </c>
      <c r="X295" s="4"/>
      <c r="Y295" s="4"/>
      <c r="Z295" s="7" t="str">
        <f t="shared" si="5"/>
        <v/>
      </c>
      <c r="AA295" s="4" t="str">
        <f t="shared" si="13"/>
        <v/>
      </c>
      <c r="AB295" s="4" t="str">
        <f t="array" ref="AB295">XLOOKUP(X295,'Dados Funil'!A:A,'Dados Funil'!O:O,"")</f>
        <v/>
      </c>
      <c r="AE295" s="7" t="str">
        <f t="shared" si="6"/>
        <v/>
      </c>
      <c r="AG295" s="4" t="str">
        <f t="array" ref="AG295">XLOOKUP(AC295,'Dados Funil'!A:A,'Dados Funil'!AM:AM,"")</f>
        <v/>
      </c>
      <c r="AH295" s="4" t="str">
        <f t="array" ref="AH295">XLOOKUP(AC295,'Dados Funil'!A:A,'Dados Funil'!AN:AN,"")</f>
        <v/>
      </c>
    </row>
    <row r="296">
      <c r="A296" s="4"/>
      <c r="B296" s="4"/>
      <c r="C296" s="7" t="str">
        <f t="shared" si="1"/>
        <v/>
      </c>
      <c r="D296" s="4" t="str">
        <f t="shared" si="9"/>
        <v/>
      </c>
      <c r="E296" s="4" t="str">
        <f t="array" ref="E296">XLOOKUP(A296,'Dados Funil'!$A:$A,'Dados Funil'!$K:$K,"")</f>
        <v/>
      </c>
      <c r="F296" s="4" t="str">
        <f t="array" ref="F296">XLOOKUP(A296,'Dados Funil'!$A:$A,'Dados Funil'!$L:$L,"")</f>
        <v/>
      </c>
      <c r="G296" s="4"/>
      <c r="H296" s="4"/>
      <c r="I296" s="7" t="str">
        <f t="shared" si="2"/>
        <v/>
      </c>
      <c r="J296" s="4" t="str">
        <f t="shared" si="10"/>
        <v/>
      </c>
      <c r="K296" s="4" t="str">
        <f t="array" ref="K296">XLOOKUP(G296,'Dados Funil'!A:A,'Dados Funil'!O:O,"")</f>
        <v/>
      </c>
      <c r="L296" s="4"/>
      <c r="M296" s="4"/>
      <c r="N296" s="7" t="str">
        <f t="shared" si="3"/>
        <v/>
      </c>
      <c r="O296" s="4" t="str">
        <f t="shared" si="11"/>
        <v/>
      </c>
      <c r="P296" s="4" t="str">
        <f t="array" ref="P296">XLOOKUP(L296,'Dados Funil'!A:A,'Dados Funil'!AM:AM,"")</f>
        <v/>
      </c>
      <c r="Q296" s="4" t="str">
        <f t="array" ref="Q296">XLOOKUP(L296,'Dados Funil'!A:A,'Dados Funil'!AN:AN,"")</f>
        <v/>
      </c>
      <c r="T296" s="7" t="str">
        <f t="shared" si="4"/>
        <v/>
      </c>
      <c r="U296" s="4" t="str">
        <f t="shared" si="12"/>
        <v/>
      </c>
      <c r="V296" s="4" t="str">
        <f t="array" ref="V296">XLOOKUP(R296,'Dados Funil'!$A:$A,'Dados Funil'!$K:$K,"")</f>
        <v/>
      </c>
      <c r="W296" s="4" t="str">
        <f t="array" ref="W296">XLOOKUP(R296,'Dados Funil'!$A:$A,'Dados Funil'!$L:$L,"")</f>
        <v/>
      </c>
      <c r="X296" s="4"/>
      <c r="Y296" s="4"/>
      <c r="Z296" s="7" t="str">
        <f t="shared" si="5"/>
        <v/>
      </c>
      <c r="AA296" s="4" t="str">
        <f t="shared" si="13"/>
        <v/>
      </c>
      <c r="AB296" s="4" t="str">
        <f t="array" ref="AB296">XLOOKUP(X296,'Dados Funil'!A:A,'Dados Funil'!O:O,"")</f>
        <v/>
      </c>
      <c r="AE296" s="7" t="str">
        <f t="shared" si="6"/>
        <v/>
      </c>
      <c r="AG296" s="4" t="str">
        <f t="array" ref="AG296">XLOOKUP(AC296,'Dados Funil'!A:A,'Dados Funil'!AM:AM,"")</f>
        <v/>
      </c>
      <c r="AH296" s="4" t="str">
        <f t="array" ref="AH296">XLOOKUP(AC296,'Dados Funil'!A:A,'Dados Funil'!AN:AN,"")</f>
        <v/>
      </c>
    </row>
    <row r="297">
      <c r="A297" s="4"/>
      <c r="B297" s="4"/>
      <c r="C297" s="7" t="str">
        <f t="shared" si="1"/>
        <v/>
      </c>
      <c r="D297" s="4" t="str">
        <f t="shared" si="9"/>
        <v/>
      </c>
      <c r="E297" s="4" t="str">
        <f t="array" ref="E297">XLOOKUP(A297,'Dados Funil'!$A:$A,'Dados Funil'!$K:$K,"")</f>
        <v/>
      </c>
      <c r="F297" s="4" t="str">
        <f t="array" ref="F297">XLOOKUP(A297,'Dados Funil'!$A:$A,'Dados Funil'!$L:$L,"")</f>
        <v/>
      </c>
      <c r="G297" s="4"/>
      <c r="H297" s="4"/>
      <c r="I297" s="7" t="str">
        <f t="shared" si="2"/>
        <v/>
      </c>
      <c r="J297" s="4" t="str">
        <f t="shared" si="10"/>
        <v/>
      </c>
      <c r="K297" s="4" t="str">
        <f t="array" ref="K297">XLOOKUP(G297,'Dados Funil'!A:A,'Dados Funil'!O:O,"")</f>
        <v/>
      </c>
      <c r="L297" s="4"/>
      <c r="M297" s="4"/>
      <c r="N297" s="7" t="str">
        <f t="shared" si="3"/>
        <v/>
      </c>
      <c r="O297" s="4" t="str">
        <f t="shared" si="11"/>
        <v/>
      </c>
      <c r="P297" s="4" t="str">
        <f t="array" ref="P297">XLOOKUP(L297,'Dados Funil'!A:A,'Dados Funil'!AM:AM,"")</f>
        <v/>
      </c>
      <c r="Q297" s="4" t="str">
        <f t="array" ref="Q297">XLOOKUP(L297,'Dados Funil'!A:A,'Dados Funil'!AN:AN,"")</f>
        <v/>
      </c>
      <c r="T297" s="7" t="str">
        <f t="shared" si="4"/>
        <v/>
      </c>
      <c r="U297" s="4" t="str">
        <f t="shared" si="12"/>
        <v/>
      </c>
      <c r="V297" s="4" t="str">
        <f t="array" ref="V297">XLOOKUP(R297,'Dados Funil'!$A:$A,'Dados Funil'!$K:$K,"")</f>
        <v/>
      </c>
      <c r="W297" s="4" t="str">
        <f t="array" ref="W297">XLOOKUP(R297,'Dados Funil'!$A:$A,'Dados Funil'!$L:$L,"")</f>
        <v/>
      </c>
      <c r="X297" s="4"/>
      <c r="Y297" s="4"/>
      <c r="Z297" s="7" t="str">
        <f t="shared" si="5"/>
        <v/>
      </c>
      <c r="AA297" s="4" t="str">
        <f t="shared" si="13"/>
        <v/>
      </c>
      <c r="AB297" s="4" t="str">
        <f t="array" ref="AB297">XLOOKUP(X297,'Dados Funil'!A:A,'Dados Funil'!O:O,"")</f>
        <v/>
      </c>
      <c r="AE297" s="7" t="str">
        <f t="shared" si="6"/>
        <v/>
      </c>
      <c r="AG297" s="4" t="str">
        <f t="array" ref="AG297">XLOOKUP(AC297,'Dados Funil'!A:A,'Dados Funil'!AM:AM,"")</f>
        <v/>
      </c>
      <c r="AH297" s="4" t="str">
        <f t="array" ref="AH297">XLOOKUP(AC297,'Dados Funil'!A:A,'Dados Funil'!AN:AN,"")</f>
        <v/>
      </c>
    </row>
    <row r="298">
      <c r="A298" s="4"/>
      <c r="B298" s="4"/>
      <c r="C298" s="7" t="str">
        <f t="shared" si="1"/>
        <v/>
      </c>
      <c r="D298" s="4" t="str">
        <f t="shared" si="9"/>
        <v/>
      </c>
      <c r="E298" s="4" t="str">
        <f t="array" ref="E298">XLOOKUP(A298,'Dados Funil'!$A:$A,'Dados Funil'!$K:$K,"")</f>
        <v/>
      </c>
      <c r="F298" s="4" t="str">
        <f t="array" ref="F298">XLOOKUP(A298,'Dados Funil'!$A:$A,'Dados Funil'!$L:$L,"")</f>
        <v/>
      </c>
      <c r="G298" s="4"/>
      <c r="H298" s="4"/>
      <c r="I298" s="7" t="str">
        <f t="shared" si="2"/>
        <v/>
      </c>
      <c r="J298" s="4" t="str">
        <f t="shared" si="10"/>
        <v/>
      </c>
      <c r="K298" s="4" t="str">
        <f t="array" ref="K298">XLOOKUP(G298,'Dados Funil'!A:A,'Dados Funil'!O:O,"")</f>
        <v/>
      </c>
      <c r="L298" s="4"/>
      <c r="M298" s="4"/>
      <c r="N298" s="7" t="str">
        <f t="shared" si="3"/>
        <v/>
      </c>
      <c r="O298" s="4" t="str">
        <f t="shared" si="11"/>
        <v/>
      </c>
      <c r="P298" s="4" t="str">
        <f t="array" ref="P298">XLOOKUP(L298,'Dados Funil'!A:A,'Dados Funil'!AM:AM,"")</f>
        <v/>
      </c>
      <c r="Q298" s="4" t="str">
        <f t="array" ref="Q298">XLOOKUP(L298,'Dados Funil'!A:A,'Dados Funil'!AN:AN,"")</f>
        <v/>
      </c>
      <c r="T298" s="7" t="str">
        <f t="shared" si="4"/>
        <v/>
      </c>
      <c r="U298" s="4" t="str">
        <f t="shared" si="12"/>
        <v/>
      </c>
      <c r="V298" s="4" t="str">
        <f t="array" ref="V298">XLOOKUP(R298,'Dados Funil'!$A:$A,'Dados Funil'!$K:$K,"")</f>
        <v/>
      </c>
      <c r="W298" s="4" t="str">
        <f t="array" ref="W298">XLOOKUP(R298,'Dados Funil'!$A:$A,'Dados Funil'!$L:$L,"")</f>
        <v/>
      </c>
      <c r="X298" s="4"/>
      <c r="Y298" s="4"/>
      <c r="Z298" s="7" t="str">
        <f t="shared" si="5"/>
        <v/>
      </c>
      <c r="AA298" s="4" t="str">
        <f t="shared" si="13"/>
        <v/>
      </c>
      <c r="AB298" s="4" t="str">
        <f t="array" ref="AB298">XLOOKUP(X298,'Dados Funil'!A:A,'Dados Funil'!O:O,"")</f>
        <v/>
      </c>
      <c r="AE298" s="7" t="str">
        <f t="shared" si="6"/>
        <v/>
      </c>
      <c r="AG298" s="4" t="str">
        <f t="array" ref="AG298">XLOOKUP(AC298,'Dados Funil'!A:A,'Dados Funil'!AM:AM,"")</f>
        <v/>
      </c>
      <c r="AH298" s="4" t="str">
        <f t="array" ref="AH298">XLOOKUP(AC298,'Dados Funil'!A:A,'Dados Funil'!AN:AN,"")</f>
        <v/>
      </c>
    </row>
    <row r="299">
      <c r="A299" s="4"/>
      <c r="B299" s="4"/>
      <c r="C299" s="7" t="str">
        <f t="shared" si="1"/>
        <v/>
      </c>
      <c r="D299" s="4" t="str">
        <f t="shared" si="9"/>
        <v/>
      </c>
      <c r="E299" s="4" t="str">
        <f t="array" ref="E299">XLOOKUP(A299,'Dados Funil'!$A:$A,'Dados Funil'!$K:$K,"")</f>
        <v/>
      </c>
      <c r="F299" s="4" t="str">
        <f t="array" ref="F299">XLOOKUP(A299,'Dados Funil'!$A:$A,'Dados Funil'!$L:$L,"")</f>
        <v/>
      </c>
      <c r="G299" s="4"/>
      <c r="H299" s="4"/>
      <c r="I299" s="7" t="str">
        <f t="shared" si="2"/>
        <v/>
      </c>
      <c r="J299" s="4" t="str">
        <f t="shared" si="10"/>
        <v/>
      </c>
      <c r="K299" s="4" t="str">
        <f t="array" ref="K299">XLOOKUP(G299,'Dados Funil'!A:A,'Dados Funil'!O:O,"")</f>
        <v/>
      </c>
      <c r="L299" s="4"/>
      <c r="M299" s="4"/>
      <c r="N299" s="7" t="str">
        <f t="shared" si="3"/>
        <v/>
      </c>
      <c r="O299" s="4" t="str">
        <f t="shared" si="11"/>
        <v/>
      </c>
      <c r="P299" s="4" t="str">
        <f t="array" ref="P299">XLOOKUP(L299,'Dados Funil'!A:A,'Dados Funil'!AM:AM,"")</f>
        <v/>
      </c>
      <c r="Q299" s="4" t="str">
        <f t="array" ref="Q299">XLOOKUP(L299,'Dados Funil'!A:A,'Dados Funil'!AN:AN,"")</f>
        <v/>
      </c>
      <c r="T299" s="7" t="str">
        <f t="shared" si="4"/>
        <v/>
      </c>
      <c r="U299" s="4" t="str">
        <f t="shared" si="12"/>
        <v/>
      </c>
      <c r="V299" s="4" t="str">
        <f t="array" ref="V299">XLOOKUP(R299,'Dados Funil'!$A:$A,'Dados Funil'!$K:$K,"")</f>
        <v/>
      </c>
      <c r="W299" s="4" t="str">
        <f t="array" ref="W299">XLOOKUP(R299,'Dados Funil'!$A:$A,'Dados Funil'!$L:$L,"")</f>
        <v/>
      </c>
      <c r="X299" s="4"/>
      <c r="Y299" s="4"/>
      <c r="Z299" s="7" t="str">
        <f t="shared" si="5"/>
        <v/>
      </c>
      <c r="AA299" s="4" t="str">
        <f t="shared" si="13"/>
        <v/>
      </c>
      <c r="AB299" s="4" t="str">
        <f t="array" ref="AB299">XLOOKUP(X299,'Dados Funil'!A:A,'Dados Funil'!O:O,"")</f>
        <v/>
      </c>
      <c r="AE299" s="7" t="str">
        <f t="shared" si="6"/>
        <v/>
      </c>
      <c r="AG299" s="4" t="str">
        <f t="array" ref="AG299">XLOOKUP(AC299,'Dados Funil'!A:A,'Dados Funil'!AM:AM,"")</f>
        <v/>
      </c>
      <c r="AH299" s="4" t="str">
        <f t="array" ref="AH299">XLOOKUP(AC299,'Dados Funil'!A:A,'Dados Funil'!AN:AN,"")</f>
        <v/>
      </c>
    </row>
    <row r="300">
      <c r="A300" s="4"/>
      <c r="B300" s="4"/>
      <c r="C300" s="7" t="str">
        <f t="shared" si="1"/>
        <v/>
      </c>
      <c r="D300" s="4" t="str">
        <f t="shared" si="9"/>
        <v/>
      </c>
      <c r="E300" s="4" t="str">
        <f t="array" ref="E300">XLOOKUP(A300,'Dados Funil'!$A:$A,'Dados Funil'!$K:$K,"")</f>
        <v/>
      </c>
      <c r="F300" s="4" t="str">
        <f t="array" ref="F300">XLOOKUP(A300,'Dados Funil'!$A:$A,'Dados Funil'!$L:$L,"")</f>
        <v/>
      </c>
      <c r="G300" s="4"/>
      <c r="H300" s="4"/>
      <c r="I300" s="7" t="str">
        <f t="shared" si="2"/>
        <v/>
      </c>
      <c r="J300" s="4" t="str">
        <f t="shared" si="10"/>
        <v/>
      </c>
      <c r="K300" s="4" t="str">
        <f t="array" ref="K300">XLOOKUP(G300,'Dados Funil'!A:A,'Dados Funil'!O:O,"")</f>
        <v/>
      </c>
      <c r="L300" s="4"/>
      <c r="M300" s="4"/>
      <c r="N300" s="7" t="str">
        <f t="shared" si="3"/>
        <v/>
      </c>
      <c r="O300" s="4" t="str">
        <f t="shared" si="11"/>
        <v/>
      </c>
      <c r="P300" s="4" t="str">
        <f t="array" ref="P300">XLOOKUP(L300,'Dados Funil'!A:A,'Dados Funil'!AM:AM,"")</f>
        <v/>
      </c>
      <c r="Q300" s="4" t="str">
        <f t="array" ref="Q300">XLOOKUP(L300,'Dados Funil'!A:A,'Dados Funil'!AN:AN,"")</f>
        <v/>
      </c>
      <c r="T300" s="7" t="str">
        <f t="shared" si="4"/>
        <v/>
      </c>
      <c r="U300" s="4" t="str">
        <f t="shared" si="12"/>
        <v/>
      </c>
      <c r="V300" s="4" t="str">
        <f t="array" ref="V300">XLOOKUP(R300,'Dados Funil'!$A:$A,'Dados Funil'!$K:$K,"")</f>
        <v/>
      </c>
      <c r="W300" s="4" t="str">
        <f t="array" ref="W300">XLOOKUP(R300,'Dados Funil'!$A:$A,'Dados Funil'!$L:$L,"")</f>
        <v/>
      </c>
      <c r="X300" s="4"/>
      <c r="Y300" s="4"/>
      <c r="Z300" s="7" t="str">
        <f t="shared" si="5"/>
        <v/>
      </c>
      <c r="AA300" s="4" t="str">
        <f t="shared" si="13"/>
        <v/>
      </c>
      <c r="AB300" s="4" t="str">
        <f t="array" ref="AB300">XLOOKUP(X300,'Dados Funil'!A:A,'Dados Funil'!O:O,"")</f>
        <v/>
      </c>
      <c r="AE300" s="7" t="str">
        <f t="shared" si="6"/>
        <v/>
      </c>
      <c r="AG300" s="4" t="str">
        <f t="array" ref="AG300">XLOOKUP(AC300,'Dados Funil'!A:A,'Dados Funil'!AM:AM,"")</f>
        <v/>
      </c>
      <c r="AH300" s="4" t="str">
        <f t="array" ref="AH300">XLOOKUP(AC300,'Dados Funil'!A:A,'Dados Funil'!AN:AN,"")</f>
        <v/>
      </c>
    </row>
    <row r="301">
      <c r="A301" s="4"/>
      <c r="B301" s="4"/>
      <c r="C301" s="7" t="str">
        <f t="shared" si="1"/>
        <v/>
      </c>
      <c r="D301" s="4" t="str">
        <f t="shared" si="9"/>
        <v/>
      </c>
      <c r="E301" s="4" t="str">
        <f t="array" ref="E301">XLOOKUP(A301,'Dados Funil'!$A:$A,'Dados Funil'!$K:$K,"")</f>
        <v/>
      </c>
      <c r="F301" s="4" t="str">
        <f t="array" ref="F301">XLOOKUP(A301,'Dados Funil'!$A:$A,'Dados Funil'!$L:$L,"")</f>
        <v/>
      </c>
      <c r="G301" s="4"/>
      <c r="H301" s="4"/>
      <c r="I301" s="7" t="str">
        <f t="shared" si="2"/>
        <v/>
      </c>
      <c r="J301" s="4" t="str">
        <f t="shared" si="10"/>
        <v/>
      </c>
      <c r="K301" s="4" t="str">
        <f t="array" ref="K301">XLOOKUP(G301,'Dados Funil'!A:A,'Dados Funil'!O:O,"")</f>
        <v/>
      </c>
      <c r="L301" s="4"/>
      <c r="M301" s="4"/>
      <c r="N301" s="7" t="str">
        <f t="shared" si="3"/>
        <v/>
      </c>
      <c r="O301" s="4" t="str">
        <f t="shared" si="11"/>
        <v/>
      </c>
      <c r="P301" s="4" t="str">
        <f t="array" ref="P301">XLOOKUP(L301,'Dados Funil'!A:A,'Dados Funil'!AM:AM,"")</f>
        <v/>
      </c>
      <c r="Q301" s="4" t="str">
        <f t="array" ref="Q301">XLOOKUP(L301,'Dados Funil'!A:A,'Dados Funil'!AN:AN,"")</f>
        <v/>
      </c>
      <c r="T301" s="7" t="str">
        <f t="shared" si="4"/>
        <v/>
      </c>
      <c r="U301" s="4" t="str">
        <f t="shared" si="12"/>
        <v/>
      </c>
      <c r="V301" s="4" t="str">
        <f t="array" ref="V301">XLOOKUP(R301,'Dados Funil'!$A:$A,'Dados Funil'!$K:$K,"")</f>
        <v/>
      </c>
      <c r="W301" s="4" t="str">
        <f t="array" ref="W301">XLOOKUP(R301,'Dados Funil'!$A:$A,'Dados Funil'!$L:$L,"")</f>
        <v/>
      </c>
      <c r="X301" s="4"/>
      <c r="Y301" s="4"/>
      <c r="Z301" s="7" t="str">
        <f t="shared" si="5"/>
        <v/>
      </c>
      <c r="AA301" s="4" t="str">
        <f t="shared" si="13"/>
        <v/>
      </c>
      <c r="AB301" s="4" t="str">
        <f t="array" ref="AB301">XLOOKUP(X301,'Dados Funil'!A:A,'Dados Funil'!O:O,"")</f>
        <v/>
      </c>
      <c r="AE301" s="7" t="str">
        <f t="shared" si="6"/>
        <v/>
      </c>
      <c r="AG301" s="4" t="str">
        <f t="array" ref="AG301">XLOOKUP(AC301,'Dados Funil'!A:A,'Dados Funil'!AM:AM,"")</f>
        <v/>
      </c>
      <c r="AH301" s="4" t="str">
        <f t="array" ref="AH301">XLOOKUP(AC301,'Dados Funil'!A:A,'Dados Funil'!AN:AN,"")</f>
        <v/>
      </c>
    </row>
    <row r="302">
      <c r="A302" s="4"/>
      <c r="B302" s="4"/>
      <c r="C302" s="7" t="str">
        <f t="shared" si="1"/>
        <v/>
      </c>
      <c r="D302" s="4" t="str">
        <f t="shared" si="9"/>
        <v/>
      </c>
      <c r="E302" s="4" t="str">
        <f t="array" ref="E302">XLOOKUP(A302,'Dados Funil'!$A:$A,'Dados Funil'!$K:$K,"")</f>
        <v/>
      </c>
      <c r="F302" s="4" t="str">
        <f t="array" ref="F302">XLOOKUP(A302,'Dados Funil'!$A:$A,'Dados Funil'!$L:$L,"")</f>
        <v/>
      </c>
      <c r="G302" s="4"/>
      <c r="H302" s="4"/>
      <c r="I302" s="7" t="str">
        <f t="shared" si="2"/>
        <v/>
      </c>
      <c r="J302" s="4" t="str">
        <f t="shared" si="10"/>
        <v/>
      </c>
      <c r="K302" s="4" t="str">
        <f t="array" ref="K302">XLOOKUP(G302,'Dados Funil'!A:A,'Dados Funil'!O:O,"")</f>
        <v/>
      </c>
      <c r="L302" s="4"/>
      <c r="M302" s="4"/>
      <c r="N302" s="7" t="str">
        <f t="shared" si="3"/>
        <v/>
      </c>
      <c r="O302" s="4" t="str">
        <f t="shared" si="11"/>
        <v/>
      </c>
      <c r="P302" s="4" t="str">
        <f t="array" ref="P302">XLOOKUP(L302,'Dados Funil'!A:A,'Dados Funil'!AM:AM,"")</f>
        <v/>
      </c>
      <c r="Q302" s="4" t="str">
        <f t="array" ref="Q302">XLOOKUP(L302,'Dados Funil'!A:A,'Dados Funil'!AN:AN,"")</f>
        <v/>
      </c>
      <c r="T302" s="7" t="str">
        <f t="shared" si="4"/>
        <v/>
      </c>
      <c r="U302" s="4" t="str">
        <f t="shared" si="12"/>
        <v/>
      </c>
      <c r="V302" s="4" t="str">
        <f t="array" ref="V302">XLOOKUP(R302,'Dados Funil'!$A:$A,'Dados Funil'!$K:$K,"")</f>
        <v/>
      </c>
      <c r="W302" s="4" t="str">
        <f t="array" ref="W302">XLOOKUP(R302,'Dados Funil'!$A:$A,'Dados Funil'!$L:$L,"")</f>
        <v/>
      </c>
      <c r="X302" s="4"/>
      <c r="Y302" s="4"/>
      <c r="Z302" s="7" t="str">
        <f t="shared" si="5"/>
        <v/>
      </c>
      <c r="AA302" s="4" t="str">
        <f t="shared" si="13"/>
        <v/>
      </c>
      <c r="AB302" s="4" t="str">
        <f t="array" ref="AB302">XLOOKUP(X302,'Dados Funil'!A:A,'Dados Funil'!O:O,"")</f>
        <v/>
      </c>
      <c r="AE302" s="7" t="str">
        <f t="shared" si="6"/>
        <v/>
      </c>
      <c r="AG302" s="4" t="str">
        <f t="array" ref="AG302">XLOOKUP(AC302,'Dados Funil'!A:A,'Dados Funil'!AM:AM,"")</f>
        <v/>
      </c>
      <c r="AH302" s="4" t="str">
        <f t="array" ref="AH302">XLOOKUP(AC302,'Dados Funil'!A:A,'Dados Funil'!AN:AN,"")</f>
        <v/>
      </c>
    </row>
    <row r="303">
      <c r="A303" s="4"/>
      <c r="B303" s="4"/>
      <c r="C303" s="7" t="str">
        <f t="shared" si="1"/>
        <v/>
      </c>
      <c r="D303" s="4" t="str">
        <f t="shared" si="9"/>
        <v/>
      </c>
      <c r="E303" s="4" t="str">
        <f t="array" ref="E303">XLOOKUP(A303,'Dados Funil'!$A:$A,'Dados Funil'!$K:$K,"")</f>
        <v/>
      </c>
      <c r="F303" s="4" t="str">
        <f t="array" ref="F303">XLOOKUP(A303,'Dados Funil'!$A:$A,'Dados Funil'!$L:$L,"")</f>
        <v/>
      </c>
      <c r="G303" s="4"/>
      <c r="H303" s="4"/>
      <c r="I303" s="7" t="str">
        <f t="shared" si="2"/>
        <v/>
      </c>
      <c r="J303" s="4" t="str">
        <f t="shared" si="10"/>
        <v/>
      </c>
      <c r="K303" s="4" t="str">
        <f t="array" ref="K303">XLOOKUP(G303,'Dados Funil'!A:A,'Dados Funil'!O:O,"")</f>
        <v/>
      </c>
      <c r="L303" s="4"/>
      <c r="M303" s="4"/>
      <c r="N303" s="7" t="str">
        <f t="shared" si="3"/>
        <v/>
      </c>
      <c r="O303" s="4" t="str">
        <f t="shared" si="11"/>
        <v/>
      </c>
      <c r="P303" s="4" t="str">
        <f t="array" ref="P303">XLOOKUP(L303,'Dados Funil'!A:A,'Dados Funil'!AM:AM,"")</f>
        <v/>
      </c>
      <c r="Q303" s="4" t="str">
        <f t="array" ref="Q303">XLOOKUP(L303,'Dados Funil'!A:A,'Dados Funil'!AN:AN,"")</f>
        <v/>
      </c>
      <c r="T303" s="7" t="str">
        <f t="shared" si="4"/>
        <v/>
      </c>
      <c r="U303" s="4" t="str">
        <f t="shared" si="12"/>
        <v/>
      </c>
      <c r="V303" s="4" t="str">
        <f t="array" ref="V303">XLOOKUP(R303,'Dados Funil'!$A:$A,'Dados Funil'!$K:$K,"")</f>
        <v/>
      </c>
      <c r="W303" s="4" t="str">
        <f t="array" ref="W303">XLOOKUP(R303,'Dados Funil'!$A:$A,'Dados Funil'!$L:$L,"")</f>
        <v/>
      </c>
      <c r="X303" s="4"/>
      <c r="Y303" s="4"/>
      <c r="Z303" s="7" t="str">
        <f t="shared" si="5"/>
        <v/>
      </c>
      <c r="AA303" s="4" t="str">
        <f t="shared" si="13"/>
        <v/>
      </c>
      <c r="AB303" s="4" t="str">
        <f t="array" ref="AB303">XLOOKUP(X303,'Dados Funil'!A:A,'Dados Funil'!O:O,"")</f>
        <v/>
      </c>
      <c r="AE303" s="7" t="str">
        <f t="shared" si="6"/>
        <v/>
      </c>
      <c r="AG303" s="4" t="str">
        <f t="array" ref="AG303">XLOOKUP(AC303,'Dados Funil'!A:A,'Dados Funil'!AM:AM,"")</f>
        <v/>
      </c>
      <c r="AH303" s="4" t="str">
        <f t="array" ref="AH303">XLOOKUP(AC303,'Dados Funil'!A:A,'Dados Funil'!AN:AN,"")</f>
        <v/>
      </c>
    </row>
    <row r="304">
      <c r="A304" s="4"/>
      <c r="B304" s="4"/>
      <c r="C304" s="7" t="str">
        <f t="shared" si="1"/>
        <v/>
      </c>
      <c r="D304" s="4" t="str">
        <f t="shared" si="9"/>
        <v/>
      </c>
      <c r="E304" s="4" t="str">
        <f t="array" ref="E304">XLOOKUP(A304,'Dados Funil'!$A:$A,'Dados Funil'!$K:$K,"")</f>
        <v/>
      </c>
      <c r="F304" s="4" t="str">
        <f t="array" ref="F304">XLOOKUP(A304,'Dados Funil'!$A:$A,'Dados Funil'!$L:$L,"")</f>
        <v/>
      </c>
      <c r="G304" s="4"/>
      <c r="H304" s="4"/>
      <c r="I304" s="7" t="str">
        <f t="shared" si="2"/>
        <v/>
      </c>
      <c r="J304" s="4" t="str">
        <f t="shared" si="10"/>
        <v/>
      </c>
      <c r="K304" s="4" t="str">
        <f t="array" ref="K304">XLOOKUP(G304,'Dados Funil'!A:A,'Dados Funil'!O:O,"")</f>
        <v/>
      </c>
      <c r="L304" s="4"/>
      <c r="M304" s="4"/>
      <c r="N304" s="7" t="str">
        <f t="shared" si="3"/>
        <v/>
      </c>
      <c r="O304" s="4" t="str">
        <f t="shared" si="11"/>
        <v/>
      </c>
      <c r="P304" s="4" t="str">
        <f t="array" ref="P304">XLOOKUP(L304,'Dados Funil'!A:A,'Dados Funil'!AM:AM,"")</f>
        <v/>
      </c>
      <c r="Q304" s="4" t="str">
        <f t="array" ref="Q304">XLOOKUP(L304,'Dados Funil'!A:A,'Dados Funil'!AN:AN,"")</f>
        <v/>
      </c>
      <c r="T304" s="7" t="str">
        <f t="shared" si="4"/>
        <v/>
      </c>
      <c r="U304" s="4" t="str">
        <f t="shared" si="12"/>
        <v/>
      </c>
      <c r="V304" s="4" t="str">
        <f t="array" ref="V304">XLOOKUP(R304,'Dados Funil'!$A:$A,'Dados Funil'!$K:$K,"")</f>
        <v/>
      </c>
      <c r="W304" s="4" t="str">
        <f t="array" ref="W304">XLOOKUP(R304,'Dados Funil'!$A:$A,'Dados Funil'!$L:$L,"")</f>
        <v/>
      </c>
      <c r="X304" s="4"/>
      <c r="Y304" s="4"/>
      <c r="Z304" s="7" t="str">
        <f t="shared" si="5"/>
        <v/>
      </c>
      <c r="AA304" s="4" t="str">
        <f t="shared" si="13"/>
        <v/>
      </c>
      <c r="AB304" s="4" t="str">
        <f t="array" ref="AB304">XLOOKUP(X304,'Dados Funil'!A:A,'Dados Funil'!O:O,"")</f>
        <v/>
      </c>
      <c r="AE304" s="7" t="str">
        <f t="shared" si="6"/>
        <v/>
      </c>
      <c r="AG304" s="4" t="str">
        <f t="array" ref="AG304">XLOOKUP(AC304,'Dados Funil'!A:A,'Dados Funil'!AM:AM,"")</f>
        <v/>
      </c>
      <c r="AH304" s="4" t="str">
        <f t="array" ref="AH304">XLOOKUP(AC304,'Dados Funil'!A:A,'Dados Funil'!AN:AN,"")</f>
        <v/>
      </c>
    </row>
    <row r="305">
      <c r="A305" s="4"/>
      <c r="B305" s="4"/>
      <c r="C305" s="7" t="str">
        <f t="shared" si="1"/>
        <v/>
      </c>
      <c r="D305" s="4" t="str">
        <f t="shared" si="9"/>
        <v/>
      </c>
      <c r="E305" s="4" t="str">
        <f t="array" ref="E305">XLOOKUP(A305,'Dados Funil'!$A:$A,'Dados Funil'!$K:$K,"")</f>
        <v/>
      </c>
      <c r="F305" s="4" t="str">
        <f t="array" ref="F305">XLOOKUP(A305,'Dados Funil'!$A:$A,'Dados Funil'!$L:$L,"")</f>
        <v/>
      </c>
      <c r="G305" s="4"/>
      <c r="H305" s="4"/>
      <c r="I305" s="7" t="str">
        <f t="shared" si="2"/>
        <v/>
      </c>
      <c r="J305" s="4" t="str">
        <f t="shared" si="10"/>
        <v/>
      </c>
      <c r="K305" s="4" t="str">
        <f t="array" ref="K305">XLOOKUP(G305,'Dados Funil'!A:A,'Dados Funil'!O:O,"")</f>
        <v/>
      </c>
      <c r="L305" s="4"/>
      <c r="M305" s="4"/>
      <c r="N305" s="7" t="str">
        <f t="shared" si="3"/>
        <v/>
      </c>
      <c r="O305" s="4" t="str">
        <f t="shared" si="11"/>
        <v/>
      </c>
      <c r="P305" s="4" t="str">
        <f t="array" ref="P305">XLOOKUP(L305,'Dados Funil'!A:A,'Dados Funil'!AM:AM,"")</f>
        <v/>
      </c>
      <c r="Q305" s="4" t="str">
        <f t="array" ref="Q305">XLOOKUP(L305,'Dados Funil'!A:A,'Dados Funil'!AN:AN,"")</f>
        <v/>
      </c>
      <c r="T305" s="7" t="str">
        <f t="shared" si="4"/>
        <v/>
      </c>
      <c r="U305" s="4" t="str">
        <f t="shared" si="12"/>
        <v/>
      </c>
      <c r="V305" s="4" t="str">
        <f t="array" ref="V305">XLOOKUP(R305,'Dados Funil'!$A:$A,'Dados Funil'!$K:$K,"")</f>
        <v/>
      </c>
      <c r="W305" s="4" t="str">
        <f t="array" ref="W305">XLOOKUP(R305,'Dados Funil'!$A:$A,'Dados Funil'!$L:$L,"")</f>
        <v/>
      </c>
      <c r="X305" s="4"/>
      <c r="Y305" s="4"/>
      <c r="Z305" s="7" t="str">
        <f t="shared" si="5"/>
        <v/>
      </c>
      <c r="AA305" s="4" t="str">
        <f t="shared" si="13"/>
        <v/>
      </c>
      <c r="AB305" s="4" t="str">
        <f t="array" ref="AB305">XLOOKUP(X305,'Dados Funil'!A:A,'Dados Funil'!O:O,"")</f>
        <v/>
      </c>
      <c r="AE305" s="7" t="str">
        <f t="shared" si="6"/>
        <v/>
      </c>
      <c r="AG305" s="4" t="str">
        <f t="array" ref="AG305">XLOOKUP(AC305,'Dados Funil'!A:A,'Dados Funil'!AM:AM,"")</f>
        <v/>
      </c>
      <c r="AH305" s="4" t="str">
        <f t="array" ref="AH305">XLOOKUP(AC305,'Dados Funil'!A:A,'Dados Funil'!AN:AN,"")</f>
        <v/>
      </c>
    </row>
    <row r="306">
      <c r="A306" s="4"/>
      <c r="B306" s="4"/>
      <c r="C306" s="7" t="str">
        <f t="shared" si="1"/>
        <v/>
      </c>
      <c r="D306" s="4" t="str">
        <f t="shared" si="9"/>
        <v/>
      </c>
      <c r="E306" s="4" t="str">
        <f t="array" ref="E306">XLOOKUP(A306,'Dados Funil'!$A:$A,'Dados Funil'!$K:$K,"")</f>
        <v/>
      </c>
      <c r="F306" s="4" t="str">
        <f t="array" ref="F306">XLOOKUP(A306,'Dados Funil'!$A:$A,'Dados Funil'!$L:$L,"")</f>
        <v/>
      </c>
      <c r="G306" s="4"/>
      <c r="H306" s="4"/>
      <c r="I306" s="7" t="str">
        <f t="shared" si="2"/>
        <v/>
      </c>
      <c r="J306" s="4" t="str">
        <f t="shared" si="10"/>
        <v/>
      </c>
      <c r="K306" s="4" t="str">
        <f t="array" ref="K306">XLOOKUP(G306,'Dados Funil'!A:A,'Dados Funil'!O:O,"")</f>
        <v/>
      </c>
      <c r="L306" s="4"/>
      <c r="M306" s="4"/>
      <c r="N306" s="7" t="str">
        <f t="shared" si="3"/>
        <v/>
      </c>
      <c r="O306" s="4" t="str">
        <f t="shared" si="11"/>
        <v/>
      </c>
      <c r="P306" s="4" t="str">
        <f t="array" ref="P306">XLOOKUP(L306,'Dados Funil'!A:A,'Dados Funil'!AM:AM,"")</f>
        <v/>
      </c>
      <c r="Q306" s="4" t="str">
        <f t="array" ref="Q306">XLOOKUP(L306,'Dados Funil'!A:A,'Dados Funil'!AN:AN,"")</f>
        <v/>
      </c>
      <c r="T306" s="7" t="str">
        <f t="shared" si="4"/>
        <v/>
      </c>
      <c r="U306" s="4" t="str">
        <f t="shared" si="12"/>
        <v/>
      </c>
      <c r="V306" s="4" t="str">
        <f t="array" ref="V306">XLOOKUP(R306,'Dados Funil'!$A:$A,'Dados Funil'!$K:$K,"")</f>
        <v/>
      </c>
      <c r="W306" s="4" t="str">
        <f t="array" ref="W306">XLOOKUP(R306,'Dados Funil'!$A:$A,'Dados Funil'!$L:$L,"")</f>
        <v/>
      </c>
      <c r="X306" s="4"/>
      <c r="Y306" s="4"/>
      <c r="Z306" s="7" t="str">
        <f t="shared" si="5"/>
        <v/>
      </c>
      <c r="AA306" s="4" t="str">
        <f t="shared" si="13"/>
        <v/>
      </c>
      <c r="AB306" s="4" t="str">
        <f t="array" ref="AB306">XLOOKUP(X306,'Dados Funil'!A:A,'Dados Funil'!O:O,"")</f>
        <v/>
      </c>
      <c r="AE306" s="7" t="str">
        <f t="shared" si="6"/>
        <v/>
      </c>
      <c r="AG306" s="4" t="str">
        <f t="array" ref="AG306">XLOOKUP(AC306,'Dados Funil'!A:A,'Dados Funil'!AM:AM,"")</f>
        <v/>
      </c>
      <c r="AH306" s="4" t="str">
        <f t="array" ref="AH306">XLOOKUP(AC306,'Dados Funil'!A:A,'Dados Funil'!AN:AN,"")</f>
        <v/>
      </c>
    </row>
    <row r="307">
      <c r="A307" s="4"/>
      <c r="B307" s="4"/>
      <c r="C307" s="7" t="str">
        <f t="shared" si="1"/>
        <v/>
      </c>
      <c r="D307" s="4" t="str">
        <f t="shared" si="9"/>
        <v/>
      </c>
      <c r="E307" s="4" t="str">
        <f t="array" ref="E307">XLOOKUP(A307,'Dados Funil'!$A:$A,'Dados Funil'!$K:$K,"")</f>
        <v/>
      </c>
      <c r="F307" s="4" t="str">
        <f t="array" ref="F307">XLOOKUP(A307,'Dados Funil'!$A:$A,'Dados Funil'!$L:$L,"")</f>
        <v/>
      </c>
      <c r="G307" s="4"/>
      <c r="H307" s="4"/>
      <c r="I307" s="7" t="str">
        <f t="shared" si="2"/>
        <v/>
      </c>
      <c r="J307" s="4" t="str">
        <f t="shared" si="10"/>
        <v/>
      </c>
      <c r="K307" s="4" t="str">
        <f t="array" ref="K307">XLOOKUP(G307,'Dados Funil'!A:A,'Dados Funil'!O:O,"")</f>
        <v/>
      </c>
      <c r="L307" s="4"/>
      <c r="M307" s="4"/>
      <c r="N307" s="7" t="str">
        <f t="shared" si="3"/>
        <v/>
      </c>
      <c r="O307" s="4" t="str">
        <f t="shared" si="11"/>
        <v/>
      </c>
      <c r="P307" s="4" t="str">
        <f t="array" ref="P307">XLOOKUP(L307,'Dados Funil'!A:A,'Dados Funil'!AM:AM,"")</f>
        <v/>
      </c>
      <c r="Q307" s="4" t="str">
        <f t="array" ref="Q307">XLOOKUP(L307,'Dados Funil'!A:A,'Dados Funil'!AN:AN,"")</f>
        <v/>
      </c>
      <c r="T307" s="7" t="str">
        <f t="shared" si="4"/>
        <v/>
      </c>
      <c r="U307" s="4" t="str">
        <f t="shared" si="12"/>
        <v/>
      </c>
      <c r="V307" s="4" t="str">
        <f t="array" ref="V307">XLOOKUP(R307,'Dados Funil'!$A:$A,'Dados Funil'!$K:$K,"")</f>
        <v/>
      </c>
      <c r="W307" s="4" t="str">
        <f t="array" ref="W307">XLOOKUP(R307,'Dados Funil'!$A:$A,'Dados Funil'!$L:$L,"")</f>
        <v/>
      </c>
      <c r="X307" s="4"/>
      <c r="Y307" s="4"/>
      <c r="Z307" s="7" t="str">
        <f t="shared" si="5"/>
        <v/>
      </c>
      <c r="AA307" s="4" t="str">
        <f t="shared" si="13"/>
        <v/>
      </c>
      <c r="AB307" s="4" t="str">
        <f t="array" ref="AB307">XLOOKUP(X307,'Dados Funil'!A:A,'Dados Funil'!O:O,"")</f>
        <v/>
      </c>
      <c r="AE307" s="7" t="str">
        <f t="shared" si="6"/>
        <v/>
      </c>
      <c r="AG307" s="4" t="str">
        <f t="array" ref="AG307">XLOOKUP(AC307,'Dados Funil'!A:A,'Dados Funil'!AM:AM,"")</f>
        <v/>
      </c>
      <c r="AH307" s="4" t="str">
        <f t="array" ref="AH307">XLOOKUP(AC307,'Dados Funil'!A:A,'Dados Funil'!AN:AN,"")</f>
        <v/>
      </c>
    </row>
    <row r="308">
      <c r="A308" s="4"/>
      <c r="B308" s="4"/>
      <c r="C308" s="7" t="str">
        <f t="shared" si="1"/>
        <v/>
      </c>
      <c r="D308" s="4" t="str">
        <f t="shared" si="9"/>
        <v/>
      </c>
      <c r="E308" s="4" t="str">
        <f t="array" ref="E308">XLOOKUP(A308,'Dados Funil'!$A:$A,'Dados Funil'!$K:$K,"")</f>
        <v/>
      </c>
      <c r="F308" s="4" t="str">
        <f t="array" ref="F308">XLOOKUP(A308,'Dados Funil'!$A:$A,'Dados Funil'!$L:$L,"")</f>
        <v/>
      </c>
      <c r="G308" s="4"/>
      <c r="H308" s="4"/>
      <c r="I308" s="7" t="str">
        <f t="shared" si="2"/>
        <v/>
      </c>
      <c r="J308" s="4" t="str">
        <f t="shared" si="10"/>
        <v/>
      </c>
      <c r="K308" s="4" t="str">
        <f t="array" ref="K308">XLOOKUP(G308,'Dados Funil'!A:A,'Dados Funil'!O:O,"")</f>
        <v/>
      </c>
      <c r="L308" s="4"/>
      <c r="M308" s="4"/>
      <c r="N308" s="7" t="str">
        <f t="shared" si="3"/>
        <v/>
      </c>
      <c r="O308" s="4" t="str">
        <f t="shared" si="11"/>
        <v/>
      </c>
      <c r="P308" s="4" t="str">
        <f t="array" ref="P308">XLOOKUP(L308,'Dados Funil'!A:A,'Dados Funil'!AM:AM,"")</f>
        <v/>
      </c>
      <c r="Q308" s="4" t="str">
        <f t="array" ref="Q308">XLOOKUP(L308,'Dados Funil'!A:A,'Dados Funil'!AN:AN,"")</f>
        <v/>
      </c>
      <c r="T308" s="7" t="str">
        <f t="shared" si="4"/>
        <v/>
      </c>
      <c r="U308" s="4" t="str">
        <f t="shared" si="12"/>
        <v/>
      </c>
      <c r="V308" s="4" t="str">
        <f t="array" ref="V308">XLOOKUP(R308,'Dados Funil'!$A:$A,'Dados Funil'!$K:$K,"")</f>
        <v/>
      </c>
      <c r="W308" s="4" t="str">
        <f t="array" ref="W308">XLOOKUP(R308,'Dados Funil'!$A:$A,'Dados Funil'!$L:$L,"")</f>
        <v/>
      </c>
      <c r="X308" s="4"/>
      <c r="Y308" s="4"/>
      <c r="Z308" s="7" t="str">
        <f t="shared" si="5"/>
        <v/>
      </c>
      <c r="AA308" s="4" t="str">
        <f t="shared" si="13"/>
        <v/>
      </c>
      <c r="AB308" s="4" t="str">
        <f t="array" ref="AB308">XLOOKUP(X308,'Dados Funil'!A:A,'Dados Funil'!O:O,"")</f>
        <v/>
      </c>
      <c r="AE308" s="7" t="str">
        <f t="shared" si="6"/>
        <v/>
      </c>
      <c r="AG308" s="4" t="str">
        <f t="array" ref="AG308">XLOOKUP(AC308,'Dados Funil'!A:A,'Dados Funil'!AM:AM,"")</f>
        <v/>
      </c>
      <c r="AH308" s="4" t="str">
        <f t="array" ref="AH308">XLOOKUP(AC308,'Dados Funil'!A:A,'Dados Funil'!AN:AN,"")</f>
        <v/>
      </c>
    </row>
    <row r="309">
      <c r="A309" s="4"/>
      <c r="B309" s="4"/>
      <c r="C309" s="7" t="str">
        <f t="shared" si="1"/>
        <v/>
      </c>
      <c r="D309" s="4" t="str">
        <f t="shared" si="9"/>
        <v/>
      </c>
      <c r="E309" s="4" t="str">
        <f t="array" ref="E309">XLOOKUP(A309,'Dados Funil'!$A:$A,'Dados Funil'!$K:$K,"")</f>
        <v/>
      </c>
      <c r="F309" s="4" t="str">
        <f t="array" ref="F309">XLOOKUP(A309,'Dados Funil'!$A:$A,'Dados Funil'!$L:$L,"")</f>
        <v/>
      </c>
      <c r="G309" s="4"/>
      <c r="H309" s="4"/>
      <c r="I309" s="7" t="str">
        <f t="shared" si="2"/>
        <v/>
      </c>
      <c r="J309" s="4" t="str">
        <f t="shared" si="10"/>
        <v/>
      </c>
      <c r="K309" s="4" t="str">
        <f t="array" ref="K309">XLOOKUP(G309,'Dados Funil'!A:A,'Dados Funil'!O:O,"")</f>
        <v/>
      </c>
      <c r="L309" s="4"/>
      <c r="M309" s="4"/>
      <c r="N309" s="7" t="str">
        <f t="shared" si="3"/>
        <v/>
      </c>
      <c r="O309" s="4" t="str">
        <f t="shared" si="11"/>
        <v/>
      </c>
      <c r="P309" s="4" t="str">
        <f t="array" ref="P309">XLOOKUP(L309,'Dados Funil'!A:A,'Dados Funil'!AM:AM,"")</f>
        <v/>
      </c>
      <c r="Q309" s="4" t="str">
        <f t="array" ref="Q309">XLOOKUP(L309,'Dados Funil'!A:A,'Dados Funil'!AN:AN,"")</f>
        <v/>
      </c>
      <c r="T309" s="7" t="str">
        <f t="shared" si="4"/>
        <v/>
      </c>
      <c r="U309" s="4" t="str">
        <f t="shared" si="12"/>
        <v/>
      </c>
      <c r="V309" s="4" t="str">
        <f t="array" ref="V309">XLOOKUP(R309,'Dados Funil'!$A:$A,'Dados Funil'!$K:$K,"")</f>
        <v/>
      </c>
      <c r="W309" s="4" t="str">
        <f t="array" ref="W309">XLOOKUP(R309,'Dados Funil'!$A:$A,'Dados Funil'!$L:$L,"")</f>
        <v/>
      </c>
      <c r="X309" s="4"/>
      <c r="Y309" s="4"/>
      <c r="Z309" s="7" t="str">
        <f t="shared" si="5"/>
        <v/>
      </c>
      <c r="AA309" s="4" t="str">
        <f t="shared" si="13"/>
        <v/>
      </c>
      <c r="AB309" s="4" t="str">
        <f t="array" ref="AB309">XLOOKUP(X309,'Dados Funil'!A:A,'Dados Funil'!O:O,"")</f>
        <v/>
      </c>
      <c r="AE309" s="7" t="str">
        <f t="shared" si="6"/>
        <v/>
      </c>
      <c r="AG309" s="4" t="str">
        <f t="array" ref="AG309">XLOOKUP(AC309,'Dados Funil'!A:A,'Dados Funil'!AM:AM,"")</f>
        <v/>
      </c>
      <c r="AH309" s="4" t="str">
        <f t="array" ref="AH309">XLOOKUP(AC309,'Dados Funil'!A:A,'Dados Funil'!AN:AN,"")</f>
        <v/>
      </c>
    </row>
    <row r="310">
      <c r="A310" s="4"/>
      <c r="B310" s="4"/>
      <c r="C310" s="7" t="str">
        <f t="shared" si="1"/>
        <v/>
      </c>
      <c r="D310" s="4" t="str">
        <f t="shared" si="9"/>
        <v/>
      </c>
      <c r="E310" s="4" t="str">
        <f t="array" ref="E310">XLOOKUP(A310,'Dados Funil'!$A:$A,'Dados Funil'!$K:$K,"")</f>
        <v/>
      </c>
      <c r="F310" s="4" t="str">
        <f t="array" ref="F310">XLOOKUP(A310,'Dados Funil'!$A:$A,'Dados Funil'!$L:$L,"")</f>
        <v/>
      </c>
      <c r="G310" s="4"/>
      <c r="H310" s="4"/>
      <c r="I310" s="7" t="str">
        <f t="shared" si="2"/>
        <v/>
      </c>
      <c r="J310" s="4" t="str">
        <f t="shared" si="10"/>
        <v/>
      </c>
      <c r="K310" s="4" t="str">
        <f t="array" ref="K310">XLOOKUP(G310,'Dados Funil'!A:A,'Dados Funil'!O:O,"")</f>
        <v/>
      </c>
      <c r="L310" s="4"/>
      <c r="M310" s="4"/>
      <c r="N310" s="7" t="str">
        <f t="shared" si="3"/>
        <v/>
      </c>
      <c r="O310" s="4" t="str">
        <f t="shared" si="11"/>
        <v/>
      </c>
      <c r="P310" s="4" t="str">
        <f t="array" ref="P310">XLOOKUP(L310,'Dados Funil'!A:A,'Dados Funil'!AM:AM,"")</f>
        <v/>
      </c>
      <c r="Q310" s="4" t="str">
        <f t="array" ref="Q310">XLOOKUP(L310,'Dados Funil'!A:A,'Dados Funil'!AN:AN,"")</f>
        <v/>
      </c>
      <c r="T310" s="7" t="str">
        <f t="shared" si="4"/>
        <v/>
      </c>
      <c r="U310" s="4" t="str">
        <f t="shared" si="12"/>
        <v/>
      </c>
      <c r="V310" s="4" t="str">
        <f t="array" ref="V310">XLOOKUP(R310,'Dados Funil'!$A:$A,'Dados Funil'!$K:$K,"")</f>
        <v/>
      </c>
      <c r="W310" s="4" t="str">
        <f t="array" ref="W310">XLOOKUP(R310,'Dados Funil'!$A:$A,'Dados Funil'!$L:$L,"")</f>
        <v/>
      </c>
      <c r="X310" s="4"/>
      <c r="Y310" s="4"/>
      <c r="Z310" s="7" t="str">
        <f t="shared" si="5"/>
        <v/>
      </c>
      <c r="AA310" s="4" t="str">
        <f t="shared" si="13"/>
        <v/>
      </c>
      <c r="AB310" s="4" t="str">
        <f t="array" ref="AB310">XLOOKUP(X310,'Dados Funil'!A:A,'Dados Funil'!O:O,"")</f>
        <v/>
      </c>
      <c r="AE310" s="7" t="str">
        <f t="shared" si="6"/>
        <v/>
      </c>
      <c r="AG310" s="4" t="str">
        <f t="array" ref="AG310">XLOOKUP(AC310,'Dados Funil'!A:A,'Dados Funil'!AM:AM,"")</f>
        <v/>
      </c>
      <c r="AH310" s="4" t="str">
        <f t="array" ref="AH310">XLOOKUP(AC310,'Dados Funil'!A:A,'Dados Funil'!AN:AN,"")</f>
        <v/>
      </c>
    </row>
    <row r="311">
      <c r="A311" s="4"/>
      <c r="B311" s="4"/>
      <c r="C311" s="7" t="str">
        <f t="shared" si="1"/>
        <v/>
      </c>
      <c r="D311" s="4" t="str">
        <f t="shared" si="9"/>
        <v/>
      </c>
      <c r="E311" s="4" t="str">
        <f t="array" ref="E311">XLOOKUP(A311,'Dados Funil'!$A:$A,'Dados Funil'!$K:$K,"")</f>
        <v/>
      </c>
      <c r="F311" s="4" t="str">
        <f t="array" ref="F311">XLOOKUP(A311,'Dados Funil'!$A:$A,'Dados Funil'!$L:$L,"")</f>
        <v/>
      </c>
      <c r="G311" s="4"/>
      <c r="H311" s="4"/>
      <c r="I311" s="7" t="str">
        <f t="shared" si="2"/>
        <v/>
      </c>
      <c r="J311" s="4" t="str">
        <f t="shared" si="10"/>
        <v/>
      </c>
      <c r="K311" s="4" t="str">
        <f t="array" ref="K311">XLOOKUP(G311,'Dados Funil'!A:A,'Dados Funil'!O:O,"")</f>
        <v/>
      </c>
      <c r="L311" s="4"/>
      <c r="M311" s="4"/>
      <c r="N311" s="7" t="str">
        <f t="shared" si="3"/>
        <v/>
      </c>
      <c r="O311" s="4" t="str">
        <f t="shared" si="11"/>
        <v/>
      </c>
      <c r="P311" s="4" t="str">
        <f t="array" ref="P311">XLOOKUP(L311,'Dados Funil'!A:A,'Dados Funil'!AM:AM,"")</f>
        <v/>
      </c>
      <c r="Q311" s="4" t="str">
        <f t="array" ref="Q311">XLOOKUP(L311,'Dados Funil'!A:A,'Dados Funil'!AN:AN,"")</f>
        <v/>
      </c>
      <c r="T311" s="7" t="str">
        <f t="shared" si="4"/>
        <v/>
      </c>
      <c r="U311" s="4" t="str">
        <f t="shared" si="12"/>
        <v/>
      </c>
      <c r="V311" s="4" t="str">
        <f t="array" ref="V311">XLOOKUP(R311,'Dados Funil'!$A:$A,'Dados Funil'!$K:$K,"")</f>
        <v/>
      </c>
      <c r="W311" s="4" t="str">
        <f t="array" ref="W311">XLOOKUP(R311,'Dados Funil'!$A:$A,'Dados Funil'!$L:$L,"")</f>
        <v/>
      </c>
      <c r="X311" s="4"/>
      <c r="Y311" s="4"/>
      <c r="Z311" s="7" t="str">
        <f t="shared" si="5"/>
        <v/>
      </c>
      <c r="AA311" s="4" t="str">
        <f t="shared" si="13"/>
        <v/>
      </c>
      <c r="AB311" s="4" t="str">
        <f t="array" ref="AB311">XLOOKUP(X311,'Dados Funil'!A:A,'Dados Funil'!O:O,"")</f>
        <v/>
      </c>
      <c r="AE311" s="7" t="str">
        <f t="shared" si="6"/>
        <v/>
      </c>
      <c r="AG311" s="4" t="str">
        <f t="array" ref="AG311">XLOOKUP(AC311,'Dados Funil'!A:A,'Dados Funil'!AM:AM,"")</f>
        <v/>
      </c>
      <c r="AH311" s="4" t="str">
        <f t="array" ref="AH311">XLOOKUP(AC311,'Dados Funil'!A:A,'Dados Funil'!AN:AN,"")</f>
        <v/>
      </c>
    </row>
    <row r="312">
      <c r="A312" s="4"/>
      <c r="B312" s="4"/>
      <c r="C312" s="7" t="str">
        <f t="shared" si="1"/>
        <v/>
      </c>
      <c r="D312" s="4" t="str">
        <f t="shared" si="9"/>
        <v/>
      </c>
      <c r="E312" s="4" t="str">
        <f t="array" ref="E312">XLOOKUP(A312,'Dados Funil'!$A:$A,'Dados Funil'!$K:$K,"")</f>
        <v/>
      </c>
      <c r="F312" s="4" t="str">
        <f t="array" ref="F312">XLOOKUP(A312,'Dados Funil'!$A:$A,'Dados Funil'!$L:$L,"")</f>
        <v/>
      </c>
      <c r="G312" s="4"/>
      <c r="H312" s="4"/>
      <c r="I312" s="7" t="str">
        <f t="shared" si="2"/>
        <v/>
      </c>
      <c r="J312" s="4" t="str">
        <f t="shared" si="10"/>
        <v/>
      </c>
      <c r="K312" s="4" t="str">
        <f t="array" ref="K312">XLOOKUP(G312,'Dados Funil'!A:A,'Dados Funil'!O:O,"")</f>
        <v/>
      </c>
      <c r="L312" s="4"/>
      <c r="M312" s="4"/>
      <c r="N312" s="7" t="str">
        <f t="shared" si="3"/>
        <v/>
      </c>
      <c r="O312" s="4" t="str">
        <f t="shared" si="11"/>
        <v/>
      </c>
      <c r="P312" s="4" t="str">
        <f t="array" ref="P312">XLOOKUP(L312,'Dados Funil'!A:A,'Dados Funil'!AM:AM,"")</f>
        <v/>
      </c>
      <c r="Q312" s="4" t="str">
        <f t="array" ref="Q312">XLOOKUP(L312,'Dados Funil'!A:A,'Dados Funil'!AN:AN,"")</f>
        <v/>
      </c>
      <c r="T312" s="7" t="str">
        <f t="shared" si="4"/>
        <v/>
      </c>
      <c r="U312" s="4" t="str">
        <f t="shared" si="12"/>
        <v/>
      </c>
      <c r="V312" s="4" t="str">
        <f t="array" ref="V312">XLOOKUP(R312,'Dados Funil'!$A:$A,'Dados Funil'!$K:$K,"")</f>
        <v/>
      </c>
      <c r="W312" s="4" t="str">
        <f t="array" ref="W312">XLOOKUP(R312,'Dados Funil'!$A:$A,'Dados Funil'!$L:$L,"")</f>
        <v/>
      </c>
      <c r="X312" s="4"/>
      <c r="Y312" s="4"/>
      <c r="Z312" s="7" t="str">
        <f t="shared" si="5"/>
        <v/>
      </c>
      <c r="AA312" s="4" t="str">
        <f t="shared" si="13"/>
        <v/>
      </c>
      <c r="AB312" s="4" t="str">
        <f t="array" ref="AB312">XLOOKUP(X312,'Dados Funil'!A:A,'Dados Funil'!O:O,"")</f>
        <v/>
      </c>
      <c r="AE312" s="7" t="str">
        <f t="shared" si="6"/>
        <v/>
      </c>
      <c r="AG312" s="4" t="str">
        <f t="array" ref="AG312">XLOOKUP(AC312,'Dados Funil'!A:A,'Dados Funil'!AM:AM,"")</f>
        <v/>
      </c>
      <c r="AH312" s="4" t="str">
        <f t="array" ref="AH312">XLOOKUP(AC312,'Dados Funil'!A:A,'Dados Funil'!AN:AN,"")</f>
        <v/>
      </c>
    </row>
    <row r="313">
      <c r="A313" s="4"/>
      <c r="B313" s="4"/>
      <c r="C313" s="7" t="str">
        <f t="shared" si="1"/>
        <v/>
      </c>
      <c r="D313" s="4" t="str">
        <f t="shared" si="9"/>
        <v/>
      </c>
      <c r="E313" s="4" t="str">
        <f t="array" ref="E313">XLOOKUP(A313,'Dados Funil'!$A:$A,'Dados Funil'!$K:$K,"")</f>
        <v/>
      </c>
      <c r="F313" s="4" t="str">
        <f t="array" ref="F313">XLOOKUP(A313,'Dados Funil'!$A:$A,'Dados Funil'!$L:$L,"")</f>
        <v/>
      </c>
      <c r="G313" s="4"/>
      <c r="H313" s="4"/>
      <c r="I313" s="7" t="str">
        <f t="shared" si="2"/>
        <v/>
      </c>
      <c r="J313" s="4" t="str">
        <f t="shared" si="10"/>
        <v/>
      </c>
      <c r="K313" s="4" t="str">
        <f t="array" ref="K313">XLOOKUP(G313,'Dados Funil'!A:A,'Dados Funil'!O:O,"")</f>
        <v/>
      </c>
      <c r="L313" s="4"/>
      <c r="M313" s="4"/>
      <c r="N313" s="7" t="str">
        <f t="shared" si="3"/>
        <v/>
      </c>
      <c r="O313" s="4" t="str">
        <f t="shared" si="11"/>
        <v/>
      </c>
      <c r="P313" s="4" t="str">
        <f t="array" ref="P313">XLOOKUP(L313,'Dados Funil'!A:A,'Dados Funil'!AM:AM,"")</f>
        <v/>
      </c>
      <c r="Q313" s="4" t="str">
        <f t="array" ref="Q313">XLOOKUP(L313,'Dados Funil'!A:A,'Dados Funil'!AN:AN,"")</f>
        <v/>
      </c>
      <c r="T313" s="7" t="str">
        <f t="shared" si="4"/>
        <v/>
      </c>
      <c r="U313" s="4" t="str">
        <f t="shared" si="12"/>
        <v/>
      </c>
      <c r="V313" s="4" t="str">
        <f t="array" ref="V313">XLOOKUP(R313,'Dados Funil'!$A:$A,'Dados Funil'!$K:$K,"")</f>
        <v/>
      </c>
      <c r="W313" s="4" t="str">
        <f t="array" ref="W313">XLOOKUP(R313,'Dados Funil'!$A:$A,'Dados Funil'!$L:$L,"")</f>
        <v/>
      </c>
      <c r="X313" s="4"/>
      <c r="Y313" s="4"/>
      <c r="Z313" s="7" t="str">
        <f t="shared" si="5"/>
        <v/>
      </c>
      <c r="AA313" s="4" t="str">
        <f t="shared" si="13"/>
        <v/>
      </c>
      <c r="AB313" s="4" t="str">
        <f t="array" ref="AB313">XLOOKUP(X313,'Dados Funil'!A:A,'Dados Funil'!O:O,"")</f>
        <v/>
      </c>
      <c r="AE313" s="7" t="str">
        <f t="shared" si="6"/>
        <v/>
      </c>
      <c r="AG313" s="4" t="str">
        <f t="array" ref="AG313">XLOOKUP(AC313,'Dados Funil'!A:A,'Dados Funil'!AM:AM,"")</f>
        <v/>
      </c>
      <c r="AH313" s="4" t="str">
        <f t="array" ref="AH313">XLOOKUP(AC313,'Dados Funil'!A:A,'Dados Funil'!AN:AN,"")</f>
        <v/>
      </c>
    </row>
    <row r="314">
      <c r="A314" s="4"/>
      <c r="B314" s="4"/>
      <c r="C314" s="7" t="str">
        <f t="shared" si="1"/>
        <v/>
      </c>
      <c r="D314" s="4" t="str">
        <f t="shared" si="9"/>
        <v/>
      </c>
      <c r="E314" s="4" t="str">
        <f t="array" ref="E314">XLOOKUP(A314,'Dados Funil'!$A:$A,'Dados Funil'!$K:$K,"")</f>
        <v/>
      </c>
      <c r="F314" s="4" t="str">
        <f t="array" ref="F314">XLOOKUP(A314,'Dados Funil'!$A:$A,'Dados Funil'!$L:$L,"")</f>
        <v/>
      </c>
      <c r="G314" s="4"/>
      <c r="H314" s="4"/>
      <c r="I314" s="7" t="str">
        <f t="shared" si="2"/>
        <v/>
      </c>
      <c r="J314" s="4" t="str">
        <f t="shared" si="10"/>
        <v/>
      </c>
      <c r="K314" s="4" t="str">
        <f t="array" ref="K314">XLOOKUP(G314,'Dados Funil'!A:A,'Dados Funil'!O:O,"")</f>
        <v/>
      </c>
      <c r="L314" s="4"/>
      <c r="M314" s="4"/>
      <c r="N314" s="7" t="str">
        <f t="shared" si="3"/>
        <v/>
      </c>
      <c r="O314" s="4" t="str">
        <f t="shared" si="11"/>
        <v/>
      </c>
      <c r="P314" s="4" t="str">
        <f t="array" ref="P314">XLOOKUP(L314,'Dados Funil'!A:A,'Dados Funil'!AM:AM,"")</f>
        <v/>
      </c>
      <c r="Q314" s="4" t="str">
        <f t="array" ref="Q314">XLOOKUP(L314,'Dados Funil'!A:A,'Dados Funil'!AN:AN,"")</f>
        <v/>
      </c>
      <c r="T314" s="7" t="str">
        <f t="shared" si="4"/>
        <v/>
      </c>
      <c r="U314" s="4" t="str">
        <f t="shared" si="12"/>
        <v/>
      </c>
      <c r="V314" s="4" t="str">
        <f t="array" ref="V314">XLOOKUP(R314,'Dados Funil'!$A:$A,'Dados Funil'!$K:$K,"")</f>
        <v/>
      </c>
      <c r="W314" s="4" t="str">
        <f t="array" ref="W314">XLOOKUP(R314,'Dados Funil'!$A:$A,'Dados Funil'!$L:$L,"")</f>
        <v/>
      </c>
      <c r="X314" s="4"/>
      <c r="Y314" s="4"/>
      <c r="Z314" s="7" t="str">
        <f t="shared" si="5"/>
        <v/>
      </c>
      <c r="AA314" s="4" t="str">
        <f t="shared" si="13"/>
        <v/>
      </c>
      <c r="AB314" s="4" t="str">
        <f t="array" ref="AB314">XLOOKUP(X314,'Dados Funil'!A:A,'Dados Funil'!O:O,"")</f>
        <v/>
      </c>
      <c r="AE314" s="7" t="str">
        <f t="shared" si="6"/>
        <v/>
      </c>
      <c r="AG314" s="4" t="str">
        <f t="array" ref="AG314">XLOOKUP(AC314,'Dados Funil'!A:A,'Dados Funil'!AM:AM,"")</f>
        <v/>
      </c>
      <c r="AH314" s="4" t="str">
        <f t="array" ref="AH314">XLOOKUP(AC314,'Dados Funil'!A:A,'Dados Funil'!AN:AN,"")</f>
        <v/>
      </c>
    </row>
    <row r="315">
      <c r="A315" s="4"/>
      <c r="B315" s="4"/>
      <c r="C315" s="7" t="str">
        <f t="shared" si="1"/>
        <v/>
      </c>
      <c r="D315" s="4" t="str">
        <f t="shared" si="9"/>
        <v/>
      </c>
      <c r="E315" s="4" t="str">
        <f t="array" ref="E315">XLOOKUP(A315,'Dados Funil'!$A:$A,'Dados Funil'!$K:$K,"")</f>
        <v/>
      </c>
      <c r="F315" s="4" t="str">
        <f t="array" ref="F315">XLOOKUP(A315,'Dados Funil'!$A:$A,'Dados Funil'!$L:$L,"")</f>
        <v/>
      </c>
      <c r="G315" s="4"/>
      <c r="H315" s="4"/>
      <c r="I315" s="7" t="str">
        <f t="shared" si="2"/>
        <v/>
      </c>
      <c r="J315" s="4" t="str">
        <f t="shared" si="10"/>
        <v/>
      </c>
      <c r="K315" s="4" t="str">
        <f t="array" ref="K315">XLOOKUP(G315,'Dados Funil'!A:A,'Dados Funil'!O:O,"")</f>
        <v/>
      </c>
      <c r="L315" s="4"/>
      <c r="M315" s="4"/>
      <c r="N315" s="7" t="str">
        <f t="shared" si="3"/>
        <v/>
      </c>
      <c r="O315" s="4" t="str">
        <f t="shared" si="11"/>
        <v/>
      </c>
      <c r="P315" s="4" t="str">
        <f t="array" ref="P315">XLOOKUP(L315,'Dados Funil'!A:A,'Dados Funil'!AM:AM,"")</f>
        <v/>
      </c>
      <c r="Q315" s="4" t="str">
        <f t="array" ref="Q315">XLOOKUP(L315,'Dados Funil'!A:A,'Dados Funil'!AN:AN,"")</f>
        <v/>
      </c>
      <c r="T315" s="7" t="str">
        <f t="shared" si="4"/>
        <v/>
      </c>
      <c r="U315" s="4" t="str">
        <f t="shared" si="12"/>
        <v/>
      </c>
      <c r="V315" s="4" t="str">
        <f t="array" ref="V315">XLOOKUP(R315,'Dados Funil'!$A:$A,'Dados Funil'!$K:$K,"")</f>
        <v/>
      </c>
      <c r="W315" s="4" t="str">
        <f t="array" ref="W315">XLOOKUP(R315,'Dados Funil'!$A:$A,'Dados Funil'!$L:$L,"")</f>
        <v/>
      </c>
      <c r="X315" s="4"/>
      <c r="Y315" s="4"/>
      <c r="Z315" s="7" t="str">
        <f t="shared" si="5"/>
        <v/>
      </c>
      <c r="AA315" s="4" t="str">
        <f t="shared" si="13"/>
        <v/>
      </c>
      <c r="AB315" s="4" t="str">
        <f t="array" ref="AB315">XLOOKUP(X315,'Dados Funil'!A:A,'Dados Funil'!O:O,"")</f>
        <v/>
      </c>
      <c r="AE315" s="7" t="str">
        <f t="shared" si="6"/>
        <v/>
      </c>
      <c r="AG315" s="4" t="str">
        <f t="array" ref="AG315">XLOOKUP(AC315,'Dados Funil'!A:A,'Dados Funil'!AM:AM,"")</f>
        <v/>
      </c>
      <c r="AH315" s="4" t="str">
        <f t="array" ref="AH315">XLOOKUP(AC315,'Dados Funil'!A:A,'Dados Funil'!AN:AN,"")</f>
        <v/>
      </c>
    </row>
    <row r="316">
      <c r="A316" s="4"/>
      <c r="B316" s="4"/>
      <c r="C316" s="7" t="str">
        <f t="shared" si="1"/>
        <v/>
      </c>
      <c r="D316" s="4" t="str">
        <f t="shared" si="9"/>
        <v/>
      </c>
      <c r="E316" s="4" t="str">
        <f t="array" ref="E316">XLOOKUP(A316,'Dados Funil'!$A:$A,'Dados Funil'!$K:$K,"")</f>
        <v/>
      </c>
      <c r="F316" s="4" t="str">
        <f t="array" ref="F316">XLOOKUP(A316,'Dados Funil'!$A:$A,'Dados Funil'!$L:$L,"")</f>
        <v/>
      </c>
      <c r="G316" s="4"/>
      <c r="H316" s="4"/>
      <c r="I316" s="7" t="str">
        <f t="shared" si="2"/>
        <v/>
      </c>
      <c r="J316" s="4" t="str">
        <f t="shared" si="10"/>
        <v/>
      </c>
      <c r="K316" s="4" t="str">
        <f t="array" ref="K316">XLOOKUP(G316,'Dados Funil'!A:A,'Dados Funil'!O:O,"")</f>
        <v/>
      </c>
      <c r="L316" s="4"/>
      <c r="M316" s="4"/>
      <c r="N316" s="7" t="str">
        <f t="shared" si="3"/>
        <v/>
      </c>
      <c r="O316" s="4" t="str">
        <f t="shared" si="11"/>
        <v/>
      </c>
      <c r="P316" s="4" t="str">
        <f t="array" ref="P316">XLOOKUP(L316,'Dados Funil'!A:A,'Dados Funil'!AM:AM,"")</f>
        <v/>
      </c>
      <c r="Q316" s="4" t="str">
        <f t="array" ref="Q316">XLOOKUP(L316,'Dados Funil'!A:A,'Dados Funil'!AN:AN,"")</f>
        <v/>
      </c>
      <c r="T316" s="7" t="str">
        <f t="shared" si="4"/>
        <v/>
      </c>
      <c r="U316" s="4" t="str">
        <f t="shared" si="12"/>
        <v/>
      </c>
      <c r="V316" s="4" t="str">
        <f t="array" ref="V316">XLOOKUP(R316,'Dados Funil'!$A:$A,'Dados Funil'!$K:$K,"")</f>
        <v/>
      </c>
      <c r="W316" s="4" t="str">
        <f t="array" ref="W316">XLOOKUP(R316,'Dados Funil'!$A:$A,'Dados Funil'!$L:$L,"")</f>
        <v/>
      </c>
      <c r="X316" s="4"/>
      <c r="Y316" s="4"/>
      <c r="Z316" s="7" t="str">
        <f t="shared" si="5"/>
        <v/>
      </c>
      <c r="AA316" s="4" t="str">
        <f t="shared" si="13"/>
        <v/>
      </c>
      <c r="AB316" s="4" t="str">
        <f t="array" ref="AB316">XLOOKUP(X316,'Dados Funil'!A:A,'Dados Funil'!O:O,"")</f>
        <v/>
      </c>
      <c r="AE316" s="7" t="str">
        <f t="shared" si="6"/>
        <v/>
      </c>
      <c r="AG316" s="4" t="str">
        <f t="array" ref="AG316">XLOOKUP(AC316,'Dados Funil'!A:A,'Dados Funil'!AM:AM,"")</f>
        <v/>
      </c>
      <c r="AH316" s="4" t="str">
        <f t="array" ref="AH316">XLOOKUP(AC316,'Dados Funil'!A:A,'Dados Funil'!AN:AN,"")</f>
        <v/>
      </c>
    </row>
    <row r="317">
      <c r="A317" s="4"/>
      <c r="B317" s="4"/>
      <c r="C317" s="7" t="str">
        <f t="shared" si="1"/>
        <v/>
      </c>
      <c r="D317" s="4" t="str">
        <f t="shared" si="9"/>
        <v/>
      </c>
      <c r="E317" s="4" t="str">
        <f t="array" ref="E317">XLOOKUP(A317,'Dados Funil'!$A:$A,'Dados Funil'!$K:$K,"")</f>
        <v/>
      </c>
      <c r="F317" s="4" t="str">
        <f t="array" ref="F317">XLOOKUP(A317,'Dados Funil'!$A:$A,'Dados Funil'!$L:$L,"")</f>
        <v/>
      </c>
      <c r="G317" s="4"/>
      <c r="H317" s="4"/>
      <c r="I317" s="7" t="str">
        <f t="shared" si="2"/>
        <v/>
      </c>
      <c r="J317" s="4" t="str">
        <f t="shared" si="10"/>
        <v/>
      </c>
      <c r="K317" s="4" t="str">
        <f t="array" ref="K317">XLOOKUP(G317,'Dados Funil'!A:A,'Dados Funil'!O:O,"")</f>
        <v/>
      </c>
      <c r="L317" s="4"/>
      <c r="M317" s="4"/>
      <c r="N317" s="7" t="str">
        <f t="shared" si="3"/>
        <v/>
      </c>
      <c r="O317" s="4" t="str">
        <f t="shared" si="11"/>
        <v/>
      </c>
      <c r="P317" s="4" t="str">
        <f t="array" ref="P317">XLOOKUP(L317,'Dados Funil'!A:A,'Dados Funil'!AM:AM,"")</f>
        <v/>
      </c>
      <c r="Q317" s="4" t="str">
        <f t="array" ref="Q317">XLOOKUP(L317,'Dados Funil'!A:A,'Dados Funil'!AN:AN,"")</f>
        <v/>
      </c>
      <c r="T317" s="7" t="str">
        <f t="shared" si="4"/>
        <v/>
      </c>
      <c r="U317" s="4" t="str">
        <f t="shared" si="12"/>
        <v/>
      </c>
      <c r="V317" s="4" t="str">
        <f t="array" ref="V317">XLOOKUP(R317,'Dados Funil'!$A:$A,'Dados Funil'!$K:$K,"")</f>
        <v/>
      </c>
      <c r="W317" s="4" t="str">
        <f t="array" ref="W317">XLOOKUP(R317,'Dados Funil'!$A:$A,'Dados Funil'!$L:$L,"")</f>
        <v/>
      </c>
      <c r="X317" s="4"/>
      <c r="Y317" s="4"/>
      <c r="Z317" s="7" t="str">
        <f t="shared" si="5"/>
        <v/>
      </c>
      <c r="AA317" s="4" t="str">
        <f t="shared" si="13"/>
        <v/>
      </c>
      <c r="AB317" s="4" t="str">
        <f t="array" ref="AB317">XLOOKUP(X317,'Dados Funil'!A:A,'Dados Funil'!O:O,"")</f>
        <v/>
      </c>
      <c r="AE317" s="7" t="str">
        <f t="shared" si="6"/>
        <v/>
      </c>
      <c r="AG317" s="4" t="str">
        <f t="array" ref="AG317">XLOOKUP(AC317,'Dados Funil'!A:A,'Dados Funil'!AM:AM,"")</f>
        <v/>
      </c>
      <c r="AH317" s="4" t="str">
        <f t="array" ref="AH317">XLOOKUP(AC317,'Dados Funil'!A:A,'Dados Funil'!AN:AN,"")</f>
        <v/>
      </c>
    </row>
    <row r="318">
      <c r="A318" s="4"/>
      <c r="B318" s="4"/>
      <c r="C318" s="7" t="str">
        <f t="shared" si="1"/>
        <v/>
      </c>
      <c r="D318" s="4" t="str">
        <f t="shared" si="9"/>
        <v/>
      </c>
      <c r="E318" s="4" t="str">
        <f t="array" ref="E318">XLOOKUP(A318,'Dados Funil'!$A:$A,'Dados Funil'!$K:$K,"")</f>
        <v/>
      </c>
      <c r="F318" s="4" t="str">
        <f t="array" ref="F318">XLOOKUP(A318,'Dados Funil'!$A:$A,'Dados Funil'!$L:$L,"")</f>
        <v/>
      </c>
      <c r="G318" s="4"/>
      <c r="H318" s="4"/>
      <c r="I318" s="7" t="str">
        <f t="shared" si="2"/>
        <v/>
      </c>
      <c r="J318" s="4" t="str">
        <f t="shared" si="10"/>
        <v/>
      </c>
      <c r="K318" s="4" t="str">
        <f t="array" ref="K318">XLOOKUP(G318,'Dados Funil'!A:A,'Dados Funil'!O:O,"")</f>
        <v/>
      </c>
      <c r="L318" s="4"/>
      <c r="M318" s="4"/>
      <c r="N318" s="7" t="str">
        <f t="shared" si="3"/>
        <v/>
      </c>
      <c r="O318" s="4" t="str">
        <f t="shared" si="11"/>
        <v/>
      </c>
      <c r="P318" s="4" t="str">
        <f t="array" ref="P318">XLOOKUP(L318,'Dados Funil'!A:A,'Dados Funil'!AM:AM,"")</f>
        <v/>
      </c>
      <c r="Q318" s="4" t="str">
        <f t="array" ref="Q318">XLOOKUP(L318,'Dados Funil'!A:A,'Dados Funil'!AN:AN,"")</f>
        <v/>
      </c>
      <c r="T318" s="7" t="str">
        <f t="shared" si="4"/>
        <v/>
      </c>
      <c r="U318" s="4" t="str">
        <f t="shared" si="12"/>
        <v/>
      </c>
      <c r="V318" s="4" t="str">
        <f t="array" ref="V318">XLOOKUP(R318,'Dados Funil'!$A:$A,'Dados Funil'!$K:$K,"")</f>
        <v/>
      </c>
      <c r="W318" s="4" t="str">
        <f t="array" ref="W318">XLOOKUP(R318,'Dados Funil'!$A:$A,'Dados Funil'!$L:$L,"")</f>
        <v/>
      </c>
      <c r="X318" s="4"/>
      <c r="Y318" s="4"/>
      <c r="Z318" s="7" t="str">
        <f t="shared" si="5"/>
        <v/>
      </c>
      <c r="AA318" s="4" t="str">
        <f t="shared" si="13"/>
        <v/>
      </c>
      <c r="AB318" s="4" t="str">
        <f t="array" ref="AB318">XLOOKUP(X318,'Dados Funil'!A:A,'Dados Funil'!O:O,"")</f>
        <v/>
      </c>
      <c r="AE318" s="7" t="str">
        <f t="shared" si="6"/>
        <v/>
      </c>
      <c r="AG318" s="4" t="str">
        <f t="array" ref="AG318">XLOOKUP(AC318,'Dados Funil'!A:A,'Dados Funil'!AM:AM,"")</f>
        <v/>
      </c>
      <c r="AH318" s="4" t="str">
        <f t="array" ref="AH318">XLOOKUP(AC318,'Dados Funil'!A:A,'Dados Funil'!AN:AN,"")</f>
        <v/>
      </c>
    </row>
    <row r="319">
      <c r="A319" s="4"/>
      <c r="B319" s="4"/>
      <c r="C319" s="7" t="str">
        <f t="shared" si="1"/>
        <v/>
      </c>
      <c r="D319" s="4" t="str">
        <f t="shared" si="9"/>
        <v/>
      </c>
      <c r="E319" s="4" t="str">
        <f t="array" ref="E319">XLOOKUP(A319,'Dados Funil'!$A:$A,'Dados Funil'!$K:$K,"")</f>
        <v/>
      </c>
      <c r="F319" s="4" t="str">
        <f t="array" ref="F319">XLOOKUP(A319,'Dados Funil'!$A:$A,'Dados Funil'!$L:$L,"")</f>
        <v/>
      </c>
      <c r="G319" s="4"/>
      <c r="H319" s="4"/>
      <c r="I319" s="7" t="str">
        <f t="shared" si="2"/>
        <v/>
      </c>
      <c r="J319" s="4" t="str">
        <f t="shared" si="10"/>
        <v/>
      </c>
      <c r="K319" s="4" t="str">
        <f t="array" ref="K319">XLOOKUP(G319,'Dados Funil'!A:A,'Dados Funil'!O:O,"")</f>
        <v/>
      </c>
      <c r="L319" s="4"/>
      <c r="M319" s="4"/>
      <c r="N319" s="7" t="str">
        <f t="shared" si="3"/>
        <v/>
      </c>
      <c r="O319" s="4" t="str">
        <f t="shared" si="11"/>
        <v/>
      </c>
      <c r="P319" s="4" t="str">
        <f t="array" ref="P319">XLOOKUP(L319,'Dados Funil'!A:A,'Dados Funil'!AM:AM,"")</f>
        <v/>
      </c>
      <c r="Q319" s="4" t="str">
        <f t="array" ref="Q319">XLOOKUP(L319,'Dados Funil'!A:A,'Dados Funil'!AN:AN,"")</f>
        <v/>
      </c>
      <c r="T319" s="7" t="str">
        <f t="shared" si="4"/>
        <v/>
      </c>
      <c r="U319" s="4" t="str">
        <f t="shared" si="12"/>
        <v/>
      </c>
      <c r="V319" s="4" t="str">
        <f t="array" ref="V319">XLOOKUP(R319,'Dados Funil'!$A:$A,'Dados Funil'!$K:$K,"")</f>
        <v/>
      </c>
      <c r="W319" s="4" t="str">
        <f t="array" ref="W319">XLOOKUP(R319,'Dados Funil'!$A:$A,'Dados Funil'!$L:$L,"")</f>
        <v/>
      </c>
      <c r="X319" s="4"/>
      <c r="Y319" s="4"/>
      <c r="Z319" s="7" t="str">
        <f t="shared" si="5"/>
        <v/>
      </c>
      <c r="AA319" s="4" t="str">
        <f t="shared" si="13"/>
        <v/>
      </c>
      <c r="AB319" s="4" t="str">
        <f t="array" ref="AB319">XLOOKUP(X319,'Dados Funil'!A:A,'Dados Funil'!O:O,"")</f>
        <v/>
      </c>
      <c r="AE319" s="7" t="str">
        <f t="shared" si="6"/>
        <v/>
      </c>
      <c r="AG319" s="4" t="str">
        <f t="array" ref="AG319">XLOOKUP(AC319,'Dados Funil'!A:A,'Dados Funil'!AM:AM,"")</f>
        <v/>
      </c>
      <c r="AH319" s="4" t="str">
        <f t="array" ref="AH319">XLOOKUP(AC319,'Dados Funil'!A:A,'Dados Funil'!AN:AN,"")</f>
        <v/>
      </c>
    </row>
    <row r="320">
      <c r="A320" s="4"/>
      <c r="B320" s="4"/>
      <c r="C320" s="7" t="str">
        <f t="shared" si="1"/>
        <v/>
      </c>
      <c r="D320" s="4" t="str">
        <f t="shared" si="9"/>
        <v/>
      </c>
      <c r="E320" s="4" t="str">
        <f t="array" ref="E320">XLOOKUP(A320,'Dados Funil'!$A:$A,'Dados Funil'!$K:$K,"")</f>
        <v/>
      </c>
      <c r="F320" s="4" t="str">
        <f t="array" ref="F320">XLOOKUP(A320,'Dados Funil'!$A:$A,'Dados Funil'!$L:$L,"")</f>
        <v/>
      </c>
      <c r="G320" s="4"/>
      <c r="H320" s="4"/>
      <c r="I320" s="7" t="str">
        <f t="shared" si="2"/>
        <v/>
      </c>
      <c r="J320" s="4" t="str">
        <f t="shared" si="10"/>
        <v/>
      </c>
      <c r="K320" s="4" t="str">
        <f t="array" ref="K320">XLOOKUP(G320,'Dados Funil'!A:A,'Dados Funil'!O:O,"")</f>
        <v/>
      </c>
      <c r="L320" s="4"/>
      <c r="M320" s="4"/>
      <c r="N320" s="7" t="str">
        <f t="shared" si="3"/>
        <v/>
      </c>
      <c r="O320" s="4" t="str">
        <f t="shared" si="11"/>
        <v/>
      </c>
      <c r="P320" s="4" t="str">
        <f t="array" ref="P320">XLOOKUP(L320,'Dados Funil'!A:A,'Dados Funil'!AM:AM,"")</f>
        <v/>
      </c>
      <c r="Q320" s="4" t="str">
        <f t="array" ref="Q320">XLOOKUP(L320,'Dados Funil'!A:A,'Dados Funil'!AN:AN,"")</f>
        <v/>
      </c>
      <c r="T320" s="7" t="str">
        <f t="shared" si="4"/>
        <v/>
      </c>
      <c r="U320" s="4" t="str">
        <f t="shared" si="12"/>
        <v/>
      </c>
      <c r="V320" s="4" t="str">
        <f t="array" ref="V320">XLOOKUP(R320,'Dados Funil'!$A:$A,'Dados Funil'!$K:$K,"")</f>
        <v/>
      </c>
      <c r="W320" s="4" t="str">
        <f t="array" ref="W320">XLOOKUP(R320,'Dados Funil'!$A:$A,'Dados Funil'!$L:$L,"")</f>
        <v/>
      </c>
      <c r="X320" s="4"/>
      <c r="Y320" s="4"/>
      <c r="Z320" s="7" t="str">
        <f t="shared" si="5"/>
        <v/>
      </c>
      <c r="AA320" s="4" t="str">
        <f t="shared" si="13"/>
        <v/>
      </c>
      <c r="AB320" s="4" t="str">
        <f t="array" ref="AB320">XLOOKUP(X320,'Dados Funil'!A:A,'Dados Funil'!O:O,"")</f>
        <v/>
      </c>
      <c r="AE320" s="7" t="str">
        <f t="shared" si="6"/>
        <v/>
      </c>
      <c r="AG320" s="4" t="str">
        <f t="array" ref="AG320">XLOOKUP(AC320,'Dados Funil'!A:A,'Dados Funil'!AM:AM,"")</f>
        <v/>
      </c>
      <c r="AH320" s="4" t="str">
        <f t="array" ref="AH320">XLOOKUP(AC320,'Dados Funil'!A:A,'Dados Funil'!AN:AN,"")</f>
        <v/>
      </c>
    </row>
    <row r="321">
      <c r="A321" s="4"/>
      <c r="B321" s="4"/>
      <c r="C321" s="7" t="str">
        <f t="shared" si="1"/>
        <v/>
      </c>
      <c r="D321" s="4" t="str">
        <f t="shared" si="9"/>
        <v/>
      </c>
      <c r="E321" s="4" t="str">
        <f t="array" ref="E321">XLOOKUP(A321,'Dados Funil'!$A:$A,'Dados Funil'!$K:$K,"")</f>
        <v/>
      </c>
      <c r="F321" s="4" t="str">
        <f t="array" ref="F321">XLOOKUP(A321,'Dados Funil'!$A:$A,'Dados Funil'!$L:$L,"")</f>
        <v/>
      </c>
      <c r="G321" s="4"/>
      <c r="H321" s="4"/>
      <c r="I321" s="7" t="str">
        <f t="shared" si="2"/>
        <v/>
      </c>
      <c r="J321" s="4" t="str">
        <f t="shared" si="10"/>
        <v/>
      </c>
      <c r="K321" s="4" t="str">
        <f t="array" ref="K321">XLOOKUP(G321,'Dados Funil'!A:A,'Dados Funil'!O:O,"")</f>
        <v/>
      </c>
      <c r="L321" s="4"/>
      <c r="M321" s="4"/>
      <c r="N321" s="7" t="str">
        <f t="shared" si="3"/>
        <v/>
      </c>
      <c r="O321" s="4" t="str">
        <f t="shared" si="11"/>
        <v/>
      </c>
      <c r="P321" s="4" t="str">
        <f t="array" ref="P321">XLOOKUP(L321,'Dados Funil'!A:A,'Dados Funil'!AM:AM,"")</f>
        <v/>
      </c>
      <c r="Q321" s="4" t="str">
        <f t="array" ref="Q321">XLOOKUP(L321,'Dados Funil'!A:A,'Dados Funil'!AN:AN,"")</f>
        <v/>
      </c>
      <c r="T321" s="7" t="str">
        <f t="shared" si="4"/>
        <v/>
      </c>
      <c r="U321" s="4" t="str">
        <f t="shared" si="12"/>
        <v/>
      </c>
      <c r="V321" s="4" t="str">
        <f t="array" ref="V321">XLOOKUP(R321,'Dados Funil'!$A:$A,'Dados Funil'!$K:$K,"")</f>
        <v/>
      </c>
      <c r="W321" s="4" t="str">
        <f t="array" ref="W321">XLOOKUP(R321,'Dados Funil'!$A:$A,'Dados Funil'!$L:$L,"")</f>
        <v/>
      </c>
      <c r="X321" s="4"/>
      <c r="Y321" s="4"/>
      <c r="Z321" s="7" t="str">
        <f t="shared" si="5"/>
        <v/>
      </c>
      <c r="AA321" s="4" t="str">
        <f t="shared" si="13"/>
        <v/>
      </c>
      <c r="AB321" s="4" t="str">
        <f t="array" ref="AB321">XLOOKUP(X321,'Dados Funil'!A:A,'Dados Funil'!O:O,"")</f>
        <v/>
      </c>
      <c r="AE321" s="7" t="str">
        <f t="shared" si="6"/>
        <v/>
      </c>
      <c r="AG321" s="4" t="str">
        <f t="array" ref="AG321">XLOOKUP(AC321,'Dados Funil'!A:A,'Dados Funil'!AM:AM,"")</f>
        <v/>
      </c>
      <c r="AH321" s="4" t="str">
        <f t="array" ref="AH321">XLOOKUP(AC321,'Dados Funil'!A:A,'Dados Funil'!AN:AN,"")</f>
        <v/>
      </c>
    </row>
    <row r="322">
      <c r="A322" s="4"/>
      <c r="B322" s="4"/>
      <c r="C322" s="7" t="str">
        <f t="shared" si="1"/>
        <v/>
      </c>
      <c r="D322" s="4" t="str">
        <f t="shared" si="9"/>
        <v/>
      </c>
      <c r="E322" s="4" t="str">
        <f t="array" ref="E322">XLOOKUP(A322,'Dados Funil'!$A:$A,'Dados Funil'!$K:$K,"")</f>
        <v/>
      </c>
      <c r="F322" s="4" t="str">
        <f t="array" ref="F322">XLOOKUP(A322,'Dados Funil'!$A:$A,'Dados Funil'!$L:$L,"")</f>
        <v/>
      </c>
      <c r="G322" s="4"/>
      <c r="H322" s="4"/>
      <c r="I322" s="7" t="str">
        <f t="shared" si="2"/>
        <v/>
      </c>
      <c r="J322" s="4" t="str">
        <f t="shared" si="10"/>
        <v/>
      </c>
      <c r="K322" s="4" t="str">
        <f t="array" ref="K322">XLOOKUP(G322,'Dados Funil'!A:A,'Dados Funil'!O:O,"")</f>
        <v/>
      </c>
      <c r="L322" s="4"/>
      <c r="M322" s="4"/>
      <c r="N322" s="7" t="str">
        <f t="shared" si="3"/>
        <v/>
      </c>
      <c r="O322" s="4" t="str">
        <f t="shared" si="11"/>
        <v/>
      </c>
      <c r="P322" s="4" t="str">
        <f t="array" ref="P322">XLOOKUP(L322,'Dados Funil'!A:A,'Dados Funil'!AM:AM,"")</f>
        <v/>
      </c>
      <c r="Q322" s="4" t="str">
        <f t="array" ref="Q322">XLOOKUP(L322,'Dados Funil'!A:A,'Dados Funil'!AN:AN,"")</f>
        <v/>
      </c>
      <c r="T322" s="7" t="str">
        <f t="shared" si="4"/>
        <v/>
      </c>
      <c r="U322" s="4" t="str">
        <f t="shared" si="12"/>
        <v/>
      </c>
      <c r="V322" s="4" t="str">
        <f t="array" ref="V322">XLOOKUP(R322,'Dados Funil'!$A:$A,'Dados Funil'!$K:$K,"")</f>
        <v/>
      </c>
      <c r="W322" s="4" t="str">
        <f t="array" ref="W322">XLOOKUP(R322,'Dados Funil'!$A:$A,'Dados Funil'!$L:$L,"")</f>
        <v/>
      </c>
      <c r="X322" s="4"/>
      <c r="Y322" s="4"/>
      <c r="Z322" s="7" t="str">
        <f t="shared" si="5"/>
        <v/>
      </c>
      <c r="AA322" s="4" t="str">
        <f t="shared" si="13"/>
        <v/>
      </c>
      <c r="AB322" s="4" t="str">
        <f t="array" ref="AB322">XLOOKUP(X322,'Dados Funil'!A:A,'Dados Funil'!O:O,"")</f>
        <v/>
      </c>
      <c r="AE322" s="7" t="str">
        <f t="shared" si="6"/>
        <v/>
      </c>
      <c r="AG322" s="4" t="str">
        <f t="array" ref="AG322">XLOOKUP(AC322,'Dados Funil'!A:A,'Dados Funil'!AM:AM,"")</f>
        <v/>
      </c>
      <c r="AH322" s="4" t="str">
        <f t="array" ref="AH322">XLOOKUP(AC322,'Dados Funil'!A:A,'Dados Funil'!AN:AN,"")</f>
        <v/>
      </c>
    </row>
    <row r="323">
      <c r="A323" s="4"/>
      <c r="B323" s="4"/>
      <c r="C323" s="7" t="str">
        <f t="shared" si="1"/>
        <v/>
      </c>
      <c r="D323" s="4" t="str">
        <f t="shared" si="9"/>
        <v/>
      </c>
      <c r="E323" s="4" t="str">
        <f t="array" ref="E323">XLOOKUP(A323,'Dados Funil'!$A:$A,'Dados Funil'!$K:$K,"")</f>
        <v/>
      </c>
      <c r="F323" s="4" t="str">
        <f t="array" ref="F323">XLOOKUP(A323,'Dados Funil'!$A:$A,'Dados Funil'!$L:$L,"")</f>
        <v/>
      </c>
      <c r="G323" s="4"/>
      <c r="H323" s="4"/>
      <c r="I323" s="7" t="str">
        <f t="shared" si="2"/>
        <v/>
      </c>
      <c r="J323" s="4" t="str">
        <f t="shared" si="10"/>
        <v/>
      </c>
      <c r="K323" s="4" t="str">
        <f t="array" ref="K323">XLOOKUP(G323,'Dados Funil'!A:A,'Dados Funil'!O:O,"")</f>
        <v/>
      </c>
      <c r="L323" s="4"/>
      <c r="M323" s="4"/>
      <c r="N323" s="7" t="str">
        <f t="shared" si="3"/>
        <v/>
      </c>
      <c r="O323" s="4" t="str">
        <f t="shared" si="11"/>
        <v/>
      </c>
      <c r="P323" s="4" t="str">
        <f t="array" ref="P323">XLOOKUP(L323,'Dados Funil'!A:A,'Dados Funil'!AM:AM,"")</f>
        <v/>
      </c>
      <c r="Q323" s="4" t="str">
        <f t="array" ref="Q323">XLOOKUP(L323,'Dados Funil'!A:A,'Dados Funil'!AN:AN,"")</f>
        <v/>
      </c>
      <c r="T323" s="7" t="str">
        <f t="shared" si="4"/>
        <v/>
      </c>
      <c r="U323" s="4" t="str">
        <f t="shared" si="12"/>
        <v/>
      </c>
      <c r="V323" s="4" t="str">
        <f t="array" ref="V323">XLOOKUP(R323,'Dados Funil'!$A:$A,'Dados Funil'!$K:$K,"")</f>
        <v/>
      </c>
      <c r="W323" s="4" t="str">
        <f t="array" ref="W323">XLOOKUP(R323,'Dados Funil'!$A:$A,'Dados Funil'!$L:$L,"")</f>
        <v/>
      </c>
      <c r="X323" s="4"/>
      <c r="Y323" s="4"/>
      <c r="Z323" s="7" t="str">
        <f t="shared" si="5"/>
        <v/>
      </c>
      <c r="AA323" s="4" t="str">
        <f t="shared" si="13"/>
        <v/>
      </c>
      <c r="AB323" s="4" t="str">
        <f t="array" ref="AB323">XLOOKUP(X323,'Dados Funil'!A:A,'Dados Funil'!O:O,"")</f>
        <v/>
      </c>
      <c r="AE323" s="7" t="str">
        <f t="shared" si="6"/>
        <v/>
      </c>
      <c r="AG323" s="4" t="str">
        <f t="array" ref="AG323">XLOOKUP(AC323,'Dados Funil'!A:A,'Dados Funil'!AM:AM,"")</f>
        <v/>
      </c>
      <c r="AH323" s="4" t="str">
        <f t="array" ref="AH323">XLOOKUP(AC323,'Dados Funil'!A:A,'Dados Funil'!AN:AN,"")</f>
        <v/>
      </c>
    </row>
    <row r="324">
      <c r="A324" s="4"/>
      <c r="B324" s="4"/>
      <c r="C324" s="7" t="str">
        <f t="shared" si="1"/>
        <v/>
      </c>
      <c r="D324" s="4" t="str">
        <f t="shared" si="9"/>
        <v/>
      </c>
      <c r="E324" s="4" t="str">
        <f t="array" ref="E324">XLOOKUP(A324,'Dados Funil'!$A:$A,'Dados Funil'!$K:$K,"")</f>
        <v/>
      </c>
      <c r="F324" s="4" t="str">
        <f t="array" ref="F324">XLOOKUP(A324,'Dados Funil'!$A:$A,'Dados Funil'!$L:$L,"")</f>
        <v/>
      </c>
      <c r="G324" s="4"/>
      <c r="H324" s="4"/>
      <c r="I324" s="7" t="str">
        <f t="shared" si="2"/>
        <v/>
      </c>
      <c r="J324" s="4" t="str">
        <f t="shared" si="10"/>
        <v/>
      </c>
      <c r="K324" s="4" t="str">
        <f t="array" ref="K324">XLOOKUP(G324,'Dados Funil'!A:A,'Dados Funil'!O:O,"")</f>
        <v/>
      </c>
      <c r="L324" s="4"/>
      <c r="M324" s="4"/>
      <c r="N324" s="7" t="str">
        <f t="shared" si="3"/>
        <v/>
      </c>
      <c r="O324" s="4" t="str">
        <f t="shared" si="11"/>
        <v/>
      </c>
      <c r="P324" s="4" t="str">
        <f t="array" ref="P324">XLOOKUP(L324,'Dados Funil'!A:A,'Dados Funil'!AM:AM,"")</f>
        <v/>
      </c>
      <c r="Q324" s="4" t="str">
        <f t="array" ref="Q324">XLOOKUP(L324,'Dados Funil'!A:A,'Dados Funil'!AN:AN,"")</f>
        <v/>
      </c>
      <c r="T324" s="7" t="str">
        <f t="shared" si="4"/>
        <v/>
      </c>
      <c r="U324" s="4" t="str">
        <f t="shared" si="12"/>
        <v/>
      </c>
      <c r="V324" s="4" t="str">
        <f t="array" ref="V324">XLOOKUP(R324,'Dados Funil'!$A:$A,'Dados Funil'!$K:$K,"")</f>
        <v/>
      </c>
      <c r="W324" s="4" t="str">
        <f t="array" ref="W324">XLOOKUP(R324,'Dados Funil'!$A:$A,'Dados Funil'!$L:$L,"")</f>
        <v/>
      </c>
      <c r="X324" s="4"/>
      <c r="Y324" s="4"/>
      <c r="Z324" s="7" t="str">
        <f t="shared" si="5"/>
        <v/>
      </c>
      <c r="AA324" s="4" t="str">
        <f t="shared" si="13"/>
        <v/>
      </c>
      <c r="AB324" s="4" t="str">
        <f t="array" ref="AB324">XLOOKUP(X324,'Dados Funil'!A:A,'Dados Funil'!O:O,"")</f>
        <v/>
      </c>
      <c r="AE324" s="7" t="str">
        <f t="shared" si="6"/>
        <v/>
      </c>
      <c r="AG324" s="4" t="str">
        <f t="array" ref="AG324">XLOOKUP(AC324,'Dados Funil'!A:A,'Dados Funil'!AM:AM,"")</f>
        <v/>
      </c>
      <c r="AH324" s="4" t="str">
        <f t="array" ref="AH324">XLOOKUP(AC324,'Dados Funil'!A:A,'Dados Funil'!AN:AN,"")</f>
        <v/>
      </c>
    </row>
    <row r="325">
      <c r="A325" s="4"/>
      <c r="B325" s="4"/>
      <c r="C325" s="7" t="str">
        <f t="shared" si="1"/>
        <v/>
      </c>
      <c r="D325" s="4" t="str">
        <f t="shared" si="9"/>
        <v/>
      </c>
      <c r="E325" s="4" t="str">
        <f t="array" ref="E325">XLOOKUP(A325,'Dados Funil'!$A:$A,'Dados Funil'!$K:$K,"")</f>
        <v/>
      </c>
      <c r="F325" s="4" t="str">
        <f t="array" ref="F325">XLOOKUP(A325,'Dados Funil'!$A:$A,'Dados Funil'!$L:$L,"")</f>
        <v/>
      </c>
      <c r="G325" s="4"/>
      <c r="H325" s="4"/>
      <c r="I325" s="7" t="str">
        <f t="shared" si="2"/>
        <v/>
      </c>
      <c r="J325" s="4" t="str">
        <f t="shared" si="10"/>
        <v/>
      </c>
      <c r="K325" s="4" t="str">
        <f t="array" ref="K325">XLOOKUP(G325,'Dados Funil'!A:A,'Dados Funil'!O:O,"")</f>
        <v/>
      </c>
      <c r="L325" s="4"/>
      <c r="M325" s="4"/>
      <c r="N325" s="7" t="str">
        <f t="shared" si="3"/>
        <v/>
      </c>
      <c r="O325" s="4" t="str">
        <f t="shared" si="11"/>
        <v/>
      </c>
      <c r="P325" s="4" t="str">
        <f t="array" ref="P325">XLOOKUP(L325,'Dados Funil'!A:A,'Dados Funil'!AM:AM,"")</f>
        <v/>
      </c>
      <c r="Q325" s="4" t="str">
        <f t="array" ref="Q325">XLOOKUP(L325,'Dados Funil'!A:A,'Dados Funil'!AN:AN,"")</f>
        <v/>
      </c>
      <c r="T325" s="7" t="str">
        <f t="shared" si="4"/>
        <v/>
      </c>
      <c r="U325" s="4" t="str">
        <f t="shared" si="12"/>
        <v/>
      </c>
      <c r="V325" s="4" t="str">
        <f t="array" ref="V325">XLOOKUP(R325,'Dados Funil'!$A:$A,'Dados Funil'!$K:$K,"")</f>
        <v/>
      </c>
      <c r="W325" s="4" t="str">
        <f t="array" ref="W325">XLOOKUP(R325,'Dados Funil'!$A:$A,'Dados Funil'!$L:$L,"")</f>
        <v/>
      </c>
      <c r="X325" s="4"/>
      <c r="Y325" s="4"/>
      <c r="Z325" s="7" t="str">
        <f t="shared" si="5"/>
        <v/>
      </c>
      <c r="AA325" s="4" t="str">
        <f t="shared" si="13"/>
        <v/>
      </c>
      <c r="AB325" s="4" t="str">
        <f t="array" ref="AB325">XLOOKUP(X325,'Dados Funil'!A:A,'Dados Funil'!O:O,"")</f>
        <v/>
      </c>
      <c r="AE325" s="7" t="str">
        <f t="shared" si="6"/>
        <v/>
      </c>
      <c r="AG325" s="4" t="str">
        <f t="array" ref="AG325">XLOOKUP(AC325,'Dados Funil'!A:A,'Dados Funil'!AM:AM,"")</f>
        <v/>
      </c>
      <c r="AH325" s="4" t="str">
        <f t="array" ref="AH325">XLOOKUP(AC325,'Dados Funil'!A:A,'Dados Funil'!AN:AN,"")</f>
        <v/>
      </c>
    </row>
    <row r="326">
      <c r="A326" s="4"/>
      <c r="B326" s="4"/>
      <c r="C326" s="7" t="str">
        <f t="shared" si="1"/>
        <v/>
      </c>
      <c r="D326" s="4" t="str">
        <f t="shared" si="9"/>
        <v/>
      </c>
      <c r="E326" s="4" t="str">
        <f t="array" ref="E326">XLOOKUP(A326,'Dados Funil'!$A:$A,'Dados Funil'!$K:$K,"")</f>
        <v/>
      </c>
      <c r="F326" s="4" t="str">
        <f t="array" ref="F326">XLOOKUP(A326,'Dados Funil'!$A:$A,'Dados Funil'!$L:$L,"")</f>
        <v/>
      </c>
      <c r="G326" s="4"/>
      <c r="H326" s="4"/>
      <c r="I326" s="7" t="str">
        <f t="shared" si="2"/>
        <v/>
      </c>
      <c r="J326" s="4" t="str">
        <f t="shared" si="10"/>
        <v/>
      </c>
      <c r="K326" s="4" t="str">
        <f t="array" ref="K326">XLOOKUP(G326,'Dados Funil'!A:A,'Dados Funil'!O:O,"")</f>
        <v/>
      </c>
      <c r="L326" s="4"/>
      <c r="M326" s="4"/>
      <c r="N326" s="7" t="str">
        <f t="shared" si="3"/>
        <v/>
      </c>
      <c r="O326" s="4" t="str">
        <f t="shared" si="11"/>
        <v/>
      </c>
      <c r="P326" s="4" t="str">
        <f t="array" ref="P326">XLOOKUP(L326,'Dados Funil'!A:A,'Dados Funil'!AM:AM,"")</f>
        <v/>
      </c>
      <c r="Q326" s="4" t="str">
        <f t="array" ref="Q326">XLOOKUP(L326,'Dados Funil'!A:A,'Dados Funil'!AN:AN,"")</f>
        <v/>
      </c>
      <c r="T326" s="7" t="str">
        <f t="shared" si="4"/>
        <v/>
      </c>
      <c r="U326" s="4" t="str">
        <f t="shared" si="12"/>
        <v/>
      </c>
      <c r="V326" s="4" t="str">
        <f t="array" ref="V326">XLOOKUP(R326,'Dados Funil'!$A:$A,'Dados Funil'!$K:$K,"")</f>
        <v/>
      </c>
      <c r="W326" s="4" t="str">
        <f t="array" ref="W326">XLOOKUP(R326,'Dados Funil'!$A:$A,'Dados Funil'!$L:$L,"")</f>
        <v/>
      </c>
      <c r="X326" s="4"/>
      <c r="Y326" s="4"/>
      <c r="Z326" s="7" t="str">
        <f t="shared" si="5"/>
        <v/>
      </c>
      <c r="AA326" s="4" t="str">
        <f t="shared" si="13"/>
        <v/>
      </c>
      <c r="AB326" s="4" t="str">
        <f t="array" ref="AB326">XLOOKUP(X326,'Dados Funil'!A:A,'Dados Funil'!O:O,"")</f>
        <v/>
      </c>
      <c r="AE326" s="7" t="str">
        <f t="shared" si="6"/>
        <v/>
      </c>
      <c r="AG326" s="4" t="str">
        <f t="array" ref="AG326">XLOOKUP(AC326,'Dados Funil'!A:A,'Dados Funil'!AM:AM,"")</f>
        <v/>
      </c>
      <c r="AH326" s="4" t="str">
        <f t="array" ref="AH326">XLOOKUP(AC326,'Dados Funil'!A:A,'Dados Funil'!AN:AN,"")</f>
        <v/>
      </c>
    </row>
    <row r="327">
      <c r="A327" s="4"/>
      <c r="B327" s="4"/>
      <c r="C327" s="7" t="str">
        <f t="shared" si="1"/>
        <v/>
      </c>
      <c r="D327" s="4" t="str">
        <f t="shared" si="9"/>
        <v/>
      </c>
      <c r="E327" s="4" t="str">
        <f t="array" ref="E327">XLOOKUP(A327,'Dados Funil'!$A:$A,'Dados Funil'!$K:$K,"")</f>
        <v/>
      </c>
      <c r="F327" s="4" t="str">
        <f t="array" ref="F327">XLOOKUP(A327,'Dados Funil'!$A:$A,'Dados Funil'!$L:$L,"")</f>
        <v/>
      </c>
      <c r="G327" s="4"/>
      <c r="H327" s="4"/>
      <c r="I327" s="7" t="str">
        <f t="shared" si="2"/>
        <v/>
      </c>
      <c r="J327" s="4" t="str">
        <f t="shared" si="10"/>
        <v/>
      </c>
      <c r="K327" s="4" t="str">
        <f t="array" ref="K327">XLOOKUP(G327,'Dados Funil'!A:A,'Dados Funil'!O:O,"")</f>
        <v/>
      </c>
      <c r="L327" s="4"/>
      <c r="M327" s="4"/>
      <c r="N327" s="7" t="str">
        <f t="shared" si="3"/>
        <v/>
      </c>
      <c r="O327" s="4" t="str">
        <f t="shared" si="11"/>
        <v/>
      </c>
      <c r="P327" s="4" t="str">
        <f t="array" ref="P327">XLOOKUP(L327,'Dados Funil'!A:A,'Dados Funil'!AM:AM,"")</f>
        <v/>
      </c>
      <c r="Q327" s="4" t="str">
        <f t="array" ref="Q327">XLOOKUP(L327,'Dados Funil'!A:A,'Dados Funil'!AN:AN,"")</f>
        <v/>
      </c>
      <c r="T327" s="7" t="str">
        <f t="shared" si="4"/>
        <v/>
      </c>
      <c r="U327" s="4" t="str">
        <f t="shared" si="12"/>
        <v/>
      </c>
      <c r="V327" s="4" t="str">
        <f t="array" ref="V327">XLOOKUP(R327,'Dados Funil'!$A:$A,'Dados Funil'!$K:$K,"")</f>
        <v/>
      </c>
      <c r="W327" s="4" t="str">
        <f t="array" ref="W327">XLOOKUP(R327,'Dados Funil'!$A:$A,'Dados Funil'!$L:$L,"")</f>
        <v/>
      </c>
      <c r="X327" s="4"/>
      <c r="Y327" s="4"/>
      <c r="Z327" s="7" t="str">
        <f t="shared" si="5"/>
        <v/>
      </c>
      <c r="AA327" s="4" t="str">
        <f t="shared" si="13"/>
        <v/>
      </c>
      <c r="AB327" s="4" t="str">
        <f t="array" ref="AB327">XLOOKUP(X327,'Dados Funil'!A:A,'Dados Funil'!O:O,"")</f>
        <v/>
      </c>
      <c r="AE327" s="7" t="str">
        <f t="shared" si="6"/>
        <v/>
      </c>
      <c r="AG327" s="4" t="str">
        <f t="array" ref="AG327">XLOOKUP(AC327,'Dados Funil'!A:A,'Dados Funil'!AM:AM,"")</f>
        <v/>
      </c>
      <c r="AH327" s="4" t="str">
        <f t="array" ref="AH327">XLOOKUP(AC327,'Dados Funil'!A:A,'Dados Funil'!AN:AN,"")</f>
        <v/>
      </c>
    </row>
    <row r="328">
      <c r="A328" s="4"/>
      <c r="B328" s="4"/>
      <c r="C328" s="7" t="str">
        <f t="shared" si="1"/>
        <v/>
      </c>
      <c r="D328" s="4" t="str">
        <f t="shared" si="9"/>
        <v/>
      </c>
      <c r="E328" s="4" t="str">
        <f t="array" ref="E328">XLOOKUP(A328,'Dados Funil'!$A:$A,'Dados Funil'!$K:$K,"")</f>
        <v/>
      </c>
      <c r="F328" s="4" t="str">
        <f t="array" ref="F328">XLOOKUP(A328,'Dados Funil'!$A:$A,'Dados Funil'!$L:$L,"")</f>
        <v/>
      </c>
      <c r="G328" s="4"/>
      <c r="H328" s="4"/>
      <c r="I328" s="7" t="str">
        <f t="shared" si="2"/>
        <v/>
      </c>
      <c r="J328" s="4" t="str">
        <f t="shared" si="10"/>
        <v/>
      </c>
      <c r="K328" s="4" t="str">
        <f t="array" ref="K328">XLOOKUP(G328,'Dados Funil'!A:A,'Dados Funil'!O:O,"")</f>
        <v/>
      </c>
      <c r="L328" s="4"/>
      <c r="M328" s="4"/>
      <c r="N328" s="7" t="str">
        <f t="shared" si="3"/>
        <v/>
      </c>
      <c r="O328" s="4" t="str">
        <f t="shared" si="11"/>
        <v/>
      </c>
      <c r="P328" s="4" t="str">
        <f t="array" ref="P328">XLOOKUP(L328,'Dados Funil'!A:A,'Dados Funil'!AM:AM,"")</f>
        <v/>
      </c>
      <c r="Q328" s="4" t="str">
        <f t="array" ref="Q328">XLOOKUP(L328,'Dados Funil'!A:A,'Dados Funil'!AN:AN,"")</f>
        <v/>
      </c>
      <c r="T328" s="7" t="str">
        <f t="shared" si="4"/>
        <v/>
      </c>
      <c r="U328" s="4" t="str">
        <f t="shared" si="12"/>
        <v/>
      </c>
      <c r="V328" s="4" t="str">
        <f t="array" ref="V328">XLOOKUP(R328,'Dados Funil'!$A:$A,'Dados Funil'!$K:$K,"")</f>
        <v/>
      </c>
      <c r="W328" s="4" t="str">
        <f t="array" ref="W328">XLOOKUP(R328,'Dados Funil'!$A:$A,'Dados Funil'!$L:$L,"")</f>
        <v/>
      </c>
      <c r="X328" s="4"/>
      <c r="Y328" s="4"/>
      <c r="Z328" s="7" t="str">
        <f t="shared" si="5"/>
        <v/>
      </c>
      <c r="AA328" s="4" t="str">
        <f t="shared" si="13"/>
        <v/>
      </c>
      <c r="AB328" s="4" t="str">
        <f t="array" ref="AB328">XLOOKUP(X328,'Dados Funil'!A:A,'Dados Funil'!O:O,"")</f>
        <v/>
      </c>
      <c r="AE328" s="7" t="str">
        <f t="shared" si="6"/>
        <v/>
      </c>
      <c r="AG328" s="4" t="str">
        <f t="array" ref="AG328">XLOOKUP(AC328,'Dados Funil'!A:A,'Dados Funil'!AM:AM,"")</f>
        <v/>
      </c>
      <c r="AH328" s="4" t="str">
        <f t="array" ref="AH328">XLOOKUP(AC328,'Dados Funil'!A:A,'Dados Funil'!AN:AN,"")</f>
        <v/>
      </c>
    </row>
    <row r="329">
      <c r="A329" s="4"/>
      <c r="B329" s="4"/>
      <c r="C329" s="7" t="str">
        <f t="shared" si="1"/>
        <v/>
      </c>
      <c r="D329" s="4" t="str">
        <f t="shared" si="9"/>
        <v/>
      </c>
      <c r="E329" s="4" t="str">
        <f t="array" ref="E329">XLOOKUP(A329,'Dados Funil'!$A:$A,'Dados Funil'!$K:$K,"")</f>
        <v/>
      </c>
      <c r="F329" s="4" t="str">
        <f t="array" ref="F329">XLOOKUP(A329,'Dados Funil'!$A:$A,'Dados Funil'!$L:$L,"")</f>
        <v/>
      </c>
      <c r="G329" s="4"/>
      <c r="H329" s="4"/>
      <c r="I329" s="7" t="str">
        <f t="shared" si="2"/>
        <v/>
      </c>
      <c r="J329" s="4" t="str">
        <f t="shared" si="10"/>
        <v/>
      </c>
      <c r="K329" s="4" t="str">
        <f t="array" ref="K329">XLOOKUP(G329,'Dados Funil'!A:A,'Dados Funil'!O:O,"")</f>
        <v/>
      </c>
      <c r="L329" s="4"/>
      <c r="M329" s="4"/>
      <c r="N329" s="7" t="str">
        <f t="shared" si="3"/>
        <v/>
      </c>
      <c r="O329" s="4" t="str">
        <f t="shared" si="11"/>
        <v/>
      </c>
      <c r="P329" s="4" t="str">
        <f t="array" ref="P329">XLOOKUP(L329,'Dados Funil'!A:A,'Dados Funil'!AM:AM,"")</f>
        <v/>
      </c>
      <c r="Q329" s="4" t="str">
        <f t="array" ref="Q329">XLOOKUP(L329,'Dados Funil'!A:A,'Dados Funil'!AN:AN,"")</f>
        <v/>
      </c>
      <c r="T329" s="7" t="str">
        <f t="shared" si="4"/>
        <v/>
      </c>
      <c r="U329" s="4" t="str">
        <f t="shared" si="12"/>
        <v/>
      </c>
      <c r="V329" s="4" t="str">
        <f t="array" ref="V329">XLOOKUP(R329,'Dados Funil'!$A:$A,'Dados Funil'!$K:$K,"")</f>
        <v/>
      </c>
      <c r="W329" s="4" t="str">
        <f t="array" ref="W329">XLOOKUP(R329,'Dados Funil'!$A:$A,'Dados Funil'!$L:$L,"")</f>
        <v/>
      </c>
      <c r="X329" s="4"/>
      <c r="Y329" s="4"/>
      <c r="Z329" s="7" t="str">
        <f t="shared" si="5"/>
        <v/>
      </c>
      <c r="AA329" s="4" t="str">
        <f t="shared" si="13"/>
        <v/>
      </c>
      <c r="AB329" s="4" t="str">
        <f t="array" ref="AB329">XLOOKUP(X329,'Dados Funil'!A:A,'Dados Funil'!O:O,"")</f>
        <v/>
      </c>
      <c r="AE329" s="7" t="str">
        <f t="shared" si="6"/>
        <v/>
      </c>
      <c r="AG329" s="4" t="str">
        <f t="array" ref="AG329">XLOOKUP(AC329,'Dados Funil'!A:A,'Dados Funil'!AM:AM,"")</f>
        <v/>
      </c>
      <c r="AH329" s="4" t="str">
        <f t="array" ref="AH329">XLOOKUP(AC329,'Dados Funil'!A:A,'Dados Funil'!AN:AN,"")</f>
        <v/>
      </c>
    </row>
    <row r="330">
      <c r="A330" s="4"/>
      <c r="B330" s="4"/>
      <c r="C330" s="7" t="str">
        <f t="shared" si="1"/>
        <v/>
      </c>
      <c r="D330" s="4" t="str">
        <f t="shared" si="9"/>
        <v/>
      </c>
      <c r="E330" s="4" t="str">
        <f t="array" ref="E330">XLOOKUP(A330,'Dados Funil'!$A:$A,'Dados Funil'!$K:$K,"")</f>
        <v/>
      </c>
      <c r="F330" s="4" t="str">
        <f t="array" ref="F330">XLOOKUP(A330,'Dados Funil'!$A:$A,'Dados Funil'!$L:$L,"")</f>
        <v/>
      </c>
      <c r="G330" s="4"/>
      <c r="H330" s="4"/>
      <c r="I330" s="7" t="str">
        <f t="shared" si="2"/>
        <v/>
      </c>
      <c r="J330" s="4" t="str">
        <f t="shared" si="10"/>
        <v/>
      </c>
      <c r="K330" s="4" t="str">
        <f t="array" ref="K330">XLOOKUP(G330,'Dados Funil'!A:A,'Dados Funil'!O:O,"")</f>
        <v/>
      </c>
      <c r="L330" s="4"/>
      <c r="M330" s="4"/>
      <c r="N330" s="7" t="str">
        <f t="shared" si="3"/>
        <v/>
      </c>
      <c r="O330" s="4" t="str">
        <f t="shared" si="11"/>
        <v/>
      </c>
      <c r="P330" s="4" t="str">
        <f t="array" ref="P330">XLOOKUP(L330,'Dados Funil'!A:A,'Dados Funil'!AM:AM,"")</f>
        <v/>
      </c>
      <c r="Q330" s="4" t="str">
        <f t="array" ref="Q330">XLOOKUP(L330,'Dados Funil'!A:A,'Dados Funil'!AN:AN,"")</f>
        <v/>
      </c>
      <c r="T330" s="7" t="str">
        <f t="shared" si="4"/>
        <v/>
      </c>
      <c r="U330" s="4" t="str">
        <f t="shared" si="12"/>
        <v/>
      </c>
      <c r="V330" s="4" t="str">
        <f t="array" ref="V330">XLOOKUP(R330,'Dados Funil'!$A:$A,'Dados Funil'!$K:$K,"")</f>
        <v/>
      </c>
      <c r="W330" s="4" t="str">
        <f t="array" ref="W330">XLOOKUP(R330,'Dados Funil'!$A:$A,'Dados Funil'!$L:$L,"")</f>
        <v/>
      </c>
      <c r="X330" s="4"/>
      <c r="Y330" s="4"/>
      <c r="Z330" s="7" t="str">
        <f t="shared" si="5"/>
        <v/>
      </c>
      <c r="AA330" s="4" t="str">
        <f t="shared" si="13"/>
        <v/>
      </c>
      <c r="AB330" s="4" t="str">
        <f t="array" ref="AB330">XLOOKUP(X330,'Dados Funil'!A:A,'Dados Funil'!O:O,"")</f>
        <v/>
      </c>
      <c r="AE330" s="7" t="str">
        <f t="shared" si="6"/>
        <v/>
      </c>
      <c r="AG330" s="4" t="str">
        <f t="array" ref="AG330">XLOOKUP(AC330,'Dados Funil'!A:A,'Dados Funil'!AM:AM,"")</f>
        <v/>
      </c>
      <c r="AH330" s="4" t="str">
        <f t="array" ref="AH330">XLOOKUP(AC330,'Dados Funil'!A:A,'Dados Funil'!AN:AN,"")</f>
        <v/>
      </c>
    </row>
    <row r="331">
      <c r="A331" s="4"/>
      <c r="B331" s="4"/>
      <c r="C331" s="7" t="str">
        <f t="shared" si="1"/>
        <v/>
      </c>
      <c r="D331" s="4" t="str">
        <f t="shared" si="9"/>
        <v/>
      </c>
      <c r="E331" s="4" t="str">
        <f t="array" ref="E331">XLOOKUP(A331,'Dados Funil'!$A:$A,'Dados Funil'!$K:$K,"")</f>
        <v/>
      </c>
      <c r="F331" s="4" t="str">
        <f t="array" ref="F331">XLOOKUP(A331,'Dados Funil'!$A:$A,'Dados Funil'!$L:$L,"")</f>
        <v/>
      </c>
      <c r="G331" s="4"/>
      <c r="H331" s="4"/>
      <c r="I331" s="7" t="str">
        <f t="shared" si="2"/>
        <v/>
      </c>
      <c r="J331" s="4" t="str">
        <f t="shared" si="10"/>
        <v/>
      </c>
      <c r="K331" s="4" t="str">
        <f t="array" ref="K331">XLOOKUP(G331,'Dados Funil'!A:A,'Dados Funil'!O:O,"")</f>
        <v/>
      </c>
      <c r="L331" s="4"/>
      <c r="M331" s="4"/>
      <c r="N331" s="7" t="str">
        <f t="shared" si="3"/>
        <v/>
      </c>
      <c r="O331" s="4" t="str">
        <f t="shared" si="11"/>
        <v/>
      </c>
      <c r="P331" s="4" t="str">
        <f t="array" ref="P331">XLOOKUP(L331,'Dados Funil'!A:A,'Dados Funil'!AM:AM,"")</f>
        <v/>
      </c>
      <c r="Q331" s="4" t="str">
        <f t="array" ref="Q331">XLOOKUP(L331,'Dados Funil'!A:A,'Dados Funil'!AN:AN,"")</f>
        <v/>
      </c>
      <c r="T331" s="7" t="str">
        <f t="shared" si="4"/>
        <v/>
      </c>
      <c r="U331" s="4" t="str">
        <f t="shared" si="12"/>
        <v/>
      </c>
      <c r="V331" s="4" t="str">
        <f t="array" ref="V331">XLOOKUP(R331,'Dados Funil'!$A:$A,'Dados Funil'!$K:$K,"")</f>
        <v/>
      </c>
      <c r="W331" s="4" t="str">
        <f t="array" ref="W331">XLOOKUP(R331,'Dados Funil'!$A:$A,'Dados Funil'!$L:$L,"")</f>
        <v/>
      </c>
      <c r="X331" s="4"/>
      <c r="Y331" s="4"/>
      <c r="Z331" s="7" t="str">
        <f t="shared" si="5"/>
        <v/>
      </c>
      <c r="AA331" s="4" t="str">
        <f t="shared" si="13"/>
        <v/>
      </c>
      <c r="AB331" s="4" t="str">
        <f t="array" ref="AB331">XLOOKUP(X331,'Dados Funil'!A:A,'Dados Funil'!O:O,"")</f>
        <v/>
      </c>
      <c r="AE331" s="7" t="str">
        <f t="shared" si="6"/>
        <v/>
      </c>
      <c r="AG331" s="4" t="str">
        <f t="array" ref="AG331">XLOOKUP(AC331,'Dados Funil'!A:A,'Dados Funil'!AM:AM,"")</f>
        <v/>
      </c>
      <c r="AH331" s="4" t="str">
        <f t="array" ref="AH331">XLOOKUP(AC331,'Dados Funil'!A:A,'Dados Funil'!AN:AN,"")</f>
        <v/>
      </c>
    </row>
    <row r="332">
      <c r="A332" s="4"/>
      <c r="B332" s="4"/>
      <c r="C332" s="7" t="str">
        <f t="shared" si="1"/>
        <v/>
      </c>
      <c r="D332" s="4" t="str">
        <f t="shared" si="9"/>
        <v/>
      </c>
      <c r="E332" s="4" t="str">
        <f t="array" ref="E332">XLOOKUP(A332,'Dados Funil'!$A:$A,'Dados Funil'!$K:$K,"")</f>
        <v/>
      </c>
      <c r="F332" s="4" t="str">
        <f t="array" ref="F332">XLOOKUP(A332,'Dados Funil'!$A:$A,'Dados Funil'!$L:$L,"")</f>
        <v/>
      </c>
      <c r="G332" s="4"/>
      <c r="H332" s="4"/>
      <c r="I332" s="7" t="str">
        <f t="shared" si="2"/>
        <v/>
      </c>
      <c r="J332" s="4" t="str">
        <f t="shared" si="10"/>
        <v/>
      </c>
      <c r="K332" s="4" t="str">
        <f t="array" ref="K332">XLOOKUP(G332,'Dados Funil'!A:A,'Dados Funil'!O:O,"")</f>
        <v/>
      </c>
      <c r="L332" s="4"/>
      <c r="M332" s="4"/>
      <c r="N332" s="7" t="str">
        <f t="shared" si="3"/>
        <v/>
      </c>
      <c r="O332" s="4" t="str">
        <f t="shared" si="11"/>
        <v/>
      </c>
      <c r="P332" s="4" t="str">
        <f t="array" ref="P332">XLOOKUP(L332,'Dados Funil'!A:A,'Dados Funil'!AM:AM,"")</f>
        <v/>
      </c>
      <c r="Q332" s="4" t="str">
        <f t="array" ref="Q332">XLOOKUP(L332,'Dados Funil'!A:A,'Dados Funil'!AN:AN,"")</f>
        <v/>
      </c>
      <c r="T332" s="7" t="str">
        <f t="shared" si="4"/>
        <v/>
      </c>
      <c r="U332" s="4" t="str">
        <f t="shared" si="12"/>
        <v/>
      </c>
      <c r="V332" s="4" t="str">
        <f t="array" ref="V332">XLOOKUP(R332,'Dados Funil'!$A:$A,'Dados Funil'!$K:$K,"")</f>
        <v/>
      </c>
      <c r="W332" s="4" t="str">
        <f t="array" ref="W332">XLOOKUP(R332,'Dados Funil'!$A:$A,'Dados Funil'!$L:$L,"")</f>
        <v/>
      </c>
      <c r="X332" s="4"/>
      <c r="Y332" s="4"/>
      <c r="Z332" s="7" t="str">
        <f t="shared" si="5"/>
        <v/>
      </c>
      <c r="AA332" s="4" t="str">
        <f t="shared" si="13"/>
        <v/>
      </c>
      <c r="AB332" s="4" t="str">
        <f t="array" ref="AB332">XLOOKUP(X332,'Dados Funil'!A:A,'Dados Funil'!O:O,"")</f>
        <v/>
      </c>
      <c r="AE332" s="7" t="str">
        <f t="shared" si="6"/>
        <v/>
      </c>
      <c r="AG332" s="4" t="str">
        <f t="array" ref="AG332">XLOOKUP(AC332,'Dados Funil'!A:A,'Dados Funil'!AM:AM,"")</f>
        <v/>
      </c>
      <c r="AH332" s="4" t="str">
        <f t="array" ref="AH332">XLOOKUP(AC332,'Dados Funil'!A:A,'Dados Funil'!AN:AN,"")</f>
        <v/>
      </c>
    </row>
    <row r="333">
      <c r="A333" s="4"/>
      <c r="B333" s="4"/>
      <c r="C333" s="7" t="str">
        <f t="shared" si="1"/>
        <v/>
      </c>
      <c r="D333" s="4" t="str">
        <f t="shared" si="9"/>
        <v/>
      </c>
      <c r="E333" s="4" t="str">
        <f t="array" ref="E333">XLOOKUP(A333,'Dados Funil'!$A:$A,'Dados Funil'!$K:$K,"")</f>
        <v/>
      </c>
      <c r="F333" s="4" t="str">
        <f t="array" ref="F333">XLOOKUP(A333,'Dados Funil'!$A:$A,'Dados Funil'!$L:$L,"")</f>
        <v/>
      </c>
      <c r="G333" s="4"/>
      <c r="H333" s="4"/>
      <c r="I333" s="7" t="str">
        <f t="shared" si="2"/>
        <v/>
      </c>
      <c r="J333" s="4" t="str">
        <f t="shared" si="10"/>
        <v/>
      </c>
      <c r="K333" s="4" t="str">
        <f t="array" ref="K333">XLOOKUP(G333,'Dados Funil'!A:A,'Dados Funil'!O:O,"")</f>
        <v/>
      </c>
      <c r="L333" s="4"/>
      <c r="M333" s="4"/>
      <c r="N333" s="7" t="str">
        <f t="shared" si="3"/>
        <v/>
      </c>
      <c r="O333" s="4" t="str">
        <f t="shared" si="11"/>
        <v/>
      </c>
      <c r="P333" s="4" t="str">
        <f t="array" ref="P333">XLOOKUP(L333,'Dados Funil'!A:A,'Dados Funil'!AM:AM,"")</f>
        <v/>
      </c>
      <c r="Q333" s="4" t="str">
        <f t="array" ref="Q333">XLOOKUP(L333,'Dados Funil'!A:A,'Dados Funil'!AN:AN,"")</f>
        <v/>
      </c>
      <c r="T333" s="7" t="str">
        <f t="shared" si="4"/>
        <v/>
      </c>
      <c r="U333" s="4" t="str">
        <f t="shared" si="12"/>
        <v/>
      </c>
      <c r="V333" s="4" t="str">
        <f t="array" ref="V333">XLOOKUP(R333,'Dados Funil'!$A:$A,'Dados Funil'!$K:$K,"")</f>
        <v/>
      </c>
      <c r="W333" s="4" t="str">
        <f t="array" ref="W333">XLOOKUP(R333,'Dados Funil'!$A:$A,'Dados Funil'!$L:$L,"")</f>
        <v/>
      </c>
      <c r="X333" s="4"/>
      <c r="Y333" s="4"/>
      <c r="Z333" s="7" t="str">
        <f t="shared" si="5"/>
        <v/>
      </c>
      <c r="AA333" s="4" t="str">
        <f t="shared" si="13"/>
        <v/>
      </c>
      <c r="AB333" s="4" t="str">
        <f t="array" ref="AB333">XLOOKUP(X333,'Dados Funil'!A:A,'Dados Funil'!O:O,"")</f>
        <v/>
      </c>
      <c r="AE333" s="7" t="str">
        <f t="shared" si="6"/>
        <v/>
      </c>
      <c r="AG333" s="4" t="str">
        <f t="array" ref="AG333">XLOOKUP(AC333,'Dados Funil'!A:A,'Dados Funil'!AM:AM,"")</f>
        <v/>
      </c>
      <c r="AH333" s="4" t="str">
        <f t="array" ref="AH333">XLOOKUP(AC333,'Dados Funil'!A:A,'Dados Funil'!AN:AN,"")</f>
        <v/>
      </c>
    </row>
    <row r="334">
      <c r="A334" s="4"/>
      <c r="B334" s="4"/>
      <c r="C334" s="7" t="str">
        <f t="shared" si="1"/>
        <v/>
      </c>
      <c r="D334" s="4" t="str">
        <f t="shared" si="9"/>
        <v/>
      </c>
      <c r="E334" s="4" t="str">
        <f t="array" ref="E334">XLOOKUP(A334,'Dados Funil'!$A:$A,'Dados Funil'!$K:$K,"")</f>
        <v/>
      </c>
      <c r="F334" s="4" t="str">
        <f t="array" ref="F334">XLOOKUP(A334,'Dados Funil'!$A:$A,'Dados Funil'!$L:$L,"")</f>
        <v/>
      </c>
      <c r="G334" s="4"/>
      <c r="H334" s="4"/>
      <c r="I334" s="7" t="str">
        <f t="shared" si="2"/>
        <v/>
      </c>
      <c r="J334" s="4" t="str">
        <f t="shared" si="10"/>
        <v/>
      </c>
      <c r="K334" s="4" t="str">
        <f t="array" ref="K334">XLOOKUP(G334,'Dados Funil'!A:A,'Dados Funil'!O:O,"")</f>
        <v/>
      </c>
      <c r="L334" s="4"/>
      <c r="M334" s="4"/>
      <c r="N334" s="7" t="str">
        <f t="shared" si="3"/>
        <v/>
      </c>
      <c r="O334" s="4" t="str">
        <f t="shared" si="11"/>
        <v/>
      </c>
      <c r="P334" s="4" t="str">
        <f t="array" ref="P334">XLOOKUP(L334,'Dados Funil'!A:A,'Dados Funil'!AM:AM,"")</f>
        <v/>
      </c>
      <c r="Q334" s="4" t="str">
        <f t="array" ref="Q334">XLOOKUP(L334,'Dados Funil'!A:A,'Dados Funil'!AN:AN,"")</f>
        <v/>
      </c>
      <c r="T334" s="7" t="str">
        <f t="shared" si="4"/>
        <v/>
      </c>
      <c r="U334" s="4" t="str">
        <f t="shared" si="12"/>
        <v/>
      </c>
      <c r="V334" s="4" t="str">
        <f t="array" ref="V334">XLOOKUP(R334,'Dados Funil'!$A:$A,'Dados Funil'!$K:$K,"")</f>
        <v/>
      </c>
      <c r="W334" s="4" t="str">
        <f t="array" ref="W334">XLOOKUP(R334,'Dados Funil'!$A:$A,'Dados Funil'!$L:$L,"")</f>
        <v/>
      </c>
      <c r="X334" s="4"/>
      <c r="Y334" s="4"/>
      <c r="Z334" s="7" t="str">
        <f t="shared" si="5"/>
        <v/>
      </c>
      <c r="AA334" s="4" t="str">
        <f t="shared" si="13"/>
        <v/>
      </c>
      <c r="AB334" s="4" t="str">
        <f t="array" ref="AB334">XLOOKUP(X334,'Dados Funil'!A:A,'Dados Funil'!O:O,"")</f>
        <v/>
      </c>
      <c r="AE334" s="7" t="str">
        <f t="shared" si="6"/>
        <v/>
      </c>
      <c r="AG334" s="4" t="str">
        <f t="array" ref="AG334">XLOOKUP(AC334,'Dados Funil'!A:A,'Dados Funil'!AM:AM,"")</f>
        <v/>
      </c>
      <c r="AH334" s="4" t="str">
        <f t="array" ref="AH334">XLOOKUP(AC334,'Dados Funil'!A:A,'Dados Funil'!AN:AN,"")</f>
        <v/>
      </c>
    </row>
    <row r="335">
      <c r="A335" s="4"/>
      <c r="B335" s="4"/>
      <c r="C335" s="7" t="str">
        <f t="shared" si="1"/>
        <v/>
      </c>
      <c r="D335" s="4" t="str">
        <f t="shared" si="9"/>
        <v/>
      </c>
      <c r="E335" s="4" t="str">
        <f t="array" ref="E335">XLOOKUP(A335,'Dados Funil'!$A:$A,'Dados Funil'!$K:$K,"")</f>
        <v/>
      </c>
      <c r="F335" s="4" t="str">
        <f t="array" ref="F335">XLOOKUP(A335,'Dados Funil'!$A:$A,'Dados Funil'!$L:$L,"")</f>
        <v/>
      </c>
      <c r="G335" s="4"/>
      <c r="H335" s="4"/>
      <c r="I335" s="7" t="str">
        <f t="shared" si="2"/>
        <v/>
      </c>
      <c r="J335" s="4" t="str">
        <f t="shared" si="10"/>
        <v/>
      </c>
      <c r="K335" s="4" t="str">
        <f t="array" ref="K335">XLOOKUP(G335,'Dados Funil'!A:A,'Dados Funil'!O:O,"")</f>
        <v/>
      </c>
      <c r="L335" s="4"/>
      <c r="M335" s="4"/>
      <c r="N335" s="7" t="str">
        <f t="shared" si="3"/>
        <v/>
      </c>
      <c r="O335" s="4" t="str">
        <f t="shared" si="11"/>
        <v/>
      </c>
      <c r="P335" s="4" t="str">
        <f t="array" ref="P335">XLOOKUP(L335,'Dados Funil'!A:A,'Dados Funil'!AM:AM,"")</f>
        <v/>
      </c>
      <c r="Q335" s="4" t="str">
        <f t="array" ref="Q335">XLOOKUP(L335,'Dados Funil'!A:A,'Dados Funil'!AN:AN,"")</f>
        <v/>
      </c>
      <c r="T335" s="7" t="str">
        <f t="shared" si="4"/>
        <v/>
      </c>
      <c r="U335" s="4" t="str">
        <f t="shared" si="12"/>
        <v/>
      </c>
      <c r="V335" s="4" t="str">
        <f t="array" ref="V335">XLOOKUP(R335,'Dados Funil'!$A:$A,'Dados Funil'!$K:$K,"")</f>
        <v/>
      </c>
      <c r="W335" s="4" t="str">
        <f t="array" ref="W335">XLOOKUP(R335,'Dados Funil'!$A:$A,'Dados Funil'!$L:$L,"")</f>
        <v/>
      </c>
      <c r="X335" s="4"/>
      <c r="Y335" s="4"/>
      <c r="Z335" s="7" t="str">
        <f t="shared" si="5"/>
        <v/>
      </c>
      <c r="AA335" s="4" t="str">
        <f t="shared" si="13"/>
        <v/>
      </c>
      <c r="AB335" s="4" t="str">
        <f t="array" ref="AB335">XLOOKUP(X335,'Dados Funil'!A:A,'Dados Funil'!O:O,"")</f>
        <v/>
      </c>
      <c r="AE335" s="7" t="str">
        <f t="shared" si="6"/>
        <v/>
      </c>
      <c r="AG335" s="4" t="str">
        <f t="array" ref="AG335">XLOOKUP(AC335,'Dados Funil'!A:A,'Dados Funil'!AM:AM,"")</f>
        <v/>
      </c>
      <c r="AH335" s="4" t="str">
        <f t="array" ref="AH335">XLOOKUP(AC335,'Dados Funil'!A:A,'Dados Funil'!AN:AN,"")</f>
        <v/>
      </c>
    </row>
    <row r="336">
      <c r="A336" s="4"/>
      <c r="B336" s="4"/>
      <c r="C336" s="7" t="str">
        <f t="shared" si="1"/>
        <v/>
      </c>
      <c r="D336" s="4" t="str">
        <f t="shared" si="9"/>
        <v/>
      </c>
      <c r="E336" s="4" t="str">
        <f t="array" ref="E336">XLOOKUP(A336,'Dados Funil'!$A:$A,'Dados Funil'!$K:$K,"")</f>
        <v/>
      </c>
      <c r="F336" s="4" t="str">
        <f t="array" ref="F336">XLOOKUP(A336,'Dados Funil'!$A:$A,'Dados Funil'!$L:$L,"")</f>
        <v/>
      </c>
      <c r="G336" s="4"/>
      <c r="H336" s="4"/>
      <c r="I336" s="7" t="str">
        <f t="shared" si="2"/>
        <v/>
      </c>
      <c r="J336" s="4" t="str">
        <f t="shared" si="10"/>
        <v/>
      </c>
      <c r="K336" s="4" t="str">
        <f t="array" ref="K336">XLOOKUP(G336,'Dados Funil'!A:A,'Dados Funil'!O:O,"")</f>
        <v/>
      </c>
      <c r="L336" s="4"/>
      <c r="M336" s="4"/>
      <c r="N336" s="7" t="str">
        <f t="shared" si="3"/>
        <v/>
      </c>
      <c r="O336" s="4" t="str">
        <f t="shared" si="11"/>
        <v/>
      </c>
      <c r="P336" s="4" t="str">
        <f t="array" ref="P336">XLOOKUP(L336,'Dados Funil'!A:A,'Dados Funil'!AM:AM,"")</f>
        <v/>
      </c>
      <c r="Q336" s="4" t="str">
        <f t="array" ref="Q336">XLOOKUP(L336,'Dados Funil'!A:A,'Dados Funil'!AN:AN,"")</f>
        <v/>
      </c>
      <c r="T336" s="7" t="str">
        <f t="shared" si="4"/>
        <v/>
      </c>
      <c r="U336" s="4" t="str">
        <f t="shared" si="12"/>
        <v/>
      </c>
      <c r="V336" s="4" t="str">
        <f t="array" ref="V336">XLOOKUP(R336,'Dados Funil'!$A:$A,'Dados Funil'!$K:$K,"")</f>
        <v/>
      </c>
      <c r="W336" s="4" t="str">
        <f t="array" ref="W336">XLOOKUP(R336,'Dados Funil'!$A:$A,'Dados Funil'!$L:$L,"")</f>
        <v/>
      </c>
      <c r="X336" s="4"/>
      <c r="Y336" s="4"/>
      <c r="Z336" s="7" t="str">
        <f t="shared" si="5"/>
        <v/>
      </c>
      <c r="AA336" s="4" t="str">
        <f t="shared" si="13"/>
        <v/>
      </c>
      <c r="AB336" s="4" t="str">
        <f t="array" ref="AB336">XLOOKUP(X336,'Dados Funil'!A:A,'Dados Funil'!O:O,"")</f>
        <v/>
      </c>
      <c r="AE336" s="7" t="str">
        <f t="shared" si="6"/>
        <v/>
      </c>
      <c r="AG336" s="4" t="str">
        <f t="array" ref="AG336">XLOOKUP(AC336,'Dados Funil'!A:A,'Dados Funil'!AM:AM,"")</f>
        <v/>
      </c>
      <c r="AH336" s="4" t="str">
        <f t="array" ref="AH336">XLOOKUP(AC336,'Dados Funil'!A:A,'Dados Funil'!AN:AN,"")</f>
        <v/>
      </c>
    </row>
    <row r="337">
      <c r="A337" s="4"/>
      <c r="B337" s="4"/>
      <c r="C337" s="7" t="str">
        <f t="shared" si="1"/>
        <v/>
      </c>
      <c r="D337" s="4" t="str">
        <f t="shared" si="9"/>
        <v/>
      </c>
      <c r="E337" s="4" t="str">
        <f t="array" ref="E337">XLOOKUP(A337,'Dados Funil'!$A:$A,'Dados Funil'!$K:$K,"")</f>
        <v/>
      </c>
      <c r="F337" s="4" t="str">
        <f t="array" ref="F337">XLOOKUP(A337,'Dados Funil'!$A:$A,'Dados Funil'!$L:$L,"")</f>
        <v/>
      </c>
      <c r="G337" s="4"/>
      <c r="H337" s="4"/>
      <c r="I337" s="7" t="str">
        <f t="shared" si="2"/>
        <v/>
      </c>
      <c r="J337" s="4" t="str">
        <f t="shared" si="10"/>
        <v/>
      </c>
      <c r="K337" s="4" t="str">
        <f t="array" ref="K337">XLOOKUP(G337,'Dados Funil'!A:A,'Dados Funil'!O:O,"")</f>
        <v/>
      </c>
      <c r="L337" s="4"/>
      <c r="M337" s="4"/>
      <c r="N337" s="7" t="str">
        <f t="shared" si="3"/>
        <v/>
      </c>
      <c r="O337" s="4" t="str">
        <f t="shared" si="11"/>
        <v/>
      </c>
      <c r="P337" s="4" t="str">
        <f t="array" ref="P337">XLOOKUP(L337,'Dados Funil'!A:A,'Dados Funil'!AM:AM,"")</f>
        <v/>
      </c>
      <c r="Q337" s="4" t="str">
        <f t="array" ref="Q337">XLOOKUP(L337,'Dados Funil'!A:A,'Dados Funil'!AN:AN,"")</f>
        <v/>
      </c>
      <c r="T337" s="7" t="str">
        <f t="shared" si="4"/>
        <v/>
      </c>
      <c r="U337" s="4" t="str">
        <f t="shared" si="12"/>
        <v/>
      </c>
      <c r="V337" s="4" t="str">
        <f t="array" ref="V337">XLOOKUP(R337,'Dados Funil'!$A:$A,'Dados Funil'!$K:$K,"")</f>
        <v/>
      </c>
      <c r="W337" s="4" t="str">
        <f t="array" ref="W337">XLOOKUP(R337,'Dados Funil'!$A:$A,'Dados Funil'!$L:$L,"")</f>
        <v/>
      </c>
      <c r="X337" s="4"/>
      <c r="Y337" s="4"/>
      <c r="Z337" s="7" t="str">
        <f t="shared" si="5"/>
        <v/>
      </c>
      <c r="AA337" s="4" t="str">
        <f t="shared" si="13"/>
        <v/>
      </c>
      <c r="AB337" s="4" t="str">
        <f t="array" ref="AB337">XLOOKUP(X337,'Dados Funil'!A:A,'Dados Funil'!O:O,"")</f>
        <v/>
      </c>
      <c r="AE337" s="7" t="str">
        <f t="shared" si="6"/>
        <v/>
      </c>
      <c r="AG337" s="4" t="str">
        <f t="array" ref="AG337">XLOOKUP(AC337,'Dados Funil'!A:A,'Dados Funil'!AM:AM,"")</f>
        <v/>
      </c>
      <c r="AH337" s="4" t="str">
        <f t="array" ref="AH337">XLOOKUP(AC337,'Dados Funil'!A:A,'Dados Funil'!AN:AN,"")</f>
        <v/>
      </c>
    </row>
    <row r="338">
      <c r="A338" s="4"/>
      <c r="B338" s="4"/>
      <c r="C338" s="7" t="str">
        <f t="shared" si="1"/>
        <v/>
      </c>
      <c r="D338" s="4" t="str">
        <f t="shared" si="9"/>
        <v/>
      </c>
      <c r="E338" s="4" t="str">
        <f t="array" ref="E338">XLOOKUP(A338,'Dados Funil'!$A:$A,'Dados Funil'!$K:$K,"")</f>
        <v/>
      </c>
      <c r="F338" s="4" t="str">
        <f t="array" ref="F338">XLOOKUP(A338,'Dados Funil'!$A:$A,'Dados Funil'!$L:$L,"")</f>
        <v/>
      </c>
      <c r="G338" s="4"/>
      <c r="H338" s="4"/>
      <c r="I338" s="7" t="str">
        <f t="shared" si="2"/>
        <v/>
      </c>
      <c r="J338" s="4" t="str">
        <f t="shared" si="10"/>
        <v/>
      </c>
      <c r="K338" s="4" t="str">
        <f t="array" ref="K338">XLOOKUP(G338,'Dados Funil'!A:A,'Dados Funil'!O:O,"")</f>
        <v/>
      </c>
      <c r="L338" s="4"/>
      <c r="M338" s="4"/>
      <c r="N338" s="7" t="str">
        <f t="shared" si="3"/>
        <v/>
      </c>
      <c r="O338" s="4" t="str">
        <f t="shared" si="11"/>
        <v/>
      </c>
      <c r="P338" s="4" t="str">
        <f t="array" ref="P338">XLOOKUP(L338,'Dados Funil'!A:A,'Dados Funil'!AM:AM,"")</f>
        <v/>
      </c>
      <c r="Q338" s="4" t="str">
        <f t="array" ref="Q338">XLOOKUP(L338,'Dados Funil'!A:A,'Dados Funil'!AN:AN,"")</f>
        <v/>
      </c>
      <c r="T338" s="7" t="str">
        <f t="shared" si="4"/>
        <v/>
      </c>
      <c r="U338" s="4" t="str">
        <f t="shared" si="12"/>
        <v/>
      </c>
      <c r="V338" s="4" t="str">
        <f t="array" ref="V338">XLOOKUP(R338,'Dados Funil'!$A:$A,'Dados Funil'!$K:$K,"")</f>
        <v/>
      </c>
      <c r="W338" s="4" t="str">
        <f t="array" ref="W338">XLOOKUP(R338,'Dados Funil'!$A:$A,'Dados Funil'!$L:$L,"")</f>
        <v/>
      </c>
      <c r="X338" s="4"/>
      <c r="Y338" s="4"/>
      <c r="Z338" s="7" t="str">
        <f t="shared" si="5"/>
        <v/>
      </c>
      <c r="AA338" s="4" t="str">
        <f t="shared" si="13"/>
        <v/>
      </c>
      <c r="AB338" s="4" t="str">
        <f t="array" ref="AB338">XLOOKUP(X338,'Dados Funil'!A:A,'Dados Funil'!O:O,"")</f>
        <v/>
      </c>
      <c r="AE338" s="7" t="str">
        <f t="shared" si="6"/>
        <v/>
      </c>
      <c r="AG338" s="4" t="str">
        <f t="array" ref="AG338">XLOOKUP(AC338,'Dados Funil'!A:A,'Dados Funil'!AM:AM,"")</f>
        <v/>
      </c>
      <c r="AH338" s="4" t="str">
        <f t="array" ref="AH338">XLOOKUP(AC338,'Dados Funil'!A:A,'Dados Funil'!AN:AN,"")</f>
        <v/>
      </c>
    </row>
    <row r="339">
      <c r="A339" s="4"/>
      <c r="B339" s="4"/>
      <c r="C339" s="7" t="str">
        <f t="shared" si="1"/>
        <v/>
      </c>
      <c r="D339" s="4" t="str">
        <f t="shared" si="9"/>
        <v/>
      </c>
      <c r="E339" s="4" t="str">
        <f t="array" ref="E339">XLOOKUP(A339,'Dados Funil'!$A:$A,'Dados Funil'!$K:$K,"")</f>
        <v/>
      </c>
      <c r="F339" s="4" t="str">
        <f t="array" ref="F339">XLOOKUP(A339,'Dados Funil'!$A:$A,'Dados Funil'!$L:$L,"")</f>
        <v/>
      </c>
      <c r="G339" s="4"/>
      <c r="H339" s="4"/>
      <c r="I339" s="7" t="str">
        <f t="shared" si="2"/>
        <v/>
      </c>
      <c r="J339" s="4" t="str">
        <f t="shared" si="10"/>
        <v/>
      </c>
      <c r="K339" s="4" t="str">
        <f t="array" ref="K339">XLOOKUP(G339,'Dados Funil'!A:A,'Dados Funil'!O:O,"")</f>
        <v/>
      </c>
      <c r="L339" s="4"/>
      <c r="M339" s="4"/>
      <c r="N339" s="7" t="str">
        <f t="shared" si="3"/>
        <v/>
      </c>
      <c r="O339" s="4" t="str">
        <f t="shared" si="11"/>
        <v/>
      </c>
      <c r="P339" s="4" t="str">
        <f t="array" ref="P339">XLOOKUP(L339,'Dados Funil'!A:A,'Dados Funil'!AM:AM,"")</f>
        <v/>
      </c>
      <c r="Q339" s="4" t="str">
        <f t="array" ref="Q339">XLOOKUP(L339,'Dados Funil'!A:A,'Dados Funil'!AN:AN,"")</f>
        <v/>
      </c>
      <c r="T339" s="7" t="str">
        <f t="shared" si="4"/>
        <v/>
      </c>
      <c r="U339" s="4" t="str">
        <f t="shared" si="12"/>
        <v/>
      </c>
      <c r="V339" s="4" t="str">
        <f t="array" ref="V339">XLOOKUP(R339,'Dados Funil'!$A:$A,'Dados Funil'!$K:$K,"")</f>
        <v/>
      </c>
      <c r="W339" s="4" t="str">
        <f t="array" ref="W339">XLOOKUP(R339,'Dados Funil'!$A:$A,'Dados Funil'!$L:$L,"")</f>
        <v/>
      </c>
      <c r="X339" s="4"/>
      <c r="Y339" s="4"/>
      <c r="Z339" s="7" t="str">
        <f t="shared" si="5"/>
        <v/>
      </c>
      <c r="AA339" s="4" t="str">
        <f t="shared" si="13"/>
        <v/>
      </c>
      <c r="AB339" s="4" t="str">
        <f t="array" ref="AB339">XLOOKUP(X339,'Dados Funil'!A:A,'Dados Funil'!O:O,"")</f>
        <v/>
      </c>
      <c r="AE339" s="7" t="str">
        <f t="shared" si="6"/>
        <v/>
      </c>
      <c r="AG339" s="4" t="str">
        <f t="array" ref="AG339">XLOOKUP(AC339,'Dados Funil'!A:A,'Dados Funil'!AM:AM,"")</f>
        <v/>
      </c>
      <c r="AH339" s="4" t="str">
        <f t="array" ref="AH339">XLOOKUP(AC339,'Dados Funil'!A:A,'Dados Funil'!AN:AN,"")</f>
        <v/>
      </c>
    </row>
    <row r="340">
      <c r="A340" s="4"/>
      <c r="B340" s="4"/>
      <c r="C340" s="7" t="str">
        <f t="shared" si="1"/>
        <v/>
      </c>
      <c r="D340" s="4" t="str">
        <f t="shared" si="9"/>
        <v/>
      </c>
      <c r="E340" s="4" t="str">
        <f t="array" ref="E340">XLOOKUP(A340,'Dados Funil'!$A:$A,'Dados Funil'!$K:$K,"")</f>
        <v/>
      </c>
      <c r="F340" s="4" t="str">
        <f t="array" ref="F340">XLOOKUP(A340,'Dados Funil'!$A:$A,'Dados Funil'!$L:$L,"")</f>
        <v/>
      </c>
      <c r="G340" s="4"/>
      <c r="H340" s="4"/>
      <c r="I340" s="7" t="str">
        <f t="shared" si="2"/>
        <v/>
      </c>
      <c r="J340" s="4" t="str">
        <f t="shared" si="10"/>
        <v/>
      </c>
      <c r="K340" s="4" t="str">
        <f t="array" ref="K340">XLOOKUP(G340,'Dados Funil'!A:A,'Dados Funil'!O:O,"")</f>
        <v/>
      </c>
      <c r="L340" s="4"/>
      <c r="M340" s="4"/>
      <c r="N340" s="7" t="str">
        <f t="shared" si="3"/>
        <v/>
      </c>
      <c r="O340" s="4" t="str">
        <f t="shared" si="11"/>
        <v/>
      </c>
      <c r="P340" s="4" t="str">
        <f t="array" ref="P340">XLOOKUP(L340,'Dados Funil'!A:A,'Dados Funil'!AM:AM,"")</f>
        <v/>
      </c>
      <c r="Q340" s="4" t="str">
        <f t="array" ref="Q340">XLOOKUP(L340,'Dados Funil'!A:A,'Dados Funil'!AN:AN,"")</f>
        <v/>
      </c>
      <c r="T340" s="7" t="str">
        <f t="shared" si="4"/>
        <v/>
      </c>
      <c r="U340" s="4" t="str">
        <f t="shared" si="12"/>
        <v/>
      </c>
      <c r="V340" s="4" t="str">
        <f t="array" ref="V340">XLOOKUP(R340,'Dados Funil'!$A:$A,'Dados Funil'!$K:$K,"")</f>
        <v/>
      </c>
      <c r="W340" s="4" t="str">
        <f t="array" ref="W340">XLOOKUP(R340,'Dados Funil'!$A:$A,'Dados Funil'!$L:$L,"")</f>
        <v/>
      </c>
      <c r="X340" s="4"/>
      <c r="Y340" s="4"/>
      <c r="Z340" s="7" t="str">
        <f t="shared" si="5"/>
        <v/>
      </c>
      <c r="AA340" s="4" t="str">
        <f t="shared" si="13"/>
        <v/>
      </c>
      <c r="AB340" s="4" t="str">
        <f t="array" ref="AB340">XLOOKUP(X340,'Dados Funil'!A:A,'Dados Funil'!O:O,"")</f>
        <v/>
      </c>
      <c r="AE340" s="7" t="str">
        <f t="shared" si="6"/>
        <v/>
      </c>
      <c r="AG340" s="4" t="str">
        <f t="array" ref="AG340">XLOOKUP(AC340,'Dados Funil'!A:A,'Dados Funil'!AM:AM,"")</f>
        <v/>
      </c>
      <c r="AH340" s="4" t="str">
        <f t="array" ref="AH340">XLOOKUP(AC340,'Dados Funil'!A:A,'Dados Funil'!AN:AN,"")</f>
        <v/>
      </c>
    </row>
    <row r="341">
      <c r="A341" s="4"/>
      <c r="B341" s="4"/>
      <c r="C341" s="7" t="str">
        <f t="shared" si="1"/>
        <v/>
      </c>
      <c r="D341" s="4" t="str">
        <f t="shared" si="9"/>
        <v/>
      </c>
      <c r="E341" s="4" t="str">
        <f t="array" ref="E341">XLOOKUP(A341,'Dados Funil'!$A:$A,'Dados Funil'!$K:$K,"")</f>
        <v/>
      </c>
      <c r="F341" s="4" t="str">
        <f t="array" ref="F341">XLOOKUP(A341,'Dados Funil'!$A:$A,'Dados Funil'!$L:$L,"")</f>
        <v/>
      </c>
      <c r="G341" s="4"/>
      <c r="H341" s="4"/>
      <c r="I341" s="7" t="str">
        <f t="shared" si="2"/>
        <v/>
      </c>
      <c r="J341" s="4" t="str">
        <f t="shared" si="10"/>
        <v/>
      </c>
      <c r="K341" s="4" t="str">
        <f t="array" ref="K341">XLOOKUP(G341,'Dados Funil'!A:A,'Dados Funil'!O:O,"")</f>
        <v/>
      </c>
      <c r="L341" s="4"/>
      <c r="M341" s="4"/>
      <c r="N341" s="7" t="str">
        <f t="shared" si="3"/>
        <v/>
      </c>
      <c r="O341" s="4" t="str">
        <f t="shared" si="11"/>
        <v/>
      </c>
      <c r="P341" s="4" t="str">
        <f t="array" ref="P341">XLOOKUP(L341,'Dados Funil'!A:A,'Dados Funil'!AM:AM,"")</f>
        <v/>
      </c>
      <c r="Q341" s="4" t="str">
        <f t="array" ref="Q341">XLOOKUP(L341,'Dados Funil'!A:A,'Dados Funil'!AN:AN,"")</f>
        <v/>
      </c>
      <c r="T341" s="7" t="str">
        <f t="shared" si="4"/>
        <v/>
      </c>
      <c r="U341" s="4" t="str">
        <f t="shared" si="12"/>
        <v/>
      </c>
      <c r="V341" s="4" t="str">
        <f t="array" ref="V341">XLOOKUP(R341,'Dados Funil'!$A:$A,'Dados Funil'!$K:$K,"")</f>
        <v/>
      </c>
      <c r="W341" s="4" t="str">
        <f t="array" ref="W341">XLOOKUP(R341,'Dados Funil'!$A:$A,'Dados Funil'!$L:$L,"")</f>
        <v/>
      </c>
      <c r="X341" s="4"/>
      <c r="Y341" s="4"/>
      <c r="Z341" s="7" t="str">
        <f t="shared" si="5"/>
        <v/>
      </c>
      <c r="AA341" s="4" t="str">
        <f t="shared" si="13"/>
        <v/>
      </c>
      <c r="AB341" s="4" t="str">
        <f t="array" ref="AB341">XLOOKUP(X341,'Dados Funil'!A:A,'Dados Funil'!O:O,"")</f>
        <v/>
      </c>
      <c r="AE341" s="7" t="str">
        <f t="shared" si="6"/>
        <v/>
      </c>
      <c r="AG341" s="4" t="str">
        <f t="array" ref="AG341">XLOOKUP(AC341,'Dados Funil'!A:A,'Dados Funil'!AM:AM,"")</f>
        <v/>
      </c>
      <c r="AH341" s="4" t="str">
        <f t="array" ref="AH341">XLOOKUP(AC341,'Dados Funil'!A:A,'Dados Funil'!AN:AN,"")</f>
        <v/>
      </c>
    </row>
    <row r="342">
      <c r="A342" s="4"/>
      <c r="B342" s="4"/>
      <c r="C342" s="7" t="str">
        <f t="shared" si="1"/>
        <v/>
      </c>
      <c r="D342" s="4" t="str">
        <f t="shared" si="9"/>
        <v/>
      </c>
      <c r="E342" s="4" t="str">
        <f t="array" ref="E342">XLOOKUP(A342,'Dados Funil'!$A:$A,'Dados Funil'!$K:$K,"")</f>
        <v/>
      </c>
      <c r="F342" s="4" t="str">
        <f t="array" ref="F342">XLOOKUP(A342,'Dados Funil'!$A:$A,'Dados Funil'!$L:$L,"")</f>
        <v/>
      </c>
      <c r="G342" s="4"/>
      <c r="H342" s="4"/>
      <c r="I342" s="7" t="str">
        <f t="shared" si="2"/>
        <v/>
      </c>
      <c r="J342" s="4" t="str">
        <f t="shared" si="10"/>
        <v/>
      </c>
      <c r="K342" s="4" t="str">
        <f t="array" ref="K342">XLOOKUP(G342,'Dados Funil'!A:A,'Dados Funil'!O:O,"")</f>
        <v/>
      </c>
      <c r="L342" s="4"/>
      <c r="M342" s="4"/>
      <c r="N342" s="7" t="str">
        <f t="shared" si="3"/>
        <v/>
      </c>
      <c r="O342" s="4" t="str">
        <f t="shared" si="11"/>
        <v/>
      </c>
      <c r="P342" s="4" t="str">
        <f t="array" ref="P342">XLOOKUP(L342,'Dados Funil'!A:A,'Dados Funil'!AM:AM,"")</f>
        <v/>
      </c>
      <c r="Q342" s="4" t="str">
        <f t="array" ref="Q342">XLOOKUP(L342,'Dados Funil'!A:A,'Dados Funil'!AN:AN,"")</f>
        <v/>
      </c>
      <c r="T342" s="7" t="str">
        <f t="shared" si="4"/>
        <v/>
      </c>
      <c r="U342" s="4" t="str">
        <f t="shared" si="12"/>
        <v/>
      </c>
      <c r="V342" s="4" t="str">
        <f t="array" ref="V342">XLOOKUP(R342,'Dados Funil'!$A:$A,'Dados Funil'!$K:$K,"")</f>
        <v/>
      </c>
      <c r="W342" s="4" t="str">
        <f t="array" ref="W342">XLOOKUP(R342,'Dados Funil'!$A:$A,'Dados Funil'!$L:$L,"")</f>
        <v/>
      </c>
      <c r="X342" s="4"/>
      <c r="Y342" s="4"/>
      <c r="Z342" s="7" t="str">
        <f t="shared" si="5"/>
        <v/>
      </c>
      <c r="AA342" s="4" t="str">
        <f t="shared" si="13"/>
        <v/>
      </c>
      <c r="AB342" s="4" t="str">
        <f t="array" ref="AB342">XLOOKUP(X342,'Dados Funil'!A:A,'Dados Funil'!O:O,"")</f>
        <v/>
      </c>
      <c r="AE342" s="7" t="str">
        <f t="shared" si="6"/>
        <v/>
      </c>
      <c r="AG342" s="4" t="str">
        <f t="array" ref="AG342">XLOOKUP(AC342,'Dados Funil'!A:A,'Dados Funil'!AM:AM,"")</f>
        <v/>
      </c>
      <c r="AH342" s="4" t="str">
        <f t="array" ref="AH342">XLOOKUP(AC342,'Dados Funil'!A:A,'Dados Funil'!AN:AN,"")</f>
        <v/>
      </c>
    </row>
    <row r="343">
      <c r="A343" s="4"/>
      <c r="B343" s="4"/>
      <c r="C343" s="7" t="str">
        <f t="shared" si="1"/>
        <v/>
      </c>
      <c r="D343" s="4" t="str">
        <f t="shared" si="9"/>
        <v/>
      </c>
      <c r="E343" s="4" t="str">
        <f t="array" ref="E343">XLOOKUP(A343,'Dados Funil'!$A:$A,'Dados Funil'!$K:$K,"")</f>
        <v/>
      </c>
      <c r="F343" s="4" t="str">
        <f t="array" ref="F343">XLOOKUP(A343,'Dados Funil'!$A:$A,'Dados Funil'!$L:$L,"")</f>
        <v/>
      </c>
      <c r="G343" s="4"/>
      <c r="H343" s="4"/>
      <c r="I343" s="7" t="str">
        <f t="shared" si="2"/>
        <v/>
      </c>
      <c r="J343" s="4" t="str">
        <f t="shared" si="10"/>
        <v/>
      </c>
      <c r="K343" s="4" t="str">
        <f t="array" ref="K343">XLOOKUP(G343,'Dados Funil'!A:A,'Dados Funil'!O:O,"")</f>
        <v/>
      </c>
      <c r="L343" s="4"/>
      <c r="M343" s="4"/>
      <c r="N343" s="7" t="str">
        <f t="shared" si="3"/>
        <v/>
      </c>
      <c r="O343" s="4" t="str">
        <f t="shared" si="11"/>
        <v/>
      </c>
      <c r="P343" s="4" t="str">
        <f t="array" ref="P343">XLOOKUP(L343,'Dados Funil'!A:A,'Dados Funil'!AM:AM,"")</f>
        <v/>
      </c>
      <c r="Q343" s="4" t="str">
        <f t="array" ref="Q343">XLOOKUP(L343,'Dados Funil'!A:A,'Dados Funil'!AN:AN,"")</f>
        <v/>
      </c>
      <c r="T343" s="7" t="str">
        <f t="shared" si="4"/>
        <v/>
      </c>
      <c r="U343" s="4" t="str">
        <f t="shared" si="12"/>
        <v/>
      </c>
      <c r="V343" s="4" t="str">
        <f t="array" ref="V343">XLOOKUP(R343,'Dados Funil'!$A:$A,'Dados Funil'!$K:$K,"")</f>
        <v/>
      </c>
      <c r="W343" s="4" t="str">
        <f t="array" ref="W343">XLOOKUP(R343,'Dados Funil'!$A:$A,'Dados Funil'!$L:$L,"")</f>
        <v/>
      </c>
      <c r="X343" s="4"/>
      <c r="Y343" s="4"/>
      <c r="Z343" s="7" t="str">
        <f t="shared" si="5"/>
        <v/>
      </c>
      <c r="AA343" s="4" t="str">
        <f t="shared" si="13"/>
        <v/>
      </c>
      <c r="AB343" s="4" t="str">
        <f t="array" ref="AB343">XLOOKUP(X343,'Dados Funil'!A:A,'Dados Funil'!O:O,"")</f>
        <v/>
      </c>
      <c r="AE343" s="7" t="str">
        <f t="shared" si="6"/>
        <v/>
      </c>
      <c r="AG343" s="4" t="str">
        <f t="array" ref="AG343">XLOOKUP(AC343,'Dados Funil'!A:A,'Dados Funil'!AM:AM,"")</f>
        <v/>
      </c>
      <c r="AH343" s="4" t="str">
        <f t="array" ref="AH343">XLOOKUP(AC343,'Dados Funil'!A:A,'Dados Funil'!AN:AN,"")</f>
        <v/>
      </c>
    </row>
    <row r="344">
      <c r="A344" s="4"/>
      <c r="B344" s="4"/>
      <c r="C344" s="7" t="str">
        <f t="shared" si="1"/>
        <v/>
      </c>
      <c r="D344" s="4" t="str">
        <f t="shared" si="9"/>
        <v/>
      </c>
      <c r="E344" s="4" t="str">
        <f t="array" ref="E344">XLOOKUP(A344,'Dados Funil'!$A:$A,'Dados Funil'!$K:$K,"")</f>
        <v/>
      </c>
      <c r="F344" s="4" t="str">
        <f t="array" ref="F344">XLOOKUP(A344,'Dados Funil'!$A:$A,'Dados Funil'!$L:$L,"")</f>
        <v/>
      </c>
      <c r="G344" s="4"/>
      <c r="H344" s="4"/>
      <c r="I344" s="7" t="str">
        <f t="shared" si="2"/>
        <v/>
      </c>
      <c r="J344" s="4" t="str">
        <f t="shared" si="10"/>
        <v/>
      </c>
      <c r="K344" s="4" t="str">
        <f t="array" ref="K344">XLOOKUP(G344,'Dados Funil'!A:A,'Dados Funil'!O:O,"")</f>
        <v/>
      </c>
      <c r="L344" s="4"/>
      <c r="M344" s="4"/>
      <c r="N344" s="7" t="str">
        <f t="shared" si="3"/>
        <v/>
      </c>
      <c r="O344" s="4" t="str">
        <f t="shared" si="11"/>
        <v/>
      </c>
      <c r="P344" s="4" t="str">
        <f t="array" ref="P344">XLOOKUP(L344,'Dados Funil'!A:A,'Dados Funil'!AM:AM,"")</f>
        <v/>
      </c>
      <c r="Q344" s="4" t="str">
        <f t="array" ref="Q344">XLOOKUP(L344,'Dados Funil'!A:A,'Dados Funil'!AN:AN,"")</f>
        <v/>
      </c>
      <c r="T344" s="7" t="str">
        <f t="shared" si="4"/>
        <v/>
      </c>
      <c r="U344" s="4" t="str">
        <f t="shared" si="12"/>
        <v/>
      </c>
      <c r="V344" s="4" t="str">
        <f t="array" ref="V344">XLOOKUP(R344,'Dados Funil'!$A:$A,'Dados Funil'!$K:$K,"")</f>
        <v/>
      </c>
      <c r="W344" s="4" t="str">
        <f t="array" ref="W344">XLOOKUP(R344,'Dados Funil'!$A:$A,'Dados Funil'!$L:$L,"")</f>
        <v/>
      </c>
      <c r="X344" s="4"/>
      <c r="Y344" s="4"/>
      <c r="Z344" s="7" t="str">
        <f t="shared" si="5"/>
        <v/>
      </c>
      <c r="AA344" s="4" t="str">
        <f t="shared" si="13"/>
        <v/>
      </c>
      <c r="AB344" s="4" t="str">
        <f t="array" ref="AB344">XLOOKUP(X344,'Dados Funil'!A:A,'Dados Funil'!O:O,"")</f>
        <v/>
      </c>
      <c r="AE344" s="7" t="str">
        <f t="shared" si="6"/>
        <v/>
      </c>
      <c r="AG344" s="4" t="str">
        <f t="array" ref="AG344">XLOOKUP(AC344,'Dados Funil'!A:A,'Dados Funil'!AM:AM,"")</f>
        <v/>
      </c>
      <c r="AH344" s="4" t="str">
        <f t="array" ref="AH344">XLOOKUP(AC344,'Dados Funil'!A:A,'Dados Funil'!AN:AN,"")</f>
        <v/>
      </c>
    </row>
    <row r="345">
      <c r="A345" s="4"/>
      <c r="B345" s="4"/>
      <c r="C345" s="7" t="str">
        <f t="shared" si="1"/>
        <v/>
      </c>
      <c r="D345" s="4" t="str">
        <f t="shared" si="9"/>
        <v/>
      </c>
      <c r="E345" s="4" t="str">
        <f t="array" ref="E345">XLOOKUP(A345,'Dados Funil'!$A:$A,'Dados Funil'!$K:$K,"")</f>
        <v/>
      </c>
      <c r="F345" s="4" t="str">
        <f t="array" ref="F345">XLOOKUP(A345,'Dados Funil'!$A:$A,'Dados Funil'!$L:$L,"")</f>
        <v/>
      </c>
      <c r="G345" s="4"/>
      <c r="H345" s="4"/>
      <c r="I345" s="7" t="str">
        <f t="shared" si="2"/>
        <v/>
      </c>
      <c r="J345" s="4" t="str">
        <f t="shared" si="10"/>
        <v/>
      </c>
      <c r="K345" s="4" t="str">
        <f t="array" ref="K345">XLOOKUP(G345,'Dados Funil'!A:A,'Dados Funil'!O:O,"")</f>
        <v/>
      </c>
      <c r="L345" s="4"/>
      <c r="M345" s="4"/>
      <c r="N345" s="7" t="str">
        <f t="shared" si="3"/>
        <v/>
      </c>
      <c r="O345" s="4" t="str">
        <f t="shared" si="11"/>
        <v/>
      </c>
      <c r="P345" s="4" t="str">
        <f t="array" ref="P345">XLOOKUP(L345,'Dados Funil'!A:A,'Dados Funil'!AM:AM,"")</f>
        <v/>
      </c>
      <c r="Q345" s="4" t="str">
        <f t="array" ref="Q345">XLOOKUP(L345,'Dados Funil'!A:A,'Dados Funil'!AN:AN,"")</f>
        <v/>
      </c>
      <c r="T345" s="7" t="str">
        <f t="shared" si="4"/>
        <v/>
      </c>
      <c r="U345" s="4" t="str">
        <f t="shared" si="12"/>
        <v/>
      </c>
      <c r="V345" s="4" t="str">
        <f t="array" ref="V345">XLOOKUP(R345,'Dados Funil'!$A:$A,'Dados Funil'!$K:$K,"")</f>
        <v/>
      </c>
      <c r="W345" s="4" t="str">
        <f t="array" ref="W345">XLOOKUP(R345,'Dados Funil'!$A:$A,'Dados Funil'!$L:$L,"")</f>
        <v/>
      </c>
      <c r="X345" s="4"/>
      <c r="Y345" s="4"/>
      <c r="Z345" s="7" t="str">
        <f t="shared" si="5"/>
        <v/>
      </c>
      <c r="AA345" s="4" t="str">
        <f t="shared" si="13"/>
        <v/>
      </c>
      <c r="AB345" s="4" t="str">
        <f t="array" ref="AB345">XLOOKUP(X345,'Dados Funil'!A:A,'Dados Funil'!O:O,"")</f>
        <v/>
      </c>
      <c r="AE345" s="7" t="str">
        <f t="shared" si="6"/>
        <v/>
      </c>
      <c r="AG345" s="4" t="str">
        <f t="array" ref="AG345">XLOOKUP(AC345,'Dados Funil'!A:A,'Dados Funil'!AM:AM,"")</f>
        <v/>
      </c>
      <c r="AH345" s="4" t="str">
        <f t="array" ref="AH345">XLOOKUP(AC345,'Dados Funil'!A:A,'Dados Funil'!AN:AN,"")</f>
        <v/>
      </c>
    </row>
    <row r="346">
      <c r="A346" s="4"/>
      <c r="B346" s="4"/>
      <c r="C346" s="7" t="str">
        <f t="shared" si="1"/>
        <v/>
      </c>
      <c r="D346" s="4" t="str">
        <f t="shared" si="9"/>
        <v/>
      </c>
      <c r="E346" s="4" t="str">
        <f t="array" ref="E346">XLOOKUP(A346,'Dados Funil'!$A:$A,'Dados Funil'!$K:$K,"")</f>
        <v/>
      </c>
      <c r="F346" s="4" t="str">
        <f t="array" ref="F346">XLOOKUP(A346,'Dados Funil'!$A:$A,'Dados Funil'!$L:$L,"")</f>
        <v/>
      </c>
      <c r="G346" s="4"/>
      <c r="H346" s="4"/>
      <c r="I346" s="7" t="str">
        <f t="shared" si="2"/>
        <v/>
      </c>
      <c r="J346" s="4" t="str">
        <f t="shared" si="10"/>
        <v/>
      </c>
      <c r="K346" s="4" t="str">
        <f t="array" ref="K346">XLOOKUP(G346,'Dados Funil'!A:A,'Dados Funil'!O:O,"")</f>
        <v/>
      </c>
      <c r="L346" s="4"/>
      <c r="M346" s="4"/>
      <c r="N346" s="7" t="str">
        <f t="shared" si="3"/>
        <v/>
      </c>
      <c r="O346" s="4" t="str">
        <f t="shared" si="11"/>
        <v/>
      </c>
      <c r="P346" s="4" t="str">
        <f t="array" ref="P346">XLOOKUP(L346,'Dados Funil'!A:A,'Dados Funil'!AM:AM,"")</f>
        <v/>
      </c>
      <c r="Q346" s="4" t="str">
        <f t="array" ref="Q346">XLOOKUP(L346,'Dados Funil'!A:A,'Dados Funil'!AN:AN,"")</f>
        <v/>
      </c>
      <c r="T346" s="7" t="str">
        <f t="shared" si="4"/>
        <v/>
      </c>
      <c r="U346" s="4" t="str">
        <f t="shared" si="12"/>
        <v/>
      </c>
      <c r="V346" s="4" t="str">
        <f t="array" ref="V346">XLOOKUP(R346,'Dados Funil'!$A:$A,'Dados Funil'!$K:$K,"")</f>
        <v/>
      </c>
      <c r="W346" s="4" t="str">
        <f t="array" ref="W346">XLOOKUP(R346,'Dados Funil'!$A:$A,'Dados Funil'!$L:$L,"")</f>
        <v/>
      </c>
      <c r="X346" s="4"/>
      <c r="Y346" s="4"/>
      <c r="Z346" s="7" t="str">
        <f t="shared" si="5"/>
        <v/>
      </c>
      <c r="AA346" s="4" t="str">
        <f t="shared" si="13"/>
        <v/>
      </c>
      <c r="AB346" s="4" t="str">
        <f t="array" ref="AB346">XLOOKUP(X346,'Dados Funil'!A:A,'Dados Funil'!O:O,"")</f>
        <v/>
      </c>
      <c r="AE346" s="7" t="str">
        <f t="shared" si="6"/>
        <v/>
      </c>
      <c r="AG346" s="4" t="str">
        <f t="array" ref="AG346">XLOOKUP(AC346,'Dados Funil'!A:A,'Dados Funil'!AM:AM,"")</f>
        <v/>
      </c>
      <c r="AH346" s="4" t="str">
        <f t="array" ref="AH346">XLOOKUP(AC346,'Dados Funil'!A:A,'Dados Funil'!AN:AN,"")</f>
        <v/>
      </c>
    </row>
    <row r="347">
      <c r="A347" s="4"/>
      <c r="B347" s="4"/>
      <c r="C347" s="7" t="str">
        <f t="shared" si="1"/>
        <v/>
      </c>
      <c r="D347" s="4" t="str">
        <f t="shared" si="9"/>
        <v/>
      </c>
      <c r="E347" s="4" t="str">
        <f t="array" ref="E347">XLOOKUP(A347,'Dados Funil'!$A:$A,'Dados Funil'!$K:$K,"")</f>
        <v/>
      </c>
      <c r="F347" s="4" t="str">
        <f t="array" ref="F347">XLOOKUP(A347,'Dados Funil'!$A:$A,'Dados Funil'!$L:$L,"")</f>
        <v/>
      </c>
      <c r="G347" s="4"/>
      <c r="H347" s="4"/>
      <c r="I347" s="7" t="str">
        <f t="shared" si="2"/>
        <v/>
      </c>
      <c r="J347" s="4" t="str">
        <f t="shared" si="10"/>
        <v/>
      </c>
      <c r="K347" s="4" t="str">
        <f t="array" ref="K347">XLOOKUP(G347,'Dados Funil'!A:A,'Dados Funil'!O:O,"")</f>
        <v/>
      </c>
      <c r="L347" s="4"/>
      <c r="M347" s="4"/>
      <c r="N347" s="7" t="str">
        <f t="shared" si="3"/>
        <v/>
      </c>
      <c r="O347" s="4" t="str">
        <f t="shared" si="11"/>
        <v/>
      </c>
      <c r="P347" s="4" t="str">
        <f t="array" ref="P347">XLOOKUP(L347,'Dados Funil'!A:A,'Dados Funil'!AM:AM,"")</f>
        <v/>
      </c>
      <c r="Q347" s="4" t="str">
        <f t="array" ref="Q347">XLOOKUP(L347,'Dados Funil'!A:A,'Dados Funil'!AN:AN,"")</f>
        <v/>
      </c>
      <c r="T347" s="7" t="str">
        <f t="shared" si="4"/>
        <v/>
      </c>
      <c r="U347" s="4" t="str">
        <f t="shared" si="12"/>
        <v/>
      </c>
      <c r="V347" s="4" t="str">
        <f t="array" ref="V347">XLOOKUP(R347,'Dados Funil'!$A:$A,'Dados Funil'!$K:$K,"")</f>
        <v/>
      </c>
      <c r="W347" s="4" t="str">
        <f t="array" ref="W347">XLOOKUP(R347,'Dados Funil'!$A:$A,'Dados Funil'!$L:$L,"")</f>
        <v/>
      </c>
      <c r="X347" s="4"/>
      <c r="Y347" s="4"/>
      <c r="Z347" s="7" t="str">
        <f t="shared" si="5"/>
        <v/>
      </c>
      <c r="AA347" s="4" t="str">
        <f t="shared" si="13"/>
        <v/>
      </c>
      <c r="AB347" s="4" t="str">
        <f t="array" ref="AB347">XLOOKUP(X347,'Dados Funil'!A:A,'Dados Funil'!O:O,"")</f>
        <v/>
      </c>
      <c r="AE347" s="7" t="str">
        <f t="shared" si="6"/>
        <v/>
      </c>
      <c r="AG347" s="4" t="str">
        <f t="array" ref="AG347">XLOOKUP(AC347,'Dados Funil'!A:A,'Dados Funil'!AM:AM,"")</f>
        <v/>
      </c>
      <c r="AH347" s="4" t="str">
        <f t="array" ref="AH347">XLOOKUP(AC347,'Dados Funil'!A:A,'Dados Funil'!AN:AN,"")</f>
        <v/>
      </c>
    </row>
    <row r="348">
      <c r="A348" s="4"/>
      <c r="B348" s="4"/>
      <c r="C348" s="7" t="str">
        <f t="shared" si="1"/>
        <v/>
      </c>
      <c r="D348" s="4" t="str">
        <f t="shared" si="9"/>
        <v/>
      </c>
      <c r="E348" s="4" t="str">
        <f t="array" ref="E348">XLOOKUP(A348,'Dados Funil'!$A:$A,'Dados Funil'!$K:$K,"")</f>
        <v/>
      </c>
      <c r="F348" s="4" t="str">
        <f t="array" ref="F348">XLOOKUP(A348,'Dados Funil'!$A:$A,'Dados Funil'!$L:$L,"")</f>
        <v/>
      </c>
      <c r="G348" s="4"/>
      <c r="H348" s="4"/>
      <c r="I348" s="7" t="str">
        <f t="shared" si="2"/>
        <v/>
      </c>
      <c r="J348" s="4" t="str">
        <f t="shared" si="10"/>
        <v/>
      </c>
      <c r="K348" s="4" t="str">
        <f t="array" ref="K348">XLOOKUP(G348,'Dados Funil'!A:A,'Dados Funil'!O:O,"")</f>
        <v/>
      </c>
      <c r="L348" s="4"/>
      <c r="M348" s="4"/>
      <c r="N348" s="7" t="str">
        <f t="shared" si="3"/>
        <v/>
      </c>
      <c r="O348" s="4" t="str">
        <f t="shared" si="11"/>
        <v/>
      </c>
      <c r="P348" s="4" t="str">
        <f t="array" ref="P348">XLOOKUP(L348,'Dados Funil'!A:A,'Dados Funil'!AM:AM,"")</f>
        <v/>
      </c>
      <c r="Q348" s="4" t="str">
        <f t="array" ref="Q348">XLOOKUP(L348,'Dados Funil'!A:A,'Dados Funil'!AN:AN,"")</f>
        <v/>
      </c>
      <c r="T348" s="7" t="str">
        <f t="shared" si="4"/>
        <v/>
      </c>
      <c r="U348" s="4" t="str">
        <f t="shared" si="12"/>
        <v/>
      </c>
      <c r="V348" s="4" t="str">
        <f t="array" ref="V348">XLOOKUP(R348,'Dados Funil'!$A:$A,'Dados Funil'!$K:$K,"")</f>
        <v/>
      </c>
      <c r="W348" s="4" t="str">
        <f t="array" ref="W348">XLOOKUP(R348,'Dados Funil'!$A:$A,'Dados Funil'!$L:$L,"")</f>
        <v/>
      </c>
      <c r="X348" s="4"/>
      <c r="Y348" s="4"/>
      <c r="Z348" s="7" t="str">
        <f t="shared" si="5"/>
        <v/>
      </c>
      <c r="AA348" s="4" t="str">
        <f t="shared" si="13"/>
        <v/>
      </c>
      <c r="AB348" s="4" t="str">
        <f t="array" ref="AB348">XLOOKUP(X348,'Dados Funil'!A:A,'Dados Funil'!O:O,"")</f>
        <v/>
      </c>
      <c r="AE348" s="7" t="str">
        <f t="shared" si="6"/>
        <v/>
      </c>
      <c r="AG348" s="4" t="str">
        <f t="array" ref="AG348">XLOOKUP(AC348,'Dados Funil'!A:A,'Dados Funil'!AM:AM,"")</f>
        <v/>
      </c>
      <c r="AH348" s="4" t="str">
        <f t="array" ref="AH348">XLOOKUP(AC348,'Dados Funil'!A:A,'Dados Funil'!AN:AN,"")</f>
        <v/>
      </c>
    </row>
    <row r="349">
      <c r="A349" s="4"/>
      <c r="B349" s="4"/>
      <c r="C349" s="7" t="str">
        <f t="shared" si="1"/>
        <v/>
      </c>
      <c r="D349" s="4" t="str">
        <f t="shared" si="9"/>
        <v/>
      </c>
      <c r="E349" s="4" t="str">
        <f t="array" ref="E349">XLOOKUP(A349,'Dados Funil'!$A:$A,'Dados Funil'!$K:$K,"")</f>
        <v/>
      </c>
      <c r="F349" s="4" t="str">
        <f t="array" ref="F349">XLOOKUP(A349,'Dados Funil'!$A:$A,'Dados Funil'!$L:$L,"")</f>
        <v/>
      </c>
      <c r="G349" s="4"/>
      <c r="H349" s="4"/>
      <c r="I349" s="7" t="str">
        <f t="shared" si="2"/>
        <v/>
      </c>
      <c r="J349" s="4" t="str">
        <f t="shared" si="10"/>
        <v/>
      </c>
      <c r="K349" s="4" t="str">
        <f t="array" ref="K349">XLOOKUP(G349,'Dados Funil'!A:A,'Dados Funil'!O:O,"")</f>
        <v/>
      </c>
      <c r="L349" s="4"/>
      <c r="M349" s="4"/>
      <c r="N349" s="7" t="str">
        <f t="shared" si="3"/>
        <v/>
      </c>
      <c r="O349" s="4" t="str">
        <f t="shared" si="11"/>
        <v/>
      </c>
      <c r="P349" s="4" t="str">
        <f t="array" ref="P349">XLOOKUP(L349,'Dados Funil'!A:A,'Dados Funil'!AM:AM,"")</f>
        <v/>
      </c>
      <c r="Q349" s="4" t="str">
        <f t="array" ref="Q349">XLOOKUP(L349,'Dados Funil'!A:A,'Dados Funil'!AN:AN,"")</f>
        <v/>
      </c>
      <c r="T349" s="7" t="str">
        <f t="shared" si="4"/>
        <v/>
      </c>
      <c r="U349" s="4" t="str">
        <f t="shared" si="12"/>
        <v/>
      </c>
      <c r="V349" s="4" t="str">
        <f t="array" ref="V349">XLOOKUP(R349,'Dados Funil'!$A:$A,'Dados Funil'!$K:$K,"")</f>
        <v/>
      </c>
      <c r="W349" s="4" t="str">
        <f t="array" ref="W349">XLOOKUP(R349,'Dados Funil'!$A:$A,'Dados Funil'!$L:$L,"")</f>
        <v/>
      </c>
      <c r="X349" s="4"/>
      <c r="Y349" s="4"/>
      <c r="Z349" s="7" t="str">
        <f t="shared" si="5"/>
        <v/>
      </c>
      <c r="AA349" s="4" t="str">
        <f t="shared" si="13"/>
        <v/>
      </c>
      <c r="AB349" s="4" t="str">
        <f t="array" ref="AB349">XLOOKUP(X349,'Dados Funil'!A:A,'Dados Funil'!O:O,"")</f>
        <v/>
      </c>
      <c r="AE349" s="7" t="str">
        <f t="shared" si="6"/>
        <v/>
      </c>
      <c r="AG349" s="4" t="str">
        <f t="array" ref="AG349">XLOOKUP(AC349,'Dados Funil'!A:A,'Dados Funil'!AM:AM,"")</f>
        <v/>
      </c>
      <c r="AH349" s="4" t="str">
        <f t="array" ref="AH349">XLOOKUP(AC349,'Dados Funil'!A:A,'Dados Funil'!AN:AN,"")</f>
        <v/>
      </c>
    </row>
    <row r="350">
      <c r="A350" s="4"/>
      <c r="B350" s="4"/>
      <c r="C350" s="7" t="str">
        <f t="shared" si="1"/>
        <v/>
      </c>
      <c r="D350" s="4" t="str">
        <f t="shared" si="9"/>
        <v/>
      </c>
      <c r="E350" s="4" t="str">
        <f t="array" ref="E350">XLOOKUP(A350,'Dados Funil'!$A:$A,'Dados Funil'!$K:$K,"")</f>
        <v/>
      </c>
      <c r="F350" s="4" t="str">
        <f t="array" ref="F350">XLOOKUP(A350,'Dados Funil'!$A:$A,'Dados Funil'!$L:$L,"")</f>
        <v/>
      </c>
      <c r="G350" s="4"/>
      <c r="H350" s="4"/>
      <c r="I350" s="7" t="str">
        <f t="shared" si="2"/>
        <v/>
      </c>
      <c r="J350" s="4" t="str">
        <f t="shared" si="10"/>
        <v/>
      </c>
      <c r="K350" s="4" t="str">
        <f t="array" ref="K350">XLOOKUP(G350,'Dados Funil'!A:A,'Dados Funil'!O:O,"")</f>
        <v/>
      </c>
      <c r="L350" s="4"/>
      <c r="M350" s="4"/>
      <c r="N350" s="7" t="str">
        <f t="shared" si="3"/>
        <v/>
      </c>
      <c r="O350" s="4" t="str">
        <f t="shared" si="11"/>
        <v/>
      </c>
      <c r="P350" s="4" t="str">
        <f t="array" ref="P350">XLOOKUP(L350,'Dados Funil'!A:A,'Dados Funil'!AM:AM,"")</f>
        <v/>
      </c>
      <c r="Q350" s="4" t="str">
        <f t="array" ref="Q350">XLOOKUP(L350,'Dados Funil'!A:A,'Dados Funil'!AN:AN,"")</f>
        <v/>
      </c>
      <c r="T350" s="7" t="str">
        <f t="shared" si="4"/>
        <v/>
      </c>
      <c r="U350" s="4" t="str">
        <f t="shared" si="12"/>
        <v/>
      </c>
      <c r="V350" s="4" t="str">
        <f t="array" ref="V350">XLOOKUP(R350,'Dados Funil'!$A:$A,'Dados Funil'!$K:$K,"")</f>
        <v/>
      </c>
      <c r="W350" s="4" t="str">
        <f t="array" ref="W350">XLOOKUP(R350,'Dados Funil'!$A:$A,'Dados Funil'!$L:$L,"")</f>
        <v/>
      </c>
      <c r="X350" s="4"/>
      <c r="Y350" s="4"/>
      <c r="Z350" s="7" t="str">
        <f t="shared" si="5"/>
        <v/>
      </c>
      <c r="AA350" s="4" t="str">
        <f t="shared" si="13"/>
        <v/>
      </c>
      <c r="AB350" s="4" t="str">
        <f t="array" ref="AB350">XLOOKUP(X350,'Dados Funil'!A:A,'Dados Funil'!O:O,"")</f>
        <v/>
      </c>
      <c r="AE350" s="7" t="str">
        <f t="shared" si="6"/>
        <v/>
      </c>
      <c r="AG350" s="4" t="str">
        <f t="array" ref="AG350">XLOOKUP(AC350,'Dados Funil'!A:A,'Dados Funil'!AM:AM,"")</f>
        <v/>
      </c>
      <c r="AH350" s="4" t="str">
        <f t="array" ref="AH350">XLOOKUP(AC350,'Dados Funil'!A:A,'Dados Funil'!AN:AN,"")</f>
        <v/>
      </c>
    </row>
    <row r="351">
      <c r="A351" s="4"/>
      <c r="B351" s="4"/>
      <c r="C351" s="7" t="str">
        <f t="shared" si="1"/>
        <v/>
      </c>
      <c r="D351" s="4" t="str">
        <f t="shared" si="9"/>
        <v/>
      </c>
      <c r="E351" s="4" t="str">
        <f t="array" ref="E351">XLOOKUP(A351,'Dados Funil'!$A:$A,'Dados Funil'!$K:$K,"")</f>
        <v/>
      </c>
      <c r="F351" s="4" t="str">
        <f t="array" ref="F351">XLOOKUP(A351,'Dados Funil'!$A:$A,'Dados Funil'!$L:$L,"")</f>
        <v/>
      </c>
      <c r="G351" s="4"/>
      <c r="H351" s="4"/>
      <c r="I351" s="7" t="str">
        <f t="shared" si="2"/>
        <v/>
      </c>
      <c r="J351" s="4" t="str">
        <f t="shared" si="10"/>
        <v/>
      </c>
      <c r="K351" s="4" t="str">
        <f t="array" ref="K351">XLOOKUP(G351,'Dados Funil'!A:A,'Dados Funil'!O:O,"")</f>
        <v/>
      </c>
      <c r="L351" s="4"/>
      <c r="M351" s="4"/>
      <c r="N351" s="7" t="str">
        <f t="shared" si="3"/>
        <v/>
      </c>
      <c r="O351" s="4" t="str">
        <f t="shared" si="11"/>
        <v/>
      </c>
      <c r="P351" s="4" t="str">
        <f t="array" ref="P351">XLOOKUP(L351,'Dados Funil'!A:A,'Dados Funil'!AM:AM,"")</f>
        <v/>
      </c>
      <c r="Q351" s="4" t="str">
        <f t="array" ref="Q351">XLOOKUP(L351,'Dados Funil'!A:A,'Dados Funil'!AN:AN,"")</f>
        <v/>
      </c>
      <c r="T351" s="7" t="str">
        <f t="shared" si="4"/>
        <v/>
      </c>
      <c r="U351" s="4" t="str">
        <f t="shared" si="12"/>
        <v/>
      </c>
      <c r="V351" s="4" t="str">
        <f t="array" ref="V351">XLOOKUP(R351,'Dados Funil'!$A:$A,'Dados Funil'!$K:$K,"")</f>
        <v/>
      </c>
      <c r="W351" s="4" t="str">
        <f t="array" ref="W351">XLOOKUP(R351,'Dados Funil'!$A:$A,'Dados Funil'!$L:$L,"")</f>
        <v/>
      </c>
      <c r="X351" s="4"/>
      <c r="Y351" s="4"/>
      <c r="Z351" s="7" t="str">
        <f t="shared" si="5"/>
        <v/>
      </c>
      <c r="AA351" s="4" t="str">
        <f t="shared" si="13"/>
        <v/>
      </c>
      <c r="AB351" s="4" t="str">
        <f t="array" ref="AB351">XLOOKUP(X351,'Dados Funil'!A:A,'Dados Funil'!O:O,"")</f>
        <v/>
      </c>
      <c r="AE351" s="7" t="str">
        <f t="shared" si="6"/>
        <v/>
      </c>
      <c r="AG351" s="4" t="str">
        <f t="array" ref="AG351">XLOOKUP(AC351,'Dados Funil'!A:A,'Dados Funil'!AM:AM,"")</f>
        <v/>
      </c>
      <c r="AH351" s="4" t="str">
        <f t="array" ref="AH351">XLOOKUP(AC351,'Dados Funil'!A:A,'Dados Funil'!AN:AN,"")</f>
        <v/>
      </c>
    </row>
    <row r="352">
      <c r="A352" s="4"/>
      <c r="B352" s="4"/>
      <c r="C352" s="7" t="str">
        <f t="shared" si="1"/>
        <v/>
      </c>
      <c r="D352" s="4" t="str">
        <f t="shared" si="9"/>
        <v/>
      </c>
      <c r="E352" s="4" t="str">
        <f t="array" ref="E352">XLOOKUP(A352,'Dados Funil'!$A:$A,'Dados Funil'!$K:$K,"")</f>
        <v/>
      </c>
      <c r="F352" s="4" t="str">
        <f t="array" ref="F352">XLOOKUP(A352,'Dados Funil'!$A:$A,'Dados Funil'!$L:$L,"")</f>
        <v/>
      </c>
      <c r="G352" s="4"/>
      <c r="H352" s="4"/>
      <c r="I352" s="7" t="str">
        <f t="shared" si="2"/>
        <v/>
      </c>
      <c r="J352" s="4" t="str">
        <f t="shared" si="10"/>
        <v/>
      </c>
      <c r="K352" s="4" t="str">
        <f t="array" ref="K352">XLOOKUP(G352,'Dados Funil'!A:A,'Dados Funil'!O:O,"")</f>
        <v/>
      </c>
      <c r="L352" s="4"/>
      <c r="M352" s="4"/>
      <c r="N352" s="7" t="str">
        <f t="shared" si="3"/>
        <v/>
      </c>
      <c r="O352" s="4" t="str">
        <f t="shared" si="11"/>
        <v/>
      </c>
      <c r="P352" s="4" t="str">
        <f t="array" ref="P352">XLOOKUP(L352,'Dados Funil'!A:A,'Dados Funil'!AM:AM,"")</f>
        <v/>
      </c>
      <c r="Q352" s="4" t="str">
        <f t="array" ref="Q352">XLOOKUP(L352,'Dados Funil'!A:A,'Dados Funil'!AN:AN,"")</f>
        <v/>
      </c>
      <c r="T352" s="7" t="str">
        <f t="shared" si="4"/>
        <v/>
      </c>
      <c r="U352" s="4" t="str">
        <f t="shared" si="12"/>
        <v/>
      </c>
      <c r="V352" s="4" t="str">
        <f t="array" ref="V352">XLOOKUP(R352,'Dados Funil'!$A:$A,'Dados Funil'!$K:$K,"")</f>
        <v/>
      </c>
      <c r="W352" s="4" t="str">
        <f t="array" ref="W352">XLOOKUP(R352,'Dados Funil'!$A:$A,'Dados Funil'!$L:$L,"")</f>
        <v/>
      </c>
      <c r="X352" s="4"/>
      <c r="Y352" s="4"/>
      <c r="Z352" s="7" t="str">
        <f t="shared" si="5"/>
        <v/>
      </c>
      <c r="AA352" s="4" t="str">
        <f t="shared" si="13"/>
        <v/>
      </c>
      <c r="AB352" s="4" t="str">
        <f t="array" ref="AB352">XLOOKUP(X352,'Dados Funil'!A:A,'Dados Funil'!O:O,"")</f>
        <v/>
      </c>
      <c r="AE352" s="7" t="str">
        <f t="shared" si="6"/>
        <v/>
      </c>
      <c r="AG352" s="4" t="str">
        <f t="array" ref="AG352">XLOOKUP(AC352,'Dados Funil'!A:A,'Dados Funil'!AM:AM,"")</f>
        <v/>
      </c>
      <c r="AH352" s="4" t="str">
        <f t="array" ref="AH352">XLOOKUP(AC352,'Dados Funil'!A:A,'Dados Funil'!AN:AN,"")</f>
        <v/>
      </c>
    </row>
    <row r="353">
      <c r="A353" s="4"/>
      <c r="B353" s="4"/>
      <c r="C353" s="7" t="str">
        <f t="shared" si="1"/>
        <v/>
      </c>
      <c r="D353" s="4" t="str">
        <f t="shared" si="9"/>
        <v/>
      </c>
      <c r="E353" s="4" t="str">
        <f t="array" ref="E353">XLOOKUP(A353,'Dados Funil'!$A:$A,'Dados Funil'!$K:$K,"")</f>
        <v/>
      </c>
      <c r="F353" s="4" t="str">
        <f t="array" ref="F353">XLOOKUP(A353,'Dados Funil'!$A:$A,'Dados Funil'!$L:$L,"")</f>
        <v/>
      </c>
      <c r="G353" s="4"/>
      <c r="H353" s="4"/>
      <c r="I353" s="7" t="str">
        <f t="shared" si="2"/>
        <v/>
      </c>
      <c r="J353" s="4" t="str">
        <f t="shared" si="10"/>
        <v/>
      </c>
      <c r="K353" s="4" t="str">
        <f t="array" ref="K353">XLOOKUP(G353,'Dados Funil'!A:A,'Dados Funil'!O:O,"")</f>
        <v/>
      </c>
      <c r="L353" s="4"/>
      <c r="M353" s="4"/>
      <c r="N353" s="7" t="str">
        <f t="shared" si="3"/>
        <v/>
      </c>
      <c r="O353" s="4" t="str">
        <f t="shared" si="11"/>
        <v/>
      </c>
      <c r="P353" s="4" t="str">
        <f t="array" ref="P353">XLOOKUP(L353,'Dados Funil'!A:A,'Dados Funil'!AM:AM,"")</f>
        <v/>
      </c>
      <c r="Q353" s="4" t="str">
        <f t="array" ref="Q353">XLOOKUP(L353,'Dados Funil'!A:A,'Dados Funil'!AN:AN,"")</f>
        <v/>
      </c>
      <c r="T353" s="7" t="str">
        <f t="shared" si="4"/>
        <v/>
      </c>
      <c r="U353" s="4" t="str">
        <f t="shared" si="12"/>
        <v/>
      </c>
      <c r="V353" s="4" t="str">
        <f t="array" ref="V353">XLOOKUP(R353,'Dados Funil'!$A:$A,'Dados Funil'!$K:$K,"")</f>
        <v/>
      </c>
      <c r="W353" s="4" t="str">
        <f t="array" ref="W353">XLOOKUP(R353,'Dados Funil'!$A:$A,'Dados Funil'!$L:$L,"")</f>
        <v/>
      </c>
      <c r="X353" s="4"/>
      <c r="Y353" s="4"/>
      <c r="Z353" s="7" t="str">
        <f t="shared" si="5"/>
        <v/>
      </c>
      <c r="AA353" s="4" t="str">
        <f t="shared" si="13"/>
        <v/>
      </c>
      <c r="AB353" s="4" t="str">
        <f t="array" ref="AB353">XLOOKUP(X353,'Dados Funil'!A:A,'Dados Funil'!O:O,"")</f>
        <v/>
      </c>
      <c r="AE353" s="7" t="str">
        <f t="shared" si="6"/>
        <v/>
      </c>
      <c r="AG353" s="4" t="str">
        <f t="array" ref="AG353">XLOOKUP(AC353,'Dados Funil'!A:A,'Dados Funil'!AM:AM,"")</f>
        <v/>
      </c>
      <c r="AH353" s="4" t="str">
        <f t="array" ref="AH353">XLOOKUP(AC353,'Dados Funil'!A:A,'Dados Funil'!AN:AN,"")</f>
        <v/>
      </c>
    </row>
    <row r="354">
      <c r="A354" s="4"/>
      <c r="B354" s="4"/>
      <c r="C354" s="7" t="str">
        <f t="shared" si="1"/>
        <v/>
      </c>
      <c r="D354" s="4" t="str">
        <f t="shared" si="9"/>
        <v/>
      </c>
      <c r="E354" s="4" t="str">
        <f t="array" ref="E354">XLOOKUP(A354,'Dados Funil'!$A:$A,'Dados Funil'!$K:$K,"")</f>
        <v/>
      </c>
      <c r="F354" s="4" t="str">
        <f t="array" ref="F354">XLOOKUP(A354,'Dados Funil'!$A:$A,'Dados Funil'!$L:$L,"")</f>
        <v/>
      </c>
      <c r="G354" s="4"/>
      <c r="H354" s="4"/>
      <c r="I354" s="7" t="str">
        <f t="shared" si="2"/>
        <v/>
      </c>
      <c r="J354" s="4" t="str">
        <f t="shared" si="10"/>
        <v/>
      </c>
      <c r="K354" s="4" t="str">
        <f t="array" ref="K354">XLOOKUP(G354,'Dados Funil'!A:A,'Dados Funil'!O:O,"")</f>
        <v/>
      </c>
      <c r="L354" s="4"/>
      <c r="M354" s="4"/>
      <c r="N354" s="7" t="str">
        <f t="shared" si="3"/>
        <v/>
      </c>
      <c r="O354" s="4" t="str">
        <f t="shared" si="11"/>
        <v/>
      </c>
      <c r="P354" s="4" t="str">
        <f t="array" ref="P354">XLOOKUP(L354,'Dados Funil'!A:A,'Dados Funil'!AM:AM,"")</f>
        <v/>
      </c>
      <c r="Q354" s="4" t="str">
        <f t="array" ref="Q354">XLOOKUP(L354,'Dados Funil'!A:A,'Dados Funil'!AN:AN,"")</f>
        <v/>
      </c>
      <c r="T354" s="7" t="str">
        <f t="shared" si="4"/>
        <v/>
      </c>
      <c r="U354" s="4" t="str">
        <f t="shared" si="12"/>
        <v/>
      </c>
      <c r="V354" s="4" t="str">
        <f t="array" ref="V354">XLOOKUP(R354,'Dados Funil'!$A:$A,'Dados Funil'!$K:$K,"")</f>
        <v/>
      </c>
      <c r="W354" s="4" t="str">
        <f t="array" ref="W354">XLOOKUP(R354,'Dados Funil'!$A:$A,'Dados Funil'!$L:$L,"")</f>
        <v/>
      </c>
      <c r="X354" s="4"/>
      <c r="Y354" s="4"/>
      <c r="Z354" s="7" t="str">
        <f t="shared" si="5"/>
        <v/>
      </c>
      <c r="AA354" s="4" t="str">
        <f t="shared" si="13"/>
        <v/>
      </c>
      <c r="AB354" s="4" t="str">
        <f t="array" ref="AB354">XLOOKUP(X354,'Dados Funil'!A:A,'Dados Funil'!O:O,"")</f>
        <v/>
      </c>
      <c r="AE354" s="7" t="str">
        <f t="shared" si="6"/>
        <v/>
      </c>
      <c r="AG354" s="4" t="str">
        <f t="array" ref="AG354">XLOOKUP(AC354,'Dados Funil'!A:A,'Dados Funil'!AM:AM,"")</f>
        <v/>
      </c>
      <c r="AH354" s="4" t="str">
        <f t="array" ref="AH354">XLOOKUP(AC354,'Dados Funil'!A:A,'Dados Funil'!AN:AN,"")</f>
        <v/>
      </c>
    </row>
    <row r="355">
      <c r="A355" s="4"/>
      <c r="B355" s="4"/>
      <c r="C355" s="7" t="str">
        <f t="shared" si="1"/>
        <v/>
      </c>
      <c r="D355" s="4" t="str">
        <f t="shared" si="9"/>
        <v/>
      </c>
      <c r="E355" s="4" t="str">
        <f t="array" ref="E355">XLOOKUP(A355,'Dados Funil'!$A:$A,'Dados Funil'!$K:$K,"")</f>
        <v/>
      </c>
      <c r="F355" s="4" t="str">
        <f t="array" ref="F355">XLOOKUP(A355,'Dados Funil'!$A:$A,'Dados Funil'!$L:$L,"")</f>
        <v/>
      </c>
      <c r="G355" s="4"/>
      <c r="H355" s="4"/>
      <c r="I355" s="7" t="str">
        <f t="shared" si="2"/>
        <v/>
      </c>
      <c r="J355" s="4" t="str">
        <f t="shared" si="10"/>
        <v/>
      </c>
      <c r="K355" s="4" t="str">
        <f t="array" ref="K355">XLOOKUP(G355,'Dados Funil'!A:A,'Dados Funil'!O:O,"")</f>
        <v/>
      </c>
      <c r="L355" s="4"/>
      <c r="M355" s="4"/>
      <c r="N355" s="7" t="str">
        <f t="shared" si="3"/>
        <v/>
      </c>
      <c r="O355" s="4" t="str">
        <f t="shared" si="11"/>
        <v/>
      </c>
      <c r="P355" s="4" t="str">
        <f t="array" ref="P355">XLOOKUP(L355,'Dados Funil'!A:A,'Dados Funil'!AM:AM,"")</f>
        <v/>
      </c>
      <c r="Q355" s="4" t="str">
        <f t="array" ref="Q355">XLOOKUP(L355,'Dados Funil'!A:A,'Dados Funil'!AN:AN,"")</f>
        <v/>
      </c>
      <c r="T355" s="7" t="str">
        <f t="shared" si="4"/>
        <v/>
      </c>
      <c r="U355" s="4" t="str">
        <f t="shared" si="12"/>
        <v/>
      </c>
      <c r="V355" s="4" t="str">
        <f t="array" ref="V355">XLOOKUP(R355,'Dados Funil'!$A:$A,'Dados Funil'!$K:$K,"")</f>
        <v/>
      </c>
      <c r="W355" s="4" t="str">
        <f t="array" ref="W355">XLOOKUP(R355,'Dados Funil'!$A:$A,'Dados Funil'!$L:$L,"")</f>
        <v/>
      </c>
      <c r="X355" s="4"/>
      <c r="Y355" s="4"/>
      <c r="Z355" s="7" t="str">
        <f t="shared" si="5"/>
        <v/>
      </c>
      <c r="AA355" s="4" t="str">
        <f t="shared" si="13"/>
        <v/>
      </c>
      <c r="AB355" s="4" t="str">
        <f t="array" ref="AB355">XLOOKUP(X355,'Dados Funil'!A:A,'Dados Funil'!O:O,"")</f>
        <v/>
      </c>
      <c r="AE355" s="7" t="str">
        <f t="shared" si="6"/>
        <v/>
      </c>
      <c r="AG355" s="4" t="str">
        <f t="array" ref="AG355">XLOOKUP(AC355,'Dados Funil'!A:A,'Dados Funil'!AM:AM,"")</f>
        <v/>
      </c>
      <c r="AH355" s="4" t="str">
        <f t="array" ref="AH355">XLOOKUP(AC355,'Dados Funil'!A:A,'Dados Funil'!AN:AN,"")</f>
        <v/>
      </c>
    </row>
    <row r="356">
      <c r="A356" s="4"/>
      <c r="B356" s="4"/>
      <c r="C356" s="7" t="str">
        <f t="shared" si="1"/>
        <v/>
      </c>
      <c r="D356" s="4" t="str">
        <f t="shared" si="9"/>
        <v/>
      </c>
      <c r="E356" s="4" t="str">
        <f t="array" ref="E356">XLOOKUP(A356,'Dados Funil'!$A:$A,'Dados Funil'!$K:$K,"")</f>
        <v/>
      </c>
      <c r="F356" s="4" t="str">
        <f t="array" ref="F356">XLOOKUP(A356,'Dados Funil'!$A:$A,'Dados Funil'!$L:$L,"")</f>
        <v/>
      </c>
      <c r="G356" s="4"/>
      <c r="H356" s="4"/>
      <c r="I356" s="7" t="str">
        <f t="shared" si="2"/>
        <v/>
      </c>
      <c r="J356" s="4" t="str">
        <f t="shared" si="10"/>
        <v/>
      </c>
      <c r="K356" s="4" t="str">
        <f t="array" ref="K356">XLOOKUP(G356,'Dados Funil'!A:A,'Dados Funil'!O:O,"")</f>
        <v/>
      </c>
      <c r="L356" s="4"/>
      <c r="M356" s="4"/>
      <c r="N356" s="7" t="str">
        <f t="shared" si="3"/>
        <v/>
      </c>
      <c r="O356" s="4" t="str">
        <f t="shared" si="11"/>
        <v/>
      </c>
      <c r="P356" s="4" t="str">
        <f t="array" ref="P356">XLOOKUP(L356,'Dados Funil'!A:A,'Dados Funil'!AM:AM,"")</f>
        <v/>
      </c>
      <c r="Q356" s="4" t="str">
        <f t="array" ref="Q356">XLOOKUP(L356,'Dados Funil'!A:A,'Dados Funil'!AN:AN,"")</f>
        <v/>
      </c>
      <c r="T356" s="7" t="str">
        <f t="shared" si="4"/>
        <v/>
      </c>
      <c r="U356" s="4" t="str">
        <f t="shared" si="12"/>
        <v/>
      </c>
      <c r="V356" s="4" t="str">
        <f t="array" ref="V356">XLOOKUP(R356,'Dados Funil'!$A:$A,'Dados Funil'!$K:$K,"")</f>
        <v/>
      </c>
      <c r="W356" s="4" t="str">
        <f t="array" ref="W356">XLOOKUP(R356,'Dados Funil'!$A:$A,'Dados Funil'!$L:$L,"")</f>
        <v/>
      </c>
      <c r="X356" s="4"/>
      <c r="Y356" s="4"/>
      <c r="Z356" s="7" t="str">
        <f t="shared" si="5"/>
        <v/>
      </c>
      <c r="AA356" s="4" t="str">
        <f t="shared" si="13"/>
        <v/>
      </c>
      <c r="AB356" s="4" t="str">
        <f t="array" ref="AB356">XLOOKUP(X356,'Dados Funil'!A:A,'Dados Funil'!O:O,"")</f>
        <v/>
      </c>
      <c r="AE356" s="7" t="str">
        <f t="shared" si="6"/>
        <v/>
      </c>
      <c r="AG356" s="4" t="str">
        <f t="array" ref="AG356">XLOOKUP(AC356,'Dados Funil'!A:A,'Dados Funil'!AM:AM,"")</f>
        <v/>
      </c>
      <c r="AH356" s="4" t="str">
        <f t="array" ref="AH356">XLOOKUP(AC356,'Dados Funil'!A:A,'Dados Funil'!AN:AN,"")</f>
        <v/>
      </c>
    </row>
    <row r="357">
      <c r="A357" s="4"/>
      <c r="B357" s="4"/>
      <c r="C357" s="7" t="str">
        <f t="shared" si="1"/>
        <v/>
      </c>
      <c r="D357" s="4" t="str">
        <f t="shared" si="9"/>
        <v/>
      </c>
      <c r="E357" s="4" t="str">
        <f t="array" ref="E357">XLOOKUP(A357,'Dados Funil'!$A:$A,'Dados Funil'!$K:$K,"")</f>
        <v/>
      </c>
      <c r="F357" s="4" t="str">
        <f t="array" ref="F357">XLOOKUP(A357,'Dados Funil'!$A:$A,'Dados Funil'!$L:$L,"")</f>
        <v/>
      </c>
      <c r="G357" s="4"/>
      <c r="H357" s="4"/>
      <c r="I357" s="7" t="str">
        <f t="shared" si="2"/>
        <v/>
      </c>
      <c r="J357" s="4" t="str">
        <f t="shared" si="10"/>
        <v/>
      </c>
      <c r="K357" s="4" t="str">
        <f t="array" ref="K357">XLOOKUP(G357,'Dados Funil'!A:A,'Dados Funil'!O:O,"")</f>
        <v/>
      </c>
      <c r="L357" s="4"/>
      <c r="M357" s="4"/>
      <c r="N357" s="7" t="str">
        <f t="shared" si="3"/>
        <v/>
      </c>
      <c r="O357" s="4" t="str">
        <f t="shared" si="11"/>
        <v/>
      </c>
      <c r="P357" s="4" t="str">
        <f t="array" ref="P357">XLOOKUP(L357,'Dados Funil'!A:A,'Dados Funil'!AM:AM,"")</f>
        <v/>
      </c>
      <c r="Q357" s="4" t="str">
        <f t="array" ref="Q357">XLOOKUP(L357,'Dados Funil'!A:A,'Dados Funil'!AN:AN,"")</f>
        <v/>
      </c>
      <c r="T357" s="7" t="str">
        <f t="shared" si="4"/>
        <v/>
      </c>
      <c r="U357" s="4" t="str">
        <f t="shared" si="12"/>
        <v/>
      </c>
      <c r="V357" s="4" t="str">
        <f t="array" ref="V357">XLOOKUP(R357,'Dados Funil'!$A:$A,'Dados Funil'!$K:$K,"")</f>
        <v/>
      </c>
      <c r="W357" s="4" t="str">
        <f t="array" ref="W357">XLOOKUP(R357,'Dados Funil'!$A:$A,'Dados Funil'!$L:$L,"")</f>
        <v/>
      </c>
      <c r="X357" s="4"/>
      <c r="Y357" s="4"/>
      <c r="Z357" s="7" t="str">
        <f t="shared" si="5"/>
        <v/>
      </c>
      <c r="AA357" s="4" t="str">
        <f t="shared" si="13"/>
        <v/>
      </c>
      <c r="AB357" s="4" t="str">
        <f t="array" ref="AB357">XLOOKUP(X357,'Dados Funil'!A:A,'Dados Funil'!O:O,"")</f>
        <v/>
      </c>
      <c r="AE357" s="7" t="str">
        <f t="shared" si="6"/>
        <v/>
      </c>
      <c r="AG357" s="4" t="str">
        <f t="array" ref="AG357">XLOOKUP(AC357,'Dados Funil'!A:A,'Dados Funil'!AM:AM,"")</f>
        <v/>
      </c>
      <c r="AH357" s="4" t="str">
        <f t="array" ref="AH357">XLOOKUP(AC357,'Dados Funil'!A:A,'Dados Funil'!AN:AN,"")</f>
        <v/>
      </c>
    </row>
    <row r="358">
      <c r="A358" s="4"/>
      <c r="B358" s="4"/>
      <c r="C358" s="7" t="str">
        <f t="shared" si="1"/>
        <v/>
      </c>
      <c r="D358" s="4" t="str">
        <f t="shared" si="9"/>
        <v/>
      </c>
      <c r="E358" s="4" t="str">
        <f t="array" ref="E358">XLOOKUP(A358,'Dados Funil'!$A:$A,'Dados Funil'!$K:$K,"")</f>
        <v/>
      </c>
      <c r="F358" s="4" t="str">
        <f t="array" ref="F358">XLOOKUP(A358,'Dados Funil'!$A:$A,'Dados Funil'!$L:$L,"")</f>
        <v/>
      </c>
      <c r="G358" s="4"/>
      <c r="H358" s="4"/>
      <c r="I358" s="7" t="str">
        <f t="shared" si="2"/>
        <v/>
      </c>
      <c r="J358" s="4" t="str">
        <f t="shared" si="10"/>
        <v/>
      </c>
      <c r="K358" s="4" t="str">
        <f t="array" ref="K358">XLOOKUP(G358,'Dados Funil'!A:A,'Dados Funil'!O:O,"")</f>
        <v/>
      </c>
      <c r="L358" s="4"/>
      <c r="M358" s="4"/>
      <c r="N358" s="7" t="str">
        <f t="shared" si="3"/>
        <v/>
      </c>
      <c r="O358" s="4" t="str">
        <f t="shared" si="11"/>
        <v/>
      </c>
      <c r="P358" s="4" t="str">
        <f t="array" ref="P358">XLOOKUP(L358,'Dados Funil'!A:A,'Dados Funil'!AM:AM,"")</f>
        <v/>
      </c>
      <c r="Q358" s="4" t="str">
        <f t="array" ref="Q358">XLOOKUP(L358,'Dados Funil'!A:A,'Dados Funil'!AN:AN,"")</f>
        <v/>
      </c>
      <c r="T358" s="7" t="str">
        <f t="shared" si="4"/>
        <v/>
      </c>
      <c r="U358" s="4" t="str">
        <f t="shared" si="12"/>
        <v/>
      </c>
      <c r="V358" s="4" t="str">
        <f t="array" ref="V358">XLOOKUP(R358,'Dados Funil'!$A:$A,'Dados Funil'!$K:$K,"")</f>
        <v/>
      </c>
      <c r="W358" s="4" t="str">
        <f t="array" ref="W358">XLOOKUP(R358,'Dados Funil'!$A:$A,'Dados Funil'!$L:$L,"")</f>
        <v/>
      </c>
      <c r="X358" s="4"/>
      <c r="Y358" s="4"/>
      <c r="Z358" s="7" t="str">
        <f t="shared" si="5"/>
        <v/>
      </c>
      <c r="AA358" s="4" t="str">
        <f t="shared" si="13"/>
        <v/>
      </c>
      <c r="AB358" s="4" t="str">
        <f t="array" ref="AB358">XLOOKUP(X358,'Dados Funil'!A:A,'Dados Funil'!O:O,"")</f>
        <v/>
      </c>
      <c r="AE358" s="7" t="str">
        <f t="shared" si="6"/>
        <v/>
      </c>
      <c r="AG358" s="4" t="str">
        <f t="array" ref="AG358">XLOOKUP(AC358,'Dados Funil'!A:A,'Dados Funil'!AM:AM,"")</f>
        <v/>
      </c>
      <c r="AH358" s="4" t="str">
        <f t="array" ref="AH358">XLOOKUP(AC358,'Dados Funil'!A:A,'Dados Funil'!AN:AN,"")</f>
        <v/>
      </c>
    </row>
    <row r="359">
      <c r="A359" s="4"/>
      <c r="B359" s="4"/>
      <c r="C359" s="7" t="str">
        <f t="shared" si="1"/>
        <v/>
      </c>
      <c r="D359" s="4" t="str">
        <f t="shared" si="9"/>
        <v/>
      </c>
      <c r="E359" s="4" t="str">
        <f t="array" ref="E359">XLOOKUP(A359,'Dados Funil'!$A:$A,'Dados Funil'!$K:$K,"")</f>
        <v/>
      </c>
      <c r="F359" s="4" t="str">
        <f t="array" ref="F359">XLOOKUP(A359,'Dados Funil'!$A:$A,'Dados Funil'!$L:$L,"")</f>
        <v/>
      </c>
      <c r="G359" s="4"/>
      <c r="H359" s="4"/>
      <c r="I359" s="7" t="str">
        <f t="shared" si="2"/>
        <v/>
      </c>
      <c r="J359" s="4" t="str">
        <f t="shared" si="10"/>
        <v/>
      </c>
      <c r="K359" s="4" t="str">
        <f t="array" ref="K359">XLOOKUP(G359,'Dados Funil'!A:A,'Dados Funil'!O:O,"")</f>
        <v/>
      </c>
      <c r="L359" s="4"/>
      <c r="M359" s="4"/>
      <c r="N359" s="7" t="str">
        <f t="shared" si="3"/>
        <v/>
      </c>
      <c r="O359" s="4" t="str">
        <f t="shared" si="11"/>
        <v/>
      </c>
      <c r="P359" s="4" t="str">
        <f t="array" ref="P359">XLOOKUP(L359,'Dados Funil'!A:A,'Dados Funil'!AM:AM,"")</f>
        <v/>
      </c>
      <c r="Q359" s="4" t="str">
        <f t="array" ref="Q359">XLOOKUP(L359,'Dados Funil'!A:A,'Dados Funil'!AN:AN,"")</f>
        <v/>
      </c>
      <c r="T359" s="7" t="str">
        <f t="shared" si="4"/>
        <v/>
      </c>
      <c r="U359" s="4" t="str">
        <f t="shared" si="12"/>
        <v/>
      </c>
      <c r="V359" s="4" t="str">
        <f t="array" ref="V359">XLOOKUP(R359,'Dados Funil'!$A:$A,'Dados Funil'!$K:$K,"")</f>
        <v/>
      </c>
      <c r="W359" s="4" t="str">
        <f t="array" ref="W359">XLOOKUP(R359,'Dados Funil'!$A:$A,'Dados Funil'!$L:$L,"")</f>
        <v/>
      </c>
      <c r="X359" s="4"/>
      <c r="Y359" s="4"/>
      <c r="Z359" s="7" t="str">
        <f t="shared" si="5"/>
        <v/>
      </c>
      <c r="AA359" s="4" t="str">
        <f t="shared" si="13"/>
        <v/>
      </c>
      <c r="AB359" s="4" t="str">
        <f t="array" ref="AB359">XLOOKUP(X359,'Dados Funil'!A:A,'Dados Funil'!O:O,"")</f>
        <v/>
      </c>
      <c r="AE359" s="7" t="str">
        <f t="shared" si="6"/>
        <v/>
      </c>
      <c r="AG359" s="4" t="str">
        <f t="array" ref="AG359">XLOOKUP(AC359,'Dados Funil'!A:A,'Dados Funil'!AM:AM,"")</f>
        <v/>
      </c>
      <c r="AH359" s="4" t="str">
        <f t="array" ref="AH359">XLOOKUP(AC359,'Dados Funil'!A:A,'Dados Funil'!AN:AN,"")</f>
        <v/>
      </c>
    </row>
    <row r="360">
      <c r="A360" s="4"/>
      <c r="B360" s="4"/>
      <c r="C360" s="7" t="str">
        <f t="shared" si="1"/>
        <v/>
      </c>
      <c r="D360" s="4" t="str">
        <f t="shared" si="9"/>
        <v/>
      </c>
      <c r="E360" s="4" t="str">
        <f t="array" ref="E360">XLOOKUP(A360,'Dados Funil'!$A:$A,'Dados Funil'!$K:$K,"")</f>
        <v/>
      </c>
      <c r="F360" s="4" t="str">
        <f t="array" ref="F360">XLOOKUP(A360,'Dados Funil'!$A:$A,'Dados Funil'!$L:$L,"")</f>
        <v/>
      </c>
      <c r="G360" s="4"/>
      <c r="H360" s="4"/>
      <c r="I360" s="7" t="str">
        <f t="shared" si="2"/>
        <v/>
      </c>
      <c r="J360" s="4" t="str">
        <f t="shared" si="10"/>
        <v/>
      </c>
      <c r="K360" s="4" t="str">
        <f t="array" ref="K360">XLOOKUP(G360,'Dados Funil'!A:A,'Dados Funil'!O:O,"")</f>
        <v/>
      </c>
      <c r="L360" s="4"/>
      <c r="M360" s="4"/>
      <c r="N360" s="7" t="str">
        <f t="shared" si="3"/>
        <v/>
      </c>
      <c r="O360" s="4" t="str">
        <f t="shared" si="11"/>
        <v/>
      </c>
      <c r="P360" s="4" t="str">
        <f t="array" ref="P360">XLOOKUP(L360,'Dados Funil'!A:A,'Dados Funil'!AM:AM,"")</f>
        <v/>
      </c>
      <c r="Q360" s="4" t="str">
        <f t="array" ref="Q360">XLOOKUP(L360,'Dados Funil'!A:A,'Dados Funil'!AN:AN,"")</f>
        <v/>
      </c>
      <c r="T360" s="7" t="str">
        <f t="shared" si="4"/>
        <v/>
      </c>
      <c r="U360" s="4" t="str">
        <f t="shared" si="12"/>
        <v/>
      </c>
      <c r="V360" s="4" t="str">
        <f t="array" ref="V360">XLOOKUP(R360,'Dados Funil'!$A:$A,'Dados Funil'!$K:$K,"")</f>
        <v/>
      </c>
      <c r="W360" s="4" t="str">
        <f t="array" ref="W360">XLOOKUP(R360,'Dados Funil'!$A:$A,'Dados Funil'!$L:$L,"")</f>
        <v/>
      </c>
      <c r="X360" s="4"/>
      <c r="Y360" s="4"/>
      <c r="Z360" s="7" t="str">
        <f t="shared" si="5"/>
        <v/>
      </c>
      <c r="AA360" s="4" t="str">
        <f t="shared" si="13"/>
        <v/>
      </c>
      <c r="AB360" s="4" t="str">
        <f t="array" ref="AB360">XLOOKUP(X360,'Dados Funil'!A:A,'Dados Funil'!O:O,"")</f>
        <v/>
      </c>
      <c r="AE360" s="7" t="str">
        <f t="shared" si="6"/>
        <v/>
      </c>
      <c r="AG360" s="4" t="str">
        <f t="array" ref="AG360">XLOOKUP(AC360,'Dados Funil'!A:A,'Dados Funil'!AM:AM,"")</f>
        <v/>
      </c>
      <c r="AH360" s="4" t="str">
        <f t="array" ref="AH360">XLOOKUP(AC360,'Dados Funil'!A:A,'Dados Funil'!AN:AN,"")</f>
        <v/>
      </c>
    </row>
    <row r="361">
      <c r="A361" s="4"/>
      <c r="B361" s="4"/>
      <c r="C361" s="7" t="str">
        <f t="shared" si="1"/>
        <v/>
      </c>
      <c r="D361" s="4" t="str">
        <f t="shared" si="9"/>
        <v/>
      </c>
      <c r="E361" s="4" t="str">
        <f t="array" ref="E361">XLOOKUP(A361,'Dados Funil'!$A:$A,'Dados Funil'!$K:$K,"")</f>
        <v/>
      </c>
      <c r="F361" s="4" t="str">
        <f t="array" ref="F361">XLOOKUP(A361,'Dados Funil'!$A:$A,'Dados Funil'!$L:$L,"")</f>
        <v/>
      </c>
      <c r="G361" s="4"/>
      <c r="H361" s="4"/>
      <c r="I361" s="7" t="str">
        <f t="shared" si="2"/>
        <v/>
      </c>
      <c r="J361" s="4" t="str">
        <f t="shared" si="10"/>
        <v/>
      </c>
      <c r="K361" s="4" t="str">
        <f t="array" ref="K361">XLOOKUP(G361,'Dados Funil'!A:A,'Dados Funil'!O:O,"")</f>
        <v/>
      </c>
      <c r="L361" s="4"/>
      <c r="M361" s="4"/>
      <c r="N361" s="7" t="str">
        <f t="shared" si="3"/>
        <v/>
      </c>
      <c r="O361" s="4" t="str">
        <f t="shared" si="11"/>
        <v/>
      </c>
      <c r="P361" s="4" t="str">
        <f t="array" ref="P361">XLOOKUP(L361,'Dados Funil'!A:A,'Dados Funil'!AM:AM,"")</f>
        <v/>
      </c>
      <c r="Q361" s="4" t="str">
        <f t="array" ref="Q361">XLOOKUP(L361,'Dados Funil'!A:A,'Dados Funil'!AN:AN,"")</f>
        <v/>
      </c>
      <c r="T361" s="7" t="str">
        <f t="shared" si="4"/>
        <v/>
      </c>
      <c r="U361" s="4" t="str">
        <f t="shared" si="12"/>
        <v/>
      </c>
      <c r="V361" s="4" t="str">
        <f t="array" ref="V361">XLOOKUP(R361,'Dados Funil'!$A:$A,'Dados Funil'!$K:$K,"")</f>
        <v/>
      </c>
      <c r="W361" s="4" t="str">
        <f t="array" ref="W361">XLOOKUP(R361,'Dados Funil'!$A:$A,'Dados Funil'!$L:$L,"")</f>
        <v/>
      </c>
      <c r="X361" s="4"/>
      <c r="Y361" s="4"/>
      <c r="Z361" s="7" t="str">
        <f t="shared" si="5"/>
        <v/>
      </c>
      <c r="AA361" s="4" t="str">
        <f t="shared" si="13"/>
        <v/>
      </c>
      <c r="AB361" s="4" t="str">
        <f t="array" ref="AB361">XLOOKUP(X361,'Dados Funil'!A:A,'Dados Funil'!O:O,"")</f>
        <v/>
      </c>
      <c r="AE361" s="7" t="str">
        <f t="shared" si="6"/>
        <v/>
      </c>
      <c r="AG361" s="4" t="str">
        <f t="array" ref="AG361">XLOOKUP(AC361,'Dados Funil'!A:A,'Dados Funil'!AM:AM,"")</f>
        <v/>
      </c>
      <c r="AH361" s="4" t="str">
        <f t="array" ref="AH361">XLOOKUP(AC361,'Dados Funil'!A:A,'Dados Funil'!AN:AN,"")</f>
        <v/>
      </c>
    </row>
    <row r="362">
      <c r="A362" s="4"/>
      <c r="B362" s="4"/>
      <c r="C362" s="7" t="str">
        <f t="shared" si="1"/>
        <v/>
      </c>
      <c r="D362" s="4" t="str">
        <f t="shared" si="9"/>
        <v/>
      </c>
      <c r="E362" s="4" t="str">
        <f t="array" ref="E362">XLOOKUP(A362,'Dados Funil'!$A:$A,'Dados Funil'!$K:$K,"")</f>
        <v/>
      </c>
      <c r="F362" s="4" t="str">
        <f t="array" ref="F362">XLOOKUP(A362,'Dados Funil'!$A:$A,'Dados Funil'!$L:$L,"")</f>
        <v/>
      </c>
      <c r="G362" s="4"/>
      <c r="H362" s="4"/>
      <c r="I362" s="7" t="str">
        <f t="shared" si="2"/>
        <v/>
      </c>
      <c r="J362" s="4" t="str">
        <f t="shared" si="10"/>
        <v/>
      </c>
      <c r="K362" s="4" t="str">
        <f t="array" ref="K362">XLOOKUP(G362,'Dados Funil'!A:A,'Dados Funil'!O:O,"")</f>
        <v/>
      </c>
      <c r="L362" s="4"/>
      <c r="M362" s="4"/>
      <c r="N362" s="7" t="str">
        <f t="shared" si="3"/>
        <v/>
      </c>
      <c r="O362" s="4" t="str">
        <f t="shared" si="11"/>
        <v/>
      </c>
      <c r="P362" s="4" t="str">
        <f t="array" ref="P362">XLOOKUP(L362,'Dados Funil'!A:A,'Dados Funil'!AM:AM,"")</f>
        <v/>
      </c>
      <c r="Q362" s="4" t="str">
        <f t="array" ref="Q362">XLOOKUP(L362,'Dados Funil'!A:A,'Dados Funil'!AN:AN,"")</f>
        <v/>
      </c>
      <c r="T362" s="7" t="str">
        <f t="shared" si="4"/>
        <v/>
      </c>
      <c r="U362" s="4" t="str">
        <f t="shared" si="12"/>
        <v/>
      </c>
      <c r="V362" s="4" t="str">
        <f t="array" ref="V362">XLOOKUP(R362,'Dados Funil'!$A:$A,'Dados Funil'!$K:$K,"")</f>
        <v/>
      </c>
      <c r="W362" s="4" t="str">
        <f t="array" ref="W362">XLOOKUP(R362,'Dados Funil'!$A:$A,'Dados Funil'!$L:$L,"")</f>
        <v/>
      </c>
      <c r="X362" s="4"/>
      <c r="Y362" s="4"/>
      <c r="Z362" s="7" t="str">
        <f t="shared" si="5"/>
        <v/>
      </c>
      <c r="AA362" s="4" t="str">
        <f t="shared" si="13"/>
        <v/>
      </c>
      <c r="AB362" s="4" t="str">
        <f t="array" ref="AB362">XLOOKUP(X362,'Dados Funil'!A:A,'Dados Funil'!O:O,"")</f>
        <v/>
      </c>
      <c r="AE362" s="7" t="str">
        <f t="shared" si="6"/>
        <v/>
      </c>
      <c r="AG362" s="4" t="str">
        <f t="array" ref="AG362">XLOOKUP(AC362,'Dados Funil'!A:A,'Dados Funil'!AM:AM,"")</f>
        <v/>
      </c>
      <c r="AH362" s="4" t="str">
        <f t="array" ref="AH362">XLOOKUP(AC362,'Dados Funil'!A:A,'Dados Funil'!AN:AN,"")</f>
        <v/>
      </c>
    </row>
    <row r="363">
      <c r="A363" s="4"/>
      <c r="B363" s="4"/>
      <c r="C363" s="7" t="str">
        <f t="shared" si="1"/>
        <v/>
      </c>
      <c r="D363" s="4" t="str">
        <f t="shared" si="9"/>
        <v/>
      </c>
      <c r="E363" s="4" t="str">
        <f t="array" ref="E363">XLOOKUP(A363,'Dados Funil'!$A:$A,'Dados Funil'!$K:$K,"")</f>
        <v/>
      </c>
      <c r="F363" s="4" t="str">
        <f t="array" ref="F363">XLOOKUP(A363,'Dados Funil'!$A:$A,'Dados Funil'!$L:$L,"")</f>
        <v/>
      </c>
      <c r="G363" s="4"/>
      <c r="H363" s="4"/>
      <c r="I363" s="7" t="str">
        <f t="shared" si="2"/>
        <v/>
      </c>
      <c r="J363" s="4" t="str">
        <f t="shared" si="10"/>
        <v/>
      </c>
      <c r="K363" s="4" t="str">
        <f t="array" ref="K363">XLOOKUP(G363,'Dados Funil'!A:A,'Dados Funil'!O:O,"")</f>
        <v/>
      </c>
      <c r="L363" s="4"/>
      <c r="M363" s="4"/>
      <c r="N363" s="7" t="str">
        <f t="shared" si="3"/>
        <v/>
      </c>
      <c r="O363" s="4" t="str">
        <f t="shared" si="11"/>
        <v/>
      </c>
      <c r="P363" s="4" t="str">
        <f t="array" ref="P363">XLOOKUP(L363,'Dados Funil'!A:A,'Dados Funil'!AM:AM,"")</f>
        <v/>
      </c>
      <c r="Q363" s="4" t="str">
        <f t="array" ref="Q363">XLOOKUP(L363,'Dados Funil'!A:A,'Dados Funil'!AN:AN,"")</f>
        <v/>
      </c>
      <c r="T363" s="7" t="str">
        <f t="shared" si="4"/>
        <v/>
      </c>
      <c r="U363" s="4" t="str">
        <f t="shared" si="12"/>
        <v/>
      </c>
      <c r="V363" s="4" t="str">
        <f t="array" ref="V363">XLOOKUP(R363,'Dados Funil'!$A:$A,'Dados Funil'!$K:$K,"")</f>
        <v/>
      </c>
      <c r="W363" s="4" t="str">
        <f t="array" ref="W363">XLOOKUP(R363,'Dados Funil'!$A:$A,'Dados Funil'!$L:$L,"")</f>
        <v/>
      </c>
      <c r="X363" s="4"/>
      <c r="Y363" s="4"/>
      <c r="Z363" s="7" t="str">
        <f t="shared" si="5"/>
        <v/>
      </c>
      <c r="AA363" s="4" t="str">
        <f t="shared" si="13"/>
        <v/>
      </c>
      <c r="AB363" s="4" t="str">
        <f t="array" ref="AB363">XLOOKUP(X363,'Dados Funil'!A:A,'Dados Funil'!O:O,"")</f>
        <v/>
      </c>
      <c r="AE363" s="7" t="str">
        <f t="shared" si="6"/>
        <v/>
      </c>
      <c r="AG363" s="4" t="str">
        <f t="array" ref="AG363">XLOOKUP(AC363,'Dados Funil'!A:A,'Dados Funil'!AM:AM,"")</f>
        <v/>
      </c>
      <c r="AH363" s="4" t="str">
        <f t="array" ref="AH363">XLOOKUP(AC363,'Dados Funil'!A:A,'Dados Funil'!AN:AN,"")</f>
        <v/>
      </c>
    </row>
    <row r="364">
      <c r="A364" s="4"/>
      <c r="B364" s="4"/>
      <c r="C364" s="7" t="str">
        <f t="shared" si="1"/>
        <v/>
      </c>
      <c r="D364" s="4" t="str">
        <f t="shared" si="9"/>
        <v/>
      </c>
      <c r="E364" s="4" t="str">
        <f t="array" ref="E364">XLOOKUP(A364,'Dados Funil'!$A:$A,'Dados Funil'!$K:$K,"")</f>
        <v/>
      </c>
      <c r="F364" s="4" t="str">
        <f t="array" ref="F364">XLOOKUP(A364,'Dados Funil'!$A:$A,'Dados Funil'!$L:$L,"")</f>
        <v/>
      </c>
      <c r="G364" s="4"/>
      <c r="H364" s="4"/>
      <c r="I364" s="7" t="str">
        <f t="shared" si="2"/>
        <v/>
      </c>
      <c r="J364" s="4" t="str">
        <f t="shared" si="10"/>
        <v/>
      </c>
      <c r="K364" s="4" t="str">
        <f t="array" ref="K364">XLOOKUP(G364,'Dados Funil'!A:A,'Dados Funil'!O:O,"")</f>
        <v/>
      </c>
      <c r="L364" s="4"/>
      <c r="M364" s="4"/>
      <c r="N364" s="7" t="str">
        <f t="shared" si="3"/>
        <v/>
      </c>
      <c r="O364" s="4" t="str">
        <f t="shared" si="11"/>
        <v/>
      </c>
      <c r="P364" s="4" t="str">
        <f t="array" ref="P364">XLOOKUP(L364,'Dados Funil'!A:A,'Dados Funil'!AM:AM,"")</f>
        <v/>
      </c>
      <c r="Q364" s="4" t="str">
        <f t="array" ref="Q364">XLOOKUP(L364,'Dados Funil'!A:A,'Dados Funil'!AN:AN,"")</f>
        <v/>
      </c>
      <c r="T364" s="7" t="str">
        <f t="shared" si="4"/>
        <v/>
      </c>
      <c r="U364" s="4" t="str">
        <f t="shared" si="12"/>
        <v/>
      </c>
      <c r="V364" s="4" t="str">
        <f t="array" ref="V364">XLOOKUP(R364,'Dados Funil'!$A:$A,'Dados Funil'!$K:$K,"")</f>
        <v/>
      </c>
      <c r="W364" s="4" t="str">
        <f t="array" ref="W364">XLOOKUP(R364,'Dados Funil'!$A:$A,'Dados Funil'!$L:$L,"")</f>
        <v/>
      </c>
      <c r="X364" s="4"/>
      <c r="Y364" s="4"/>
      <c r="Z364" s="7" t="str">
        <f t="shared" si="5"/>
        <v/>
      </c>
      <c r="AA364" s="4" t="str">
        <f t="shared" si="13"/>
        <v/>
      </c>
      <c r="AB364" s="4" t="str">
        <f t="array" ref="AB364">XLOOKUP(X364,'Dados Funil'!A:A,'Dados Funil'!O:O,"")</f>
        <v/>
      </c>
      <c r="AE364" s="7" t="str">
        <f t="shared" si="6"/>
        <v/>
      </c>
      <c r="AG364" s="4" t="str">
        <f t="array" ref="AG364">XLOOKUP(AC364,'Dados Funil'!A:A,'Dados Funil'!AM:AM,"")</f>
        <v/>
      </c>
      <c r="AH364" s="4" t="str">
        <f t="array" ref="AH364">XLOOKUP(AC364,'Dados Funil'!A:A,'Dados Funil'!AN:AN,"")</f>
        <v/>
      </c>
    </row>
    <row r="365">
      <c r="A365" s="4"/>
      <c r="B365" s="4"/>
      <c r="C365" s="7" t="str">
        <f t="shared" si="1"/>
        <v/>
      </c>
      <c r="D365" s="4" t="str">
        <f t="shared" si="9"/>
        <v/>
      </c>
      <c r="E365" s="4" t="str">
        <f t="array" ref="E365">XLOOKUP(A365,'Dados Funil'!$A:$A,'Dados Funil'!$K:$K,"")</f>
        <v/>
      </c>
      <c r="F365" s="4" t="str">
        <f t="array" ref="F365">XLOOKUP(A365,'Dados Funil'!$A:$A,'Dados Funil'!$L:$L,"")</f>
        <v/>
      </c>
      <c r="G365" s="4"/>
      <c r="H365" s="4"/>
      <c r="I365" s="7" t="str">
        <f t="shared" si="2"/>
        <v/>
      </c>
      <c r="J365" s="4" t="str">
        <f t="shared" si="10"/>
        <v/>
      </c>
      <c r="K365" s="4" t="str">
        <f t="array" ref="K365">XLOOKUP(G365,'Dados Funil'!A:A,'Dados Funil'!O:O,"")</f>
        <v/>
      </c>
      <c r="L365" s="4"/>
      <c r="M365" s="4"/>
      <c r="N365" s="7" t="str">
        <f t="shared" si="3"/>
        <v/>
      </c>
      <c r="O365" s="4" t="str">
        <f t="shared" si="11"/>
        <v/>
      </c>
      <c r="P365" s="4" t="str">
        <f t="array" ref="P365">XLOOKUP(L365,'Dados Funil'!A:A,'Dados Funil'!AM:AM,"")</f>
        <v/>
      </c>
      <c r="Q365" s="4" t="str">
        <f t="array" ref="Q365">XLOOKUP(L365,'Dados Funil'!A:A,'Dados Funil'!AN:AN,"")</f>
        <v/>
      </c>
      <c r="T365" s="7" t="str">
        <f t="shared" si="4"/>
        <v/>
      </c>
      <c r="U365" s="4" t="str">
        <f t="shared" si="12"/>
        <v/>
      </c>
      <c r="V365" s="4" t="str">
        <f t="array" ref="V365">XLOOKUP(R365,'Dados Funil'!$A:$A,'Dados Funil'!$K:$K,"")</f>
        <v/>
      </c>
      <c r="W365" s="4" t="str">
        <f t="array" ref="W365">XLOOKUP(R365,'Dados Funil'!$A:$A,'Dados Funil'!$L:$L,"")</f>
        <v/>
      </c>
      <c r="X365" s="4"/>
      <c r="Y365" s="4"/>
      <c r="Z365" s="7" t="str">
        <f t="shared" si="5"/>
        <v/>
      </c>
      <c r="AA365" s="4" t="str">
        <f t="shared" si="13"/>
        <v/>
      </c>
      <c r="AB365" s="4" t="str">
        <f t="array" ref="AB365">XLOOKUP(X365,'Dados Funil'!A:A,'Dados Funil'!O:O,"")</f>
        <v/>
      </c>
      <c r="AE365" s="7" t="str">
        <f t="shared" si="6"/>
        <v/>
      </c>
      <c r="AG365" s="4" t="str">
        <f t="array" ref="AG365">XLOOKUP(AC365,'Dados Funil'!A:A,'Dados Funil'!AM:AM,"")</f>
        <v/>
      </c>
      <c r="AH365" s="4" t="str">
        <f t="array" ref="AH365">XLOOKUP(AC365,'Dados Funil'!A:A,'Dados Funil'!AN:AN,"")</f>
        <v/>
      </c>
    </row>
    <row r="366">
      <c r="A366" s="4"/>
      <c r="B366" s="4"/>
      <c r="C366" s="7" t="str">
        <f t="shared" si="1"/>
        <v/>
      </c>
      <c r="D366" s="4" t="str">
        <f t="shared" si="9"/>
        <v/>
      </c>
      <c r="E366" s="4" t="str">
        <f t="array" ref="E366">XLOOKUP(A366,'Dados Funil'!$A:$A,'Dados Funil'!$K:$K,"")</f>
        <v/>
      </c>
      <c r="F366" s="4" t="str">
        <f t="array" ref="F366">XLOOKUP(A366,'Dados Funil'!$A:$A,'Dados Funil'!$L:$L,"")</f>
        <v/>
      </c>
      <c r="G366" s="4"/>
      <c r="H366" s="4"/>
      <c r="I366" s="7" t="str">
        <f t="shared" si="2"/>
        <v/>
      </c>
      <c r="J366" s="4" t="str">
        <f t="shared" si="10"/>
        <v/>
      </c>
      <c r="K366" s="4" t="str">
        <f t="array" ref="K366">XLOOKUP(G366,'Dados Funil'!A:A,'Dados Funil'!O:O,"")</f>
        <v/>
      </c>
      <c r="L366" s="4"/>
      <c r="M366" s="4"/>
      <c r="N366" s="7" t="str">
        <f t="shared" si="3"/>
        <v/>
      </c>
      <c r="O366" s="4" t="str">
        <f t="shared" si="11"/>
        <v/>
      </c>
      <c r="P366" s="4" t="str">
        <f t="array" ref="P366">XLOOKUP(L366,'Dados Funil'!A:A,'Dados Funil'!AM:AM,"")</f>
        <v/>
      </c>
      <c r="Q366" s="4" t="str">
        <f t="array" ref="Q366">XLOOKUP(L366,'Dados Funil'!A:A,'Dados Funil'!AN:AN,"")</f>
        <v/>
      </c>
      <c r="T366" s="7" t="str">
        <f t="shared" si="4"/>
        <v/>
      </c>
      <c r="U366" s="4" t="str">
        <f t="shared" si="12"/>
        <v/>
      </c>
      <c r="V366" s="4" t="str">
        <f t="array" ref="V366">XLOOKUP(R366,'Dados Funil'!$A:$A,'Dados Funil'!$K:$K,"")</f>
        <v/>
      </c>
      <c r="W366" s="4" t="str">
        <f t="array" ref="W366">XLOOKUP(R366,'Dados Funil'!$A:$A,'Dados Funil'!$L:$L,"")</f>
        <v/>
      </c>
      <c r="X366" s="4"/>
      <c r="Y366" s="4"/>
      <c r="Z366" s="7" t="str">
        <f t="shared" si="5"/>
        <v/>
      </c>
      <c r="AA366" s="4" t="str">
        <f t="shared" si="13"/>
        <v/>
      </c>
      <c r="AB366" s="4" t="str">
        <f t="array" ref="AB366">XLOOKUP(X366,'Dados Funil'!A:A,'Dados Funil'!O:O,"")</f>
        <v/>
      </c>
      <c r="AE366" s="7" t="str">
        <f t="shared" si="6"/>
        <v/>
      </c>
      <c r="AG366" s="4" t="str">
        <f t="array" ref="AG366">XLOOKUP(AC366,'Dados Funil'!A:A,'Dados Funil'!AM:AM,"")</f>
        <v/>
      </c>
      <c r="AH366" s="4" t="str">
        <f t="array" ref="AH366">XLOOKUP(AC366,'Dados Funil'!A:A,'Dados Funil'!AN:AN,"")</f>
        <v/>
      </c>
    </row>
    <row r="367">
      <c r="A367" s="4"/>
      <c r="B367" s="4"/>
      <c r="C367" s="7" t="str">
        <f t="shared" si="1"/>
        <v/>
      </c>
      <c r="D367" s="4" t="str">
        <f t="shared" si="9"/>
        <v/>
      </c>
      <c r="E367" s="4" t="str">
        <f t="array" ref="E367">XLOOKUP(A367,'Dados Funil'!$A:$A,'Dados Funil'!$K:$K,"")</f>
        <v/>
      </c>
      <c r="F367" s="4" t="str">
        <f t="array" ref="F367">XLOOKUP(A367,'Dados Funil'!$A:$A,'Dados Funil'!$L:$L,"")</f>
        <v/>
      </c>
      <c r="G367" s="4"/>
      <c r="H367" s="4"/>
      <c r="I367" s="7" t="str">
        <f t="shared" si="2"/>
        <v/>
      </c>
      <c r="J367" s="4" t="str">
        <f t="shared" si="10"/>
        <v/>
      </c>
      <c r="K367" s="4" t="str">
        <f t="array" ref="K367">XLOOKUP(G367,'Dados Funil'!A:A,'Dados Funil'!O:O,"")</f>
        <v/>
      </c>
      <c r="L367" s="4"/>
      <c r="M367" s="4"/>
      <c r="N367" s="7" t="str">
        <f t="shared" si="3"/>
        <v/>
      </c>
      <c r="O367" s="4" t="str">
        <f t="shared" si="11"/>
        <v/>
      </c>
      <c r="P367" s="4" t="str">
        <f t="array" ref="P367">XLOOKUP(L367,'Dados Funil'!A:A,'Dados Funil'!AM:AM,"")</f>
        <v/>
      </c>
      <c r="Q367" s="4" t="str">
        <f t="array" ref="Q367">XLOOKUP(L367,'Dados Funil'!A:A,'Dados Funil'!AN:AN,"")</f>
        <v/>
      </c>
      <c r="T367" s="7" t="str">
        <f t="shared" si="4"/>
        <v/>
      </c>
      <c r="U367" s="4" t="str">
        <f t="shared" si="12"/>
        <v/>
      </c>
      <c r="V367" s="4" t="str">
        <f t="array" ref="V367">XLOOKUP(R367,'Dados Funil'!$A:$A,'Dados Funil'!$K:$K,"")</f>
        <v/>
      </c>
      <c r="W367" s="4" t="str">
        <f t="array" ref="W367">XLOOKUP(R367,'Dados Funil'!$A:$A,'Dados Funil'!$L:$L,"")</f>
        <v/>
      </c>
      <c r="X367" s="4"/>
      <c r="Y367" s="4"/>
      <c r="Z367" s="7" t="str">
        <f t="shared" si="5"/>
        <v/>
      </c>
      <c r="AA367" s="4" t="str">
        <f t="shared" si="13"/>
        <v/>
      </c>
      <c r="AB367" s="4" t="str">
        <f t="array" ref="AB367">XLOOKUP(X367,'Dados Funil'!A:A,'Dados Funil'!O:O,"")</f>
        <v/>
      </c>
      <c r="AE367" s="7" t="str">
        <f t="shared" si="6"/>
        <v/>
      </c>
      <c r="AG367" s="4" t="str">
        <f t="array" ref="AG367">XLOOKUP(AC367,'Dados Funil'!A:A,'Dados Funil'!AM:AM,"")</f>
        <v/>
      </c>
      <c r="AH367" s="4" t="str">
        <f t="array" ref="AH367">XLOOKUP(AC367,'Dados Funil'!A:A,'Dados Funil'!AN:AN,"")</f>
        <v/>
      </c>
    </row>
    <row r="368">
      <c r="A368" s="4"/>
      <c r="B368" s="4"/>
      <c r="C368" s="7" t="str">
        <f t="shared" si="1"/>
        <v/>
      </c>
      <c r="D368" s="4" t="str">
        <f t="shared" si="9"/>
        <v/>
      </c>
      <c r="E368" s="4" t="str">
        <f t="array" ref="E368">XLOOKUP(A368,'Dados Funil'!$A:$A,'Dados Funil'!$K:$K,"")</f>
        <v/>
      </c>
      <c r="F368" s="4" t="str">
        <f t="array" ref="F368">XLOOKUP(A368,'Dados Funil'!$A:$A,'Dados Funil'!$L:$L,"")</f>
        <v/>
      </c>
      <c r="G368" s="4"/>
      <c r="H368" s="4"/>
      <c r="I368" s="7" t="str">
        <f t="shared" si="2"/>
        <v/>
      </c>
      <c r="J368" s="4" t="str">
        <f t="shared" si="10"/>
        <v/>
      </c>
      <c r="K368" s="4" t="str">
        <f t="array" ref="K368">XLOOKUP(G368,'Dados Funil'!A:A,'Dados Funil'!O:O,"")</f>
        <v/>
      </c>
      <c r="L368" s="4"/>
      <c r="M368" s="4"/>
      <c r="N368" s="7" t="str">
        <f t="shared" si="3"/>
        <v/>
      </c>
      <c r="O368" s="4" t="str">
        <f t="shared" si="11"/>
        <v/>
      </c>
      <c r="P368" s="4" t="str">
        <f t="array" ref="P368">XLOOKUP(L368,'Dados Funil'!A:A,'Dados Funil'!AM:AM,"")</f>
        <v/>
      </c>
      <c r="Q368" s="4" t="str">
        <f t="array" ref="Q368">XLOOKUP(L368,'Dados Funil'!A:A,'Dados Funil'!AN:AN,"")</f>
        <v/>
      </c>
      <c r="T368" s="7" t="str">
        <f t="shared" si="4"/>
        <v/>
      </c>
      <c r="U368" s="4" t="str">
        <f t="shared" si="12"/>
        <v/>
      </c>
      <c r="V368" s="4" t="str">
        <f t="array" ref="V368">XLOOKUP(R368,'Dados Funil'!$A:$A,'Dados Funil'!$K:$K,"")</f>
        <v/>
      </c>
      <c r="W368" s="4" t="str">
        <f t="array" ref="W368">XLOOKUP(R368,'Dados Funil'!$A:$A,'Dados Funil'!$L:$L,"")</f>
        <v/>
      </c>
      <c r="X368" s="4"/>
      <c r="Y368" s="4"/>
      <c r="Z368" s="7" t="str">
        <f t="shared" si="5"/>
        <v/>
      </c>
      <c r="AA368" s="4" t="str">
        <f t="shared" si="13"/>
        <v/>
      </c>
      <c r="AB368" s="4" t="str">
        <f t="array" ref="AB368">XLOOKUP(X368,'Dados Funil'!A:A,'Dados Funil'!O:O,"")</f>
        <v/>
      </c>
      <c r="AE368" s="7" t="str">
        <f t="shared" si="6"/>
        <v/>
      </c>
      <c r="AG368" s="4" t="str">
        <f t="array" ref="AG368">XLOOKUP(AC368,'Dados Funil'!A:A,'Dados Funil'!AM:AM,"")</f>
        <v/>
      </c>
      <c r="AH368" s="4" t="str">
        <f t="array" ref="AH368">XLOOKUP(AC368,'Dados Funil'!A:A,'Dados Funil'!AN:AN,"")</f>
        <v/>
      </c>
    </row>
    <row r="369">
      <c r="A369" s="4"/>
      <c r="B369" s="4"/>
      <c r="C369" s="7" t="str">
        <f t="shared" si="1"/>
        <v/>
      </c>
      <c r="D369" s="4" t="str">
        <f t="shared" si="9"/>
        <v/>
      </c>
      <c r="E369" s="4" t="str">
        <f t="array" ref="E369">XLOOKUP(A369,'Dados Funil'!$A:$A,'Dados Funil'!$K:$K,"")</f>
        <v/>
      </c>
      <c r="F369" s="4" t="str">
        <f t="array" ref="F369">XLOOKUP(A369,'Dados Funil'!$A:$A,'Dados Funil'!$L:$L,"")</f>
        <v/>
      </c>
      <c r="G369" s="4"/>
      <c r="H369" s="4"/>
      <c r="I369" s="7" t="str">
        <f t="shared" si="2"/>
        <v/>
      </c>
      <c r="J369" s="4" t="str">
        <f t="shared" si="10"/>
        <v/>
      </c>
      <c r="K369" s="4" t="str">
        <f t="array" ref="K369">XLOOKUP(G369,'Dados Funil'!A:A,'Dados Funil'!O:O,"")</f>
        <v/>
      </c>
      <c r="L369" s="4"/>
      <c r="M369" s="4"/>
      <c r="N369" s="7" t="str">
        <f t="shared" si="3"/>
        <v/>
      </c>
      <c r="O369" s="4" t="str">
        <f t="shared" si="11"/>
        <v/>
      </c>
      <c r="P369" s="4" t="str">
        <f t="array" ref="P369">XLOOKUP(L369,'Dados Funil'!A:A,'Dados Funil'!AM:AM,"")</f>
        <v/>
      </c>
      <c r="Q369" s="4" t="str">
        <f t="array" ref="Q369">XLOOKUP(L369,'Dados Funil'!A:A,'Dados Funil'!AN:AN,"")</f>
        <v/>
      </c>
      <c r="T369" s="7" t="str">
        <f t="shared" si="4"/>
        <v/>
      </c>
      <c r="U369" s="4" t="str">
        <f t="shared" si="12"/>
        <v/>
      </c>
      <c r="V369" s="4" t="str">
        <f t="array" ref="V369">XLOOKUP(R369,'Dados Funil'!$A:$A,'Dados Funil'!$K:$K,"")</f>
        <v/>
      </c>
      <c r="W369" s="4" t="str">
        <f t="array" ref="W369">XLOOKUP(R369,'Dados Funil'!$A:$A,'Dados Funil'!$L:$L,"")</f>
        <v/>
      </c>
      <c r="X369" s="4"/>
      <c r="Y369" s="4"/>
      <c r="Z369" s="7" t="str">
        <f t="shared" si="5"/>
        <v/>
      </c>
      <c r="AA369" s="4" t="str">
        <f t="shared" si="13"/>
        <v/>
      </c>
      <c r="AB369" s="4" t="str">
        <f t="array" ref="AB369">XLOOKUP(X369,'Dados Funil'!A:A,'Dados Funil'!O:O,"")</f>
        <v/>
      </c>
      <c r="AE369" s="7" t="str">
        <f t="shared" si="6"/>
        <v/>
      </c>
      <c r="AG369" s="4" t="str">
        <f t="array" ref="AG369">XLOOKUP(AC369,'Dados Funil'!A:A,'Dados Funil'!AM:AM,"")</f>
        <v/>
      </c>
      <c r="AH369" s="4" t="str">
        <f t="array" ref="AH369">XLOOKUP(AC369,'Dados Funil'!A:A,'Dados Funil'!AN:AN,"")</f>
        <v/>
      </c>
    </row>
    <row r="370">
      <c r="A370" s="4"/>
      <c r="B370" s="4"/>
      <c r="C370" s="7" t="str">
        <f t="shared" si="1"/>
        <v/>
      </c>
      <c r="D370" s="4" t="str">
        <f t="shared" si="9"/>
        <v/>
      </c>
      <c r="E370" s="4" t="str">
        <f t="array" ref="E370">XLOOKUP(A370,'Dados Funil'!$A:$A,'Dados Funil'!$K:$K,"")</f>
        <v/>
      </c>
      <c r="F370" s="4" t="str">
        <f t="array" ref="F370">XLOOKUP(A370,'Dados Funil'!$A:$A,'Dados Funil'!$L:$L,"")</f>
        <v/>
      </c>
      <c r="G370" s="4"/>
      <c r="H370" s="4"/>
      <c r="I370" s="7" t="str">
        <f t="shared" si="2"/>
        <v/>
      </c>
      <c r="J370" s="4" t="str">
        <f t="shared" si="10"/>
        <v/>
      </c>
      <c r="K370" s="4" t="str">
        <f t="array" ref="K370">XLOOKUP(G370,'Dados Funil'!A:A,'Dados Funil'!O:O,"")</f>
        <v/>
      </c>
      <c r="L370" s="4"/>
      <c r="M370" s="4"/>
      <c r="N370" s="7" t="str">
        <f t="shared" si="3"/>
        <v/>
      </c>
      <c r="O370" s="4" t="str">
        <f t="shared" si="11"/>
        <v/>
      </c>
      <c r="P370" s="4" t="str">
        <f t="array" ref="P370">XLOOKUP(L370,'Dados Funil'!A:A,'Dados Funil'!AM:AM,"")</f>
        <v/>
      </c>
      <c r="Q370" s="4" t="str">
        <f t="array" ref="Q370">XLOOKUP(L370,'Dados Funil'!A:A,'Dados Funil'!AN:AN,"")</f>
        <v/>
      </c>
      <c r="T370" s="7" t="str">
        <f t="shared" si="4"/>
        <v/>
      </c>
      <c r="U370" s="4" t="str">
        <f t="shared" si="12"/>
        <v/>
      </c>
      <c r="V370" s="4" t="str">
        <f t="array" ref="V370">XLOOKUP(R370,'Dados Funil'!$A:$A,'Dados Funil'!$K:$K,"")</f>
        <v/>
      </c>
      <c r="W370" s="4" t="str">
        <f t="array" ref="W370">XLOOKUP(R370,'Dados Funil'!$A:$A,'Dados Funil'!$L:$L,"")</f>
        <v/>
      </c>
      <c r="X370" s="4"/>
      <c r="Y370" s="4"/>
      <c r="Z370" s="7" t="str">
        <f t="shared" si="5"/>
        <v/>
      </c>
      <c r="AA370" s="4" t="str">
        <f t="shared" si="13"/>
        <v/>
      </c>
      <c r="AB370" s="4" t="str">
        <f t="array" ref="AB370">XLOOKUP(X370,'Dados Funil'!A:A,'Dados Funil'!O:O,"")</f>
        <v/>
      </c>
      <c r="AE370" s="7" t="str">
        <f t="shared" si="6"/>
        <v/>
      </c>
      <c r="AG370" s="4" t="str">
        <f t="array" ref="AG370">XLOOKUP(AC370,'Dados Funil'!A:A,'Dados Funil'!AM:AM,"")</f>
        <v/>
      </c>
      <c r="AH370" s="4" t="str">
        <f t="array" ref="AH370">XLOOKUP(AC370,'Dados Funil'!A:A,'Dados Funil'!AN:AN,"")</f>
        <v/>
      </c>
    </row>
    <row r="371">
      <c r="A371" s="4"/>
      <c r="B371" s="4"/>
      <c r="C371" s="7" t="str">
        <f t="shared" si="1"/>
        <v/>
      </c>
      <c r="D371" s="4" t="str">
        <f t="shared" si="9"/>
        <v/>
      </c>
      <c r="E371" s="4" t="str">
        <f t="array" ref="E371">XLOOKUP(A371,'Dados Funil'!$A:$A,'Dados Funil'!$K:$K,"")</f>
        <v/>
      </c>
      <c r="F371" s="4" t="str">
        <f t="array" ref="F371">XLOOKUP(A371,'Dados Funil'!$A:$A,'Dados Funil'!$L:$L,"")</f>
        <v/>
      </c>
      <c r="G371" s="4"/>
      <c r="H371" s="4"/>
      <c r="I371" s="7" t="str">
        <f t="shared" si="2"/>
        <v/>
      </c>
      <c r="J371" s="4" t="str">
        <f t="shared" si="10"/>
        <v/>
      </c>
      <c r="K371" s="4" t="str">
        <f t="array" ref="K371">XLOOKUP(G371,'Dados Funil'!A:A,'Dados Funil'!O:O,"")</f>
        <v/>
      </c>
      <c r="L371" s="4"/>
      <c r="M371" s="4"/>
      <c r="N371" s="7" t="str">
        <f t="shared" si="3"/>
        <v/>
      </c>
      <c r="O371" s="4" t="str">
        <f t="shared" si="11"/>
        <v/>
      </c>
      <c r="P371" s="4" t="str">
        <f t="array" ref="P371">XLOOKUP(L371,'Dados Funil'!A:A,'Dados Funil'!AM:AM,"")</f>
        <v/>
      </c>
      <c r="Q371" s="4" t="str">
        <f t="array" ref="Q371">XLOOKUP(L371,'Dados Funil'!A:A,'Dados Funil'!AN:AN,"")</f>
        <v/>
      </c>
      <c r="T371" s="7" t="str">
        <f t="shared" si="4"/>
        <v/>
      </c>
      <c r="U371" s="4" t="str">
        <f t="shared" si="12"/>
        <v/>
      </c>
      <c r="V371" s="4" t="str">
        <f t="array" ref="V371">XLOOKUP(R371,'Dados Funil'!$A:$A,'Dados Funil'!$K:$K,"")</f>
        <v/>
      </c>
      <c r="W371" s="4" t="str">
        <f t="array" ref="W371">XLOOKUP(R371,'Dados Funil'!$A:$A,'Dados Funil'!$L:$L,"")</f>
        <v/>
      </c>
      <c r="X371" s="4"/>
      <c r="Y371" s="4"/>
      <c r="Z371" s="7" t="str">
        <f t="shared" si="5"/>
        <v/>
      </c>
      <c r="AA371" s="4" t="str">
        <f t="shared" si="13"/>
        <v/>
      </c>
      <c r="AB371" s="4" t="str">
        <f t="array" ref="AB371">XLOOKUP(X371,'Dados Funil'!A:A,'Dados Funil'!O:O,"")</f>
        <v/>
      </c>
      <c r="AE371" s="7" t="str">
        <f t="shared" si="6"/>
        <v/>
      </c>
      <c r="AG371" s="4" t="str">
        <f t="array" ref="AG371">XLOOKUP(AC371,'Dados Funil'!A:A,'Dados Funil'!AM:AM,"")</f>
        <v/>
      </c>
      <c r="AH371" s="4" t="str">
        <f t="array" ref="AH371">XLOOKUP(AC371,'Dados Funil'!A:A,'Dados Funil'!AN:AN,"")</f>
        <v/>
      </c>
    </row>
    <row r="372">
      <c r="A372" s="4"/>
      <c r="B372" s="4"/>
      <c r="C372" s="7" t="str">
        <f t="shared" si="1"/>
        <v/>
      </c>
      <c r="D372" s="4" t="str">
        <f t="shared" si="9"/>
        <v/>
      </c>
      <c r="E372" s="4" t="str">
        <f t="array" ref="E372">XLOOKUP(A372,'Dados Funil'!$A:$A,'Dados Funil'!$K:$K,"")</f>
        <v/>
      </c>
      <c r="F372" s="4" t="str">
        <f t="array" ref="F372">XLOOKUP(A372,'Dados Funil'!$A:$A,'Dados Funil'!$L:$L,"")</f>
        <v/>
      </c>
      <c r="G372" s="4"/>
      <c r="H372" s="4"/>
      <c r="I372" s="7" t="str">
        <f t="shared" si="2"/>
        <v/>
      </c>
      <c r="J372" s="4" t="str">
        <f t="shared" si="10"/>
        <v/>
      </c>
      <c r="K372" s="4" t="str">
        <f t="array" ref="K372">XLOOKUP(G372,'Dados Funil'!A:A,'Dados Funil'!O:O,"")</f>
        <v/>
      </c>
      <c r="L372" s="4"/>
      <c r="M372" s="4"/>
      <c r="N372" s="7" t="str">
        <f t="shared" si="3"/>
        <v/>
      </c>
      <c r="O372" s="4" t="str">
        <f t="shared" si="11"/>
        <v/>
      </c>
      <c r="P372" s="4" t="str">
        <f t="array" ref="P372">XLOOKUP(L372,'Dados Funil'!A:A,'Dados Funil'!AM:AM,"")</f>
        <v/>
      </c>
      <c r="Q372" s="4" t="str">
        <f t="array" ref="Q372">XLOOKUP(L372,'Dados Funil'!A:A,'Dados Funil'!AN:AN,"")</f>
        <v/>
      </c>
      <c r="T372" s="7" t="str">
        <f t="shared" si="4"/>
        <v/>
      </c>
      <c r="U372" s="4" t="str">
        <f t="shared" si="12"/>
        <v/>
      </c>
      <c r="V372" s="4" t="str">
        <f t="array" ref="V372">XLOOKUP(R372,'Dados Funil'!$A:$A,'Dados Funil'!$K:$K,"")</f>
        <v/>
      </c>
      <c r="W372" s="4" t="str">
        <f t="array" ref="W372">XLOOKUP(R372,'Dados Funil'!$A:$A,'Dados Funil'!$L:$L,"")</f>
        <v/>
      </c>
      <c r="X372" s="4"/>
      <c r="Y372" s="4"/>
      <c r="Z372" s="7" t="str">
        <f t="shared" si="5"/>
        <v/>
      </c>
      <c r="AA372" s="4" t="str">
        <f t="shared" si="13"/>
        <v/>
      </c>
      <c r="AB372" s="4" t="str">
        <f t="array" ref="AB372">XLOOKUP(X372,'Dados Funil'!A:A,'Dados Funil'!O:O,"")</f>
        <v/>
      </c>
      <c r="AE372" s="7" t="str">
        <f t="shared" si="6"/>
        <v/>
      </c>
      <c r="AG372" s="4" t="str">
        <f t="array" ref="AG372">XLOOKUP(AC372,'Dados Funil'!A:A,'Dados Funil'!AM:AM,"")</f>
        <v/>
      </c>
      <c r="AH372" s="4" t="str">
        <f t="array" ref="AH372">XLOOKUP(AC372,'Dados Funil'!A:A,'Dados Funil'!AN:AN,"")</f>
        <v/>
      </c>
    </row>
    <row r="373">
      <c r="A373" s="4"/>
      <c r="B373" s="4"/>
      <c r="C373" s="7" t="str">
        <f t="shared" si="1"/>
        <v/>
      </c>
      <c r="D373" s="4" t="str">
        <f t="shared" si="9"/>
        <v/>
      </c>
      <c r="E373" s="4" t="str">
        <f t="array" ref="E373">XLOOKUP(A373,'Dados Funil'!$A:$A,'Dados Funil'!$K:$K,"")</f>
        <v/>
      </c>
      <c r="F373" s="4" t="str">
        <f t="array" ref="F373">XLOOKUP(A373,'Dados Funil'!$A:$A,'Dados Funil'!$L:$L,"")</f>
        <v/>
      </c>
      <c r="G373" s="4"/>
      <c r="H373" s="4"/>
      <c r="I373" s="7" t="str">
        <f t="shared" si="2"/>
        <v/>
      </c>
      <c r="J373" s="4" t="str">
        <f t="shared" si="10"/>
        <v/>
      </c>
      <c r="K373" s="4" t="str">
        <f t="array" ref="K373">XLOOKUP(G373,'Dados Funil'!A:A,'Dados Funil'!O:O,"")</f>
        <v/>
      </c>
      <c r="L373" s="4"/>
      <c r="M373" s="4"/>
      <c r="N373" s="7" t="str">
        <f t="shared" si="3"/>
        <v/>
      </c>
      <c r="O373" s="4" t="str">
        <f t="shared" si="11"/>
        <v/>
      </c>
      <c r="P373" s="4" t="str">
        <f t="array" ref="P373">XLOOKUP(L373,'Dados Funil'!A:A,'Dados Funil'!AM:AM,"")</f>
        <v/>
      </c>
      <c r="Q373" s="4" t="str">
        <f t="array" ref="Q373">XLOOKUP(L373,'Dados Funil'!A:A,'Dados Funil'!AN:AN,"")</f>
        <v/>
      </c>
      <c r="T373" s="7" t="str">
        <f t="shared" si="4"/>
        <v/>
      </c>
      <c r="U373" s="4" t="str">
        <f t="shared" si="12"/>
        <v/>
      </c>
      <c r="V373" s="4" t="str">
        <f t="array" ref="V373">XLOOKUP(R373,'Dados Funil'!$A:$A,'Dados Funil'!$K:$K,"")</f>
        <v/>
      </c>
      <c r="W373" s="4" t="str">
        <f t="array" ref="W373">XLOOKUP(R373,'Dados Funil'!$A:$A,'Dados Funil'!$L:$L,"")</f>
        <v/>
      </c>
      <c r="X373" s="4"/>
      <c r="Y373" s="4"/>
      <c r="Z373" s="7" t="str">
        <f t="shared" si="5"/>
        <v/>
      </c>
      <c r="AA373" s="4" t="str">
        <f t="shared" si="13"/>
        <v/>
      </c>
      <c r="AB373" s="4" t="str">
        <f t="array" ref="AB373">XLOOKUP(X373,'Dados Funil'!A:A,'Dados Funil'!O:O,"")</f>
        <v/>
      </c>
      <c r="AE373" s="7" t="str">
        <f t="shared" si="6"/>
        <v/>
      </c>
      <c r="AG373" s="4" t="str">
        <f t="array" ref="AG373">XLOOKUP(AC373,'Dados Funil'!A:A,'Dados Funil'!AM:AM,"")</f>
        <v/>
      </c>
      <c r="AH373" s="4" t="str">
        <f t="array" ref="AH373">XLOOKUP(AC373,'Dados Funil'!A:A,'Dados Funil'!AN:AN,"")</f>
        <v/>
      </c>
    </row>
    <row r="374">
      <c r="A374" s="4"/>
      <c r="B374" s="4"/>
      <c r="C374" s="7" t="str">
        <f t="shared" si="1"/>
        <v/>
      </c>
      <c r="D374" s="4" t="str">
        <f t="shared" si="9"/>
        <v/>
      </c>
      <c r="E374" s="4" t="str">
        <f t="array" ref="E374">XLOOKUP(A374,'Dados Funil'!$A:$A,'Dados Funil'!$K:$K,"")</f>
        <v/>
      </c>
      <c r="F374" s="4" t="str">
        <f t="array" ref="F374">XLOOKUP(A374,'Dados Funil'!$A:$A,'Dados Funil'!$L:$L,"")</f>
        <v/>
      </c>
      <c r="G374" s="4"/>
      <c r="H374" s="4"/>
      <c r="I374" s="7" t="str">
        <f t="shared" si="2"/>
        <v/>
      </c>
      <c r="J374" s="4" t="str">
        <f t="shared" si="10"/>
        <v/>
      </c>
      <c r="K374" s="4" t="str">
        <f t="array" ref="K374">XLOOKUP(G374,'Dados Funil'!A:A,'Dados Funil'!O:O,"")</f>
        <v/>
      </c>
      <c r="L374" s="4"/>
      <c r="M374" s="4"/>
      <c r="N374" s="7" t="str">
        <f t="shared" si="3"/>
        <v/>
      </c>
      <c r="O374" s="4" t="str">
        <f t="shared" si="11"/>
        <v/>
      </c>
      <c r="P374" s="4" t="str">
        <f t="array" ref="P374">XLOOKUP(L374,'Dados Funil'!A:A,'Dados Funil'!AM:AM,"")</f>
        <v/>
      </c>
      <c r="Q374" s="4" t="str">
        <f t="array" ref="Q374">XLOOKUP(L374,'Dados Funil'!A:A,'Dados Funil'!AN:AN,"")</f>
        <v/>
      </c>
      <c r="T374" s="7" t="str">
        <f t="shared" si="4"/>
        <v/>
      </c>
      <c r="U374" s="4" t="str">
        <f t="shared" si="12"/>
        <v/>
      </c>
      <c r="V374" s="4" t="str">
        <f t="array" ref="V374">XLOOKUP(R374,'Dados Funil'!$A:$A,'Dados Funil'!$K:$K,"")</f>
        <v/>
      </c>
      <c r="W374" s="4" t="str">
        <f t="array" ref="W374">XLOOKUP(R374,'Dados Funil'!$A:$A,'Dados Funil'!$L:$L,"")</f>
        <v/>
      </c>
      <c r="X374" s="4"/>
      <c r="Y374" s="4"/>
      <c r="Z374" s="7" t="str">
        <f t="shared" si="5"/>
        <v/>
      </c>
      <c r="AA374" s="4" t="str">
        <f t="shared" si="13"/>
        <v/>
      </c>
      <c r="AB374" s="4" t="str">
        <f t="array" ref="AB374">XLOOKUP(X374,'Dados Funil'!A:A,'Dados Funil'!O:O,"")</f>
        <v/>
      </c>
      <c r="AE374" s="7" t="str">
        <f t="shared" si="6"/>
        <v/>
      </c>
      <c r="AG374" s="4" t="str">
        <f t="array" ref="AG374">XLOOKUP(AC374,'Dados Funil'!A:A,'Dados Funil'!AM:AM,"")</f>
        <v/>
      </c>
      <c r="AH374" s="4" t="str">
        <f t="array" ref="AH374">XLOOKUP(AC374,'Dados Funil'!A:A,'Dados Funil'!AN:AN,"")</f>
        <v/>
      </c>
    </row>
    <row r="375">
      <c r="A375" s="4"/>
      <c r="B375" s="4"/>
      <c r="C375" s="7" t="str">
        <f t="shared" si="1"/>
        <v/>
      </c>
      <c r="D375" s="4" t="str">
        <f t="shared" si="9"/>
        <v/>
      </c>
      <c r="E375" s="4" t="str">
        <f t="array" ref="E375">XLOOKUP(A375,'Dados Funil'!$A:$A,'Dados Funil'!$K:$K,"")</f>
        <v/>
      </c>
      <c r="F375" s="4" t="str">
        <f t="array" ref="F375">XLOOKUP(A375,'Dados Funil'!$A:$A,'Dados Funil'!$L:$L,"")</f>
        <v/>
      </c>
      <c r="G375" s="4"/>
      <c r="H375" s="4"/>
      <c r="I375" s="7" t="str">
        <f t="shared" si="2"/>
        <v/>
      </c>
      <c r="J375" s="4" t="str">
        <f t="shared" si="10"/>
        <v/>
      </c>
      <c r="K375" s="4" t="str">
        <f t="array" ref="K375">XLOOKUP(G375,'Dados Funil'!A:A,'Dados Funil'!O:O,"")</f>
        <v/>
      </c>
      <c r="L375" s="4"/>
      <c r="M375" s="4"/>
      <c r="N375" s="7" t="str">
        <f t="shared" si="3"/>
        <v/>
      </c>
      <c r="O375" s="4" t="str">
        <f t="shared" si="11"/>
        <v/>
      </c>
      <c r="P375" s="4" t="str">
        <f t="array" ref="P375">XLOOKUP(L375,'Dados Funil'!A:A,'Dados Funil'!AM:AM,"")</f>
        <v/>
      </c>
      <c r="Q375" s="4" t="str">
        <f t="array" ref="Q375">XLOOKUP(L375,'Dados Funil'!A:A,'Dados Funil'!AN:AN,"")</f>
        <v/>
      </c>
      <c r="T375" s="7" t="str">
        <f t="shared" si="4"/>
        <v/>
      </c>
      <c r="U375" s="4" t="str">
        <f t="shared" si="12"/>
        <v/>
      </c>
      <c r="V375" s="4" t="str">
        <f t="array" ref="V375">XLOOKUP(R375,'Dados Funil'!$A:$A,'Dados Funil'!$K:$K,"")</f>
        <v/>
      </c>
      <c r="W375" s="4" t="str">
        <f t="array" ref="W375">XLOOKUP(R375,'Dados Funil'!$A:$A,'Dados Funil'!$L:$L,"")</f>
        <v/>
      </c>
      <c r="X375" s="4"/>
      <c r="Y375" s="4"/>
      <c r="Z375" s="7" t="str">
        <f t="shared" si="5"/>
        <v/>
      </c>
      <c r="AA375" s="4" t="str">
        <f t="shared" si="13"/>
        <v/>
      </c>
      <c r="AB375" s="4" t="str">
        <f t="array" ref="AB375">XLOOKUP(X375,'Dados Funil'!A:A,'Dados Funil'!O:O,"")</f>
        <v/>
      </c>
      <c r="AE375" s="7" t="str">
        <f t="shared" si="6"/>
        <v/>
      </c>
      <c r="AG375" s="4" t="str">
        <f t="array" ref="AG375">XLOOKUP(AC375,'Dados Funil'!A:A,'Dados Funil'!AM:AM,"")</f>
        <v/>
      </c>
      <c r="AH375" s="4" t="str">
        <f t="array" ref="AH375">XLOOKUP(AC375,'Dados Funil'!A:A,'Dados Funil'!AN:AN,"")</f>
        <v/>
      </c>
    </row>
    <row r="376">
      <c r="A376" s="4"/>
      <c r="B376" s="4"/>
      <c r="C376" s="7" t="str">
        <f t="shared" si="1"/>
        <v/>
      </c>
      <c r="D376" s="4" t="str">
        <f t="shared" si="9"/>
        <v/>
      </c>
      <c r="E376" s="4" t="str">
        <f t="array" ref="E376">XLOOKUP(A376,'Dados Funil'!$A:$A,'Dados Funil'!$K:$K,"")</f>
        <v/>
      </c>
      <c r="F376" s="4" t="str">
        <f t="array" ref="F376">XLOOKUP(A376,'Dados Funil'!$A:$A,'Dados Funil'!$L:$L,"")</f>
        <v/>
      </c>
      <c r="G376" s="4"/>
      <c r="H376" s="4"/>
      <c r="I376" s="7" t="str">
        <f t="shared" si="2"/>
        <v/>
      </c>
      <c r="J376" s="4" t="str">
        <f t="shared" si="10"/>
        <v/>
      </c>
      <c r="K376" s="4" t="str">
        <f t="array" ref="K376">XLOOKUP(G376,'Dados Funil'!A:A,'Dados Funil'!O:O,"")</f>
        <v/>
      </c>
      <c r="L376" s="4"/>
      <c r="M376" s="4"/>
      <c r="N376" s="7" t="str">
        <f t="shared" si="3"/>
        <v/>
      </c>
      <c r="O376" s="4" t="str">
        <f t="shared" si="11"/>
        <v/>
      </c>
      <c r="P376" s="4" t="str">
        <f t="array" ref="P376">XLOOKUP(L376,'Dados Funil'!A:A,'Dados Funil'!AM:AM,"")</f>
        <v/>
      </c>
      <c r="Q376" s="4" t="str">
        <f t="array" ref="Q376">XLOOKUP(L376,'Dados Funil'!A:A,'Dados Funil'!AN:AN,"")</f>
        <v/>
      </c>
      <c r="T376" s="7" t="str">
        <f t="shared" si="4"/>
        <v/>
      </c>
      <c r="U376" s="4" t="str">
        <f t="shared" si="12"/>
        <v/>
      </c>
      <c r="V376" s="4" t="str">
        <f t="array" ref="V376">XLOOKUP(R376,'Dados Funil'!$A:$A,'Dados Funil'!$K:$K,"")</f>
        <v/>
      </c>
      <c r="W376" s="4" t="str">
        <f t="array" ref="W376">XLOOKUP(R376,'Dados Funil'!$A:$A,'Dados Funil'!$L:$L,"")</f>
        <v/>
      </c>
      <c r="X376" s="4"/>
      <c r="Y376" s="4"/>
      <c r="Z376" s="7" t="str">
        <f t="shared" si="5"/>
        <v/>
      </c>
      <c r="AA376" s="4" t="str">
        <f t="shared" si="13"/>
        <v/>
      </c>
      <c r="AB376" s="4" t="str">
        <f t="array" ref="AB376">XLOOKUP(X376,'Dados Funil'!A:A,'Dados Funil'!O:O,"")</f>
        <v/>
      </c>
      <c r="AE376" s="7" t="str">
        <f t="shared" si="6"/>
        <v/>
      </c>
      <c r="AG376" s="4" t="str">
        <f t="array" ref="AG376">XLOOKUP(AC376,'Dados Funil'!A:A,'Dados Funil'!AM:AM,"")</f>
        <v/>
      </c>
      <c r="AH376" s="4" t="str">
        <f t="array" ref="AH376">XLOOKUP(AC376,'Dados Funil'!A:A,'Dados Funil'!AN:AN,"")</f>
        <v/>
      </c>
    </row>
    <row r="377">
      <c r="A377" s="4"/>
      <c r="B377" s="4"/>
      <c r="C377" s="7" t="str">
        <f t="shared" si="1"/>
        <v/>
      </c>
      <c r="D377" s="4" t="str">
        <f t="shared" si="9"/>
        <v/>
      </c>
      <c r="E377" s="4" t="str">
        <f t="array" ref="E377">XLOOKUP(A377,'Dados Funil'!$A:$A,'Dados Funil'!$K:$K,"")</f>
        <v/>
      </c>
      <c r="F377" s="4" t="str">
        <f t="array" ref="F377">XLOOKUP(A377,'Dados Funil'!$A:$A,'Dados Funil'!$L:$L,"")</f>
        <v/>
      </c>
      <c r="G377" s="4"/>
      <c r="H377" s="4"/>
      <c r="I377" s="7" t="str">
        <f t="shared" si="2"/>
        <v/>
      </c>
      <c r="J377" s="4" t="str">
        <f t="shared" si="10"/>
        <v/>
      </c>
      <c r="K377" s="4" t="str">
        <f t="array" ref="K377">XLOOKUP(G377,'Dados Funil'!A:A,'Dados Funil'!O:O,"")</f>
        <v/>
      </c>
      <c r="L377" s="4"/>
      <c r="M377" s="4"/>
      <c r="N377" s="7" t="str">
        <f t="shared" si="3"/>
        <v/>
      </c>
      <c r="O377" s="4" t="str">
        <f t="shared" si="11"/>
        <v/>
      </c>
      <c r="P377" s="4" t="str">
        <f t="array" ref="P377">XLOOKUP(L377,'Dados Funil'!A:A,'Dados Funil'!AM:AM,"")</f>
        <v/>
      </c>
      <c r="Q377" s="4" t="str">
        <f t="array" ref="Q377">XLOOKUP(L377,'Dados Funil'!A:A,'Dados Funil'!AN:AN,"")</f>
        <v/>
      </c>
      <c r="T377" s="7" t="str">
        <f t="shared" si="4"/>
        <v/>
      </c>
      <c r="U377" s="4" t="str">
        <f t="shared" si="12"/>
        <v/>
      </c>
      <c r="V377" s="4" t="str">
        <f t="array" ref="V377">XLOOKUP(R377,'Dados Funil'!$A:$A,'Dados Funil'!$K:$K,"")</f>
        <v/>
      </c>
      <c r="W377" s="4" t="str">
        <f t="array" ref="W377">XLOOKUP(R377,'Dados Funil'!$A:$A,'Dados Funil'!$L:$L,"")</f>
        <v/>
      </c>
      <c r="X377" s="4"/>
      <c r="Y377" s="4"/>
      <c r="Z377" s="7" t="str">
        <f t="shared" si="5"/>
        <v/>
      </c>
      <c r="AA377" s="4" t="str">
        <f t="shared" si="13"/>
        <v/>
      </c>
      <c r="AB377" s="4" t="str">
        <f t="array" ref="AB377">XLOOKUP(X377,'Dados Funil'!A:A,'Dados Funil'!O:O,"")</f>
        <v/>
      </c>
      <c r="AE377" s="7" t="str">
        <f t="shared" si="6"/>
        <v/>
      </c>
      <c r="AG377" s="4" t="str">
        <f t="array" ref="AG377">XLOOKUP(AC377,'Dados Funil'!A:A,'Dados Funil'!AM:AM,"")</f>
        <v/>
      </c>
      <c r="AH377" s="4" t="str">
        <f t="array" ref="AH377">XLOOKUP(AC377,'Dados Funil'!A:A,'Dados Funil'!AN:AN,"")</f>
        <v/>
      </c>
    </row>
    <row r="378">
      <c r="A378" s="4"/>
      <c r="B378" s="4"/>
      <c r="C378" s="7" t="str">
        <f t="shared" si="1"/>
        <v/>
      </c>
      <c r="D378" s="4" t="str">
        <f t="shared" si="9"/>
        <v/>
      </c>
      <c r="E378" s="4" t="str">
        <f t="array" ref="E378">XLOOKUP(A378,'Dados Funil'!$A:$A,'Dados Funil'!$K:$K,"")</f>
        <v/>
      </c>
      <c r="F378" s="4" t="str">
        <f t="array" ref="F378">XLOOKUP(A378,'Dados Funil'!$A:$A,'Dados Funil'!$L:$L,"")</f>
        <v/>
      </c>
      <c r="G378" s="4"/>
      <c r="H378" s="4"/>
      <c r="I378" s="7" t="str">
        <f t="shared" si="2"/>
        <v/>
      </c>
      <c r="J378" s="4" t="str">
        <f t="shared" si="10"/>
        <v/>
      </c>
      <c r="K378" s="4" t="str">
        <f t="array" ref="K378">XLOOKUP(G378,'Dados Funil'!A:A,'Dados Funil'!O:O,"")</f>
        <v/>
      </c>
      <c r="L378" s="4"/>
      <c r="M378" s="4"/>
      <c r="N378" s="7" t="str">
        <f t="shared" si="3"/>
        <v/>
      </c>
      <c r="O378" s="4" t="str">
        <f t="shared" si="11"/>
        <v/>
      </c>
      <c r="P378" s="4" t="str">
        <f t="array" ref="P378">XLOOKUP(L378,'Dados Funil'!A:A,'Dados Funil'!AM:AM,"")</f>
        <v/>
      </c>
      <c r="Q378" s="4" t="str">
        <f t="array" ref="Q378">XLOOKUP(L378,'Dados Funil'!A:A,'Dados Funil'!AN:AN,"")</f>
        <v/>
      </c>
      <c r="T378" s="7" t="str">
        <f t="shared" si="4"/>
        <v/>
      </c>
      <c r="U378" s="4" t="str">
        <f t="shared" si="12"/>
        <v/>
      </c>
      <c r="V378" s="4" t="str">
        <f t="array" ref="V378">XLOOKUP(R378,'Dados Funil'!$A:$A,'Dados Funil'!$K:$K,"")</f>
        <v/>
      </c>
      <c r="W378" s="4" t="str">
        <f t="array" ref="W378">XLOOKUP(R378,'Dados Funil'!$A:$A,'Dados Funil'!$L:$L,"")</f>
        <v/>
      </c>
      <c r="X378" s="4"/>
      <c r="Y378" s="4"/>
      <c r="Z378" s="7" t="str">
        <f t="shared" si="5"/>
        <v/>
      </c>
      <c r="AA378" s="4" t="str">
        <f t="shared" si="13"/>
        <v/>
      </c>
      <c r="AB378" s="4" t="str">
        <f t="array" ref="AB378">XLOOKUP(X378,'Dados Funil'!A:A,'Dados Funil'!O:O,"")</f>
        <v/>
      </c>
      <c r="AE378" s="7" t="str">
        <f t="shared" si="6"/>
        <v/>
      </c>
      <c r="AG378" s="4" t="str">
        <f t="array" ref="AG378">XLOOKUP(AC378,'Dados Funil'!A:A,'Dados Funil'!AM:AM,"")</f>
        <v/>
      </c>
      <c r="AH378" s="4" t="str">
        <f t="array" ref="AH378">XLOOKUP(AC378,'Dados Funil'!A:A,'Dados Funil'!AN:AN,"")</f>
        <v/>
      </c>
    </row>
    <row r="379">
      <c r="A379" s="4"/>
      <c r="B379" s="4"/>
      <c r="C379" s="7" t="str">
        <f t="shared" si="1"/>
        <v/>
      </c>
      <c r="D379" s="4" t="str">
        <f t="shared" si="9"/>
        <v/>
      </c>
      <c r="E379" s="4" t="str">
        <f t="array" ref="E379">XLOOKUP(A379,'Dados Funil'!$A:$A,'Dados Funil'!$K:$K,"")</f>
        <v/>
      </c>
      <c r="F379" s="4" t="str">
        <f t="array" ref="F379">XLOOKUP(A379,'Dados Funil'!$A:$A,'Dados Funil'!$L:$L,"")</f>
        <v/>
      </c>
      <c r="G379" s="4"/>
      <c r="H379" s="4"/>
      <c r="I379" s="7" t="str">
        <f t="shared" si="2"/>
        <v/>
      </c>
      <c r="J379" s="4" t="str">
        <f t="shared" si="10"/>
        <v/>
      </c>
      <c r="K379" s="4" t="str">
        <f t="array" ref="K379">XLOOKUP(G379,'Dados Funil'!A:A,'Dados Funil'!O:O,"")</f>
        <v/>
      </c>
      <c r="L379" s="4"/>
      <c r="M379" s="4"/>
      <c r="N379" s="7" t="str">
        <f t="shared" si="3"/>
        <v/>
      </c>
      <c r="O379" s="4" t="str">
        <f t="shared" si="11"/>
        <v/>
      </c>
      <c r="P379" s="4" t="str">
        <f t="array" ref="P379">XLOOKUP(L379,'Dados Funil'!A:A,'Dados Funil'!AM:AM,"")</f>
        <v/>
      </c>
      <c r="Q379" s="4" t="str">
        <f t="array" ref="Q379">XLOOKUP(L379,'Dados Funil'!A:A,'Dados Funil'!AN:AN,"")</f>
        <v/>
      </c>
      <c r="T379" s="7" t="str">
        <f t="shared" si="4"/>
        <v/>
      </c>
      <c r="U379" s="4" t="str">
        <f t="shared" si="12"/>
        <v/>
      </c>
      <c r="V379" s="4" t="str">
        <f t="array" ref="V379">XLOOKUP(R379,'Dados Funil'!$A:$A,'Dados Funil'!$K:$K,"")</f>
        <v/>
      </c>
      <c r="W379" s="4" t="str">
        <f t="array" ref="W379">XLOOKUP(R379,'Dados Funil'!$A:$A,'Dados Funil'!$L:$L,"")</f>
        <v/>
      </c>
      <c r="X379" s="4"/>
      <c r="Y379" s="4"/>
      <c r="Z379" s="7" t="str">
        <f t="shared" si="5"/>
        <v/>
      </c>
      <c r="AA379" s="4" t="str">
        <f t="shared" si="13"/>
        <v/>
      </c>
      <c r="AB379" s="4" t="str">
        <f t="array" ref="AB379">XLOOKUP(X379,'Dados Funil'!A:A,'Dados Funil'!O:O,"")</f>
        <v/>
      </c>
      <c r="AE379" s="7" t="str">
        <f t="shared" si="6"/>
        <v/>
      </c>
      <c r="AG379" s="4" t="str">
        <f t="array" ref="AG379">XLOOKUP(AC379,'Dados Funil'!A:A,'Dados Funil'!AM:AM,"")</f>
        <v/>
      </c>
      <c r="AH379" s="4" t="str">
        <f t="array" ref="AH379">XLOOKUP(AC379,'Dados Funil'!A:A,'Dados Funil'!AN:AN,"")</f>
        <v/>
      </c>
    </row>
    <row r="380">
      <c r="A380" s="4"/>
      <c r="B380" s="4"/>
      <c r="C380" s="7" t="str">
        <f t="shared" si="1"/>
        <v/>
      </c>
      <c r="D380" s="4" t="str">
        <f t="shared" si="9"/>
        <v/>
      </c>
      <c r="E380" s="4" t="str">
        <f t="array" ref="E380">XLOOKUP(A380,'Dados Funil'!$A:$A,'Dados Funil'!$K:$K,"")</f>
        <v/>
      </c>
      <c r="F380" s="4" t="str">
        <f t="array" ref="F380">XLOOKUP(A380,'Dados Funil'!$A:$A,'Dados Funil'!$L:$L,"")</f>
        <v/>
      </c>
      <c r="G380" s="4"/>
      <c r="H380" s="4"/>
      <c r="I380" s="7" t="str">
        <f t="shared" si="2"/>
        <v/>
      </c>
      <c r="J380" s="4" t="str">
        <f t="shared" si="10"/>
        <v/>
      </c>
      <c r="K380" s="4" t="str">
        <f t="array" ref="K380">XLOOKUP(G380,'Dados Funil'!A:A,'Dados Funil'!O:O,"")</f>
        <v/>
      </c>
      <c r="L380" s="4"/>
      <c r="M380" s="4"/>
      <c r="N380" s="7" t="str">
        <f t="shared" si="3"/>
        <v/>
      </c>
      <c r="O380" s="4" t="str">
        <f t="shared" si="11"/>
        <v/>
      </c>
      <c r="P380" s="4" t="str">
        <f t="array" ref="P380">XLOOKUP(L380,'Dados Funil'!A:A,'Dados Funil'!AM:AM,"")</f>
        <v/>
      </c>
      <c r="Q380" s="4" t="str">
        <f t="array" ref="Q380">XLOOKUP(L380,'Dados Funil'!A:A,'Dados Funil'!AN:AN,"")</f>
        <v/>
      </c>
      <c r="T380" s="7" t="str">
        <f t="shared" si="4"/>
        <v/>
      </c>
      <c r="U380" s="4" t="str">
        <f t="shared" si="12"/>
        <v/>
      </c>
      <c r="V380" s="4" t="str">
        <f t="array" ref="V380">XLOOKUP(R380,'Dados Funil'!$A:$A,'Dados Funil'!$K:$K,"")</f>
        <v/>
      </c>
      <c r="W380" s="4" t="str">
        <f t="array" ref="W380">XLOOKUP(R380,'Dados Funil'!$A:$A,'Dados Funil'!$L:$L,"")</f>
        <v/>
      </c>
      <c r="X380" s="4"/>
      <c r="Y380" s="4"/>
      <c r="Z380" s="7" t="str">
        <f t="shared" si="5"/>
        <v/>
      </c>
      <c r="AA380" s="4" t="str">
        <f t="shared" si="13"/>
        <v/>
      </c>
      <c r="AB380" s="4" t="str">
        <f t="array" ref="AB380">XLOOKUP(X380,'Dados Funil'!A:A,'Dados Funil'!O:O,"")</f>
        <v/>
      </c>
      <c r="AE380" s="7" t="str">
        <f t="shared" si="6"/>
        <v/>
      </c>
      <c r="AG380" s="4" t="str">
        <f t="array" ref="AG380">XLOOKUP(AC380,'Dados Funil'!A:A,'Dados Funil'!AM:AM,"")</f>
        <v/>
      </c>
      <c r="AH380" s="4" t="str">
        <f t="array" ref="AH380">XLOOKUP(AC380,'Dados Funil'!A:A,'Dados Funil'!AN:AN,"")</f>
        <v/>
      </c>
    </row>
    <row r="381">
      <c r="A381" s="4"/>
      <c r="B381" s="4"/>
      <c r="C381" s="7" t="str">
        <f t="shared" si="1"/>
        <v/>
      </c>
      <c r="D381" s="4" t="str">
        <f t="shared" si="9"/>
        <v/>
      </c>
      <c r="E381" s="4" t="str">
        <f t="array" ref="E381">XLOOKUP(A381,'Dados Funil'!$A:$A,'Dados Funil'!$K:$K,"")</f>
        <v/>
      </c>
      <c r="F381" s="4" t="str">
        <f t="array" ref="F381">XLOOKUP(A381,'Dados Funil'!$A:$A,'Dados Funil'!$L:$L,"")</f>
        <v/>
      </c>
      <c r="G381" s="4"/>
      <c r="H381" s="4"/>
      <c r="I381" s="7" t="str">
        <f t="shared" si="2"/>
        <v/>
      </c>
      <c r="J381" s="4" t="str">
        <f t="shared" si="10"/>
        <v/>
      </c>
      <c r="K381" s="4" t="str">
        <f t="array" ref="K381">XLOOKUP(G381,'Dados Funil'!A:A,'Dados Funil'!O:O,"")</f>
        <v/>
      </c>
      <c r="L381" s="4"/>
      <c r="M381" s="4"/>
      <c r="N381" s="7" t="str">
        <f t="shared" si="3"/>
        <v/>
      </c>
      <c r="O381" s="4" t="str">
        <f t="shared" si="11"/>
        <v/>
      </c>
      <c r="P381" s="4" t="str">
        <f t="array" ref="P381">XLOOKUP(L381,'Dados Funil'!A:A,'Dados Funil'!AM:AM,"")</f>
        <v/>
      </c>
      <c r="Q381" s="4" t="str">
        <f t="array" ref="Q381">XLOOKUP(L381,'Dados Funil'!A:A,'Dados Funil'!AN:AN,"")</f>
        <v/>
      </c>
      <c r="T381" s="7" t="str">
        <f t="shared" si="4"/>
        <v/>
      </c>
      <c r="U381" s="4" t="str">
        <f t="shared" si="12"/>
        <v/>
      </c>
      <c r="V381" s="4" t="str">
        <f t="array" ref="V381">XLOOKUP(R381,'Dados Funil'!$A:$A,'Dados Funil'!$K:$K,"")</f>
        <v/>
      </c>
      <c r="W381" s="4" t="str">
        <f t="array" ref="W381">XLOOKUP(R381,'Dados Funil'!$A:$A,'Dados Funil'!$L:$L,"")</f>
        <v/>
      </c>
      <c r="X381" s="4"/>
      <c r="Y381" s="4"/>
      <c r="Z381" s="7" t="str">
        <f t="shared" si="5"/>
        <v/>
      </c>
      <c r="AA381" s="4" t="str">
        <f t="shared" si="13"/>
        <v/>
      </c>
      <c r="AB381" s="4" t="str">
        <f t="array" ref="AB381">XLOOKUP(X381,'Dados Funil'!A:A,'Dados Funil'!O:O,"")</f>
        <v/>
      </c>
      <c r="AE381" s="7" t="str">
        <f t="shared" si="6"/>
        <v/>
      </c>
      <c r="AG381" s="4" t="str">
        <f t="array" ref="AG381">XLOOKUP(AC381,'Dados Funil'!A:A,'Dados Funil'!AM:AM,"")</f>
        <v/>
      </c>
      <c r="AH381" s="4" t="str">
        <f t="array" ref="AH381">XLOOKUP(AC381,'Dados Funil'!A:A,'Dados Funil'!AN:AN,"")</f>
        <v/>
      </c>
    </row>
    <row r="382">
      <c r="A382" s="4"/>
      <c r="B382" s="4"/>
      <c r="C382" s="7" t="str">
        <f t="shared" si="1"/>
        <v/>
      </c>
      <c r="D382" s="4" t="str">
        <f t="shared" si="9"/>
        <v/>
      </c>
      <c r="E382" s="4" t="str">
        <f t="array" ref="E382">XLOOKUP(A382,'Dados Funil'!$A:$A,'Dados Funil'!$K:$K,"")</f>
        <v/>
      </c>
      <c r="F382" s="4" t="str">
        <f t="array" ref="F382">XLOOKUP(A382,'Dados Funil'!$A:$A,'Dados Funil'!$L:$L,"")</f>
        <v/>
      </c>
      <c r="G382" s="4"/>
      <c r="H382" s="4"/>
      <c r="I382" s="7" t="str">
        <f t="shared" si="2"/>
        <v/>
      </c>
      <c r="J382" s="4" t="str">
        <f t="shared" si="10"/>
        <v/>
      </c>
      <c r="K382" s="4" t="str">
        <f t="array" ref="K382">XLOOKUP(G382,'Dados Funil'!A:A,'Dados Funil'!O:O,"")</f>
        <v/>
      </c>
      <c r="L382" s="4"/>
      <c r="M382" s="4"/>
      <c r="N382" s="7" t="str">
        <f t="shared" si="3"/>
        <v/>
      </c>
      <c r="O382" s="4" t="str">
        <f t="shared" si="11"/>
        <v/>
      </c>
      <c r="P382" s="4" t="str">
        <f t="array" ref="P382">XLOOKUP(L382,'Dados Funil'!A:A,'Dados Funil'!AM:AM,"")</f>
        <v/>
      </c>
      <c r="Q382" s="4" t="str">
        <f t="array" ref="Q382">XLOOKUP(L382,'Dados Funil'!A:A,'Dados Funil'!AN:AN,"")</f>
        <v/>
      </c>
      <c r="T382" s="7" t="str">
        <f t="shared" si="4"/>
        <v/>
      </c>
      <c r="U382" s="4" t="str">
        <f t="shared" si="12"/>
        <v/>
      </c>
      <c r="V382" s="4" t="str">
        <f t="array" ref="V382">XLOOKUP(R382,'Dados Funil'!$A:$A,'Dados Funil'!$K:$K,"")</f>
        <v/>
      </c>
      <c r="W382" s="4" t="str">
        <f t="array" ref="W382">XLOOKUP(R382,'Dados Funil'!$A:$A,'Dados Funil'!$L:$L,"")</f>
        <v/>
      </c>
      <c r="X382" s="4"/>
      <c r="Y382" s="4"/>
      <c r="Z382" s="7" t="str">
        <f t="shared" si="5"/>
        <v/>
      </c>
      <c r="AA382" s="4" t="str">
        <f t="shared" si="13"/>
        <v/>
      </c>
      <c r="AB382" s="4" t="str">
        <f t="array" ref="AB382">XLOOKUP(X382,'Dados Funil'!A:A,'Dados Funil'!O:O,"")</f>
        <v/>
      </c>
      <c r="AE382" s="7" t="str">
        <f t="shared" si="6"/>
        <v/>
      </c>
      <c r="AG382" s="4" t="str">
        <f t="array" ref="AG382">XLOOKUP(AC382,'Dados Funil'!A:A,'Dados Funil'!AM:AM,"")</f>
        <v/>
      </c>
      <c r="AH382" s="4" t="str">
        <f t="array" ref="AH382">XLOOKUP(AC382,'Dados Funil'!A:A,'Dados Funil'!AN:AN,"")</f>
        <v/>
      </c>
    </row>
    <row r="383">
      <c r="A383" s="4"/>
      <c r="B383" s="4"/>
      <c r="C383" s="7" t="str">
        <f t="shared" si="1"/>
        <v/>
      </c>
      <c r="D383" s="4" t="str">
        <f t="shared" si="9"/>
        <v/>
      </c>
      <c r="E383" s="4" t="str">
        <f t="array" ref="E383">XLOOKUP(A383,'Dados Funil'!$A:$A,'Dados Funil'!$K:$K,"")</f>
        <v/>
      </c>
      <c r="F383" s="4" t="str">
        <f t="array" ref="F383">XLOOKUP(A383,'Dados Funil'!$A:$A,'Dados Funil'!$L:$L,"")</f>
        <v/>
      </c>
      <c r="G383" s="4"/>
      <c r="H383" s="4"/>
      <c r="I383" s="7" t="str">
        <f t="shared" si="2"/>
        <v/>
      </c>
      <c r="J383" s="4" t="str">
        <f t="shared" si="10"/>
        <v/>
      </c>
      <c r="K383" s="4" t="str">
        <f t="array" ref="K383">XLOOKUP(G383,'Dados Funil'!A:A,'Dados Funil'!O:O,"")</f>
        <v/>
      </c>
      <c r="L383" s="4"/>
      <c r="M383" s="4"/>
      <c r="N383" s="7" t="str">
        <f t="shared" si="3"/>
        <v/>
      </c>
      <c r="O383" s="4" t="str">
        <f t="shared" si="11"/>
        <v/>
      </c>
      <c r="P383" s="4" t="str">
        <f t="array" ref="P383">XLOOKUP(L383,'Dados Funil'!A:A,'Dados Funil'!AM:AM,"")</f>
        <v/>
      </c>
      <c r="Q383" s="4" t="str">
        <f t="array" ref="Q383">XLOOKUP(L383,'Dados Funil'!A:A,'Dados Funil'!AN:AN,"")</f>
        <v/>
      </c>
      <c r="T383" s="7" t="str">
        <f t="shared" si="4"/>
        <v/>
      </c>
      <c r="U383" s="4" t="str">
        <f t="shared" si="12"/>
        <v/>
      </c>
      <c r="V383" s="4" t="str">
        <f t="array" ref="V383">XLOOKUP(R383,'Dados Funil'!$A:$A,'Dados Funil'!$K:$K,"")</f>
        <v/>
      </c>
      <c r="W383" s="4" t="str">
        <f t="array" ref="W383">XLOOKUP(R383,'Dados Funil'!$A:$A,'Dados Funil'!$L:$L,"")</f>
        <v/>
      </c>
      <c r="X383" s="4"/>
      <c r="Y383" s="4"/>
      <c r="Z383" s="7" t="str">
        <f t="shared" si="5"/>
        <v/>
      </c>
      <c r="AA383" s="4" t="str">
        <f t="shared" si="13"/>
        <v/>
      </c>
      <c r="AB383" s="4" t="str">
        <f t="array" ref="AB383">XLOOKUP(X383,'Dados Funil'!A:A,'Dados Funil'!O:O,"")</f>
        <v/>
      </c>
      <c r="AE383" s="7" t="str">
        <f t="shared" si="6"/>
        <v/>
      </c>
      <c r="AG383" s="4" t="str">
        <f t="array" ref="AG383">XLOOKUP(AC383,'Dados Funil'!A:A,'Dados Funil'!AM:AM,"")</f>
        <v/>
      </c>
      <c r="AH383" s="4" t="str">
        <f t="array" ref="AH383">XLOOKUP(AC383,'Dados Funil'!A:A,'Dados Funil'!AN:AN,"")</f>
        <v/>
      </c>
    </row>
    <row r="384">
      <c r="A384" s="4"/>
      <c r="B384" s="4"/>
      <c r="C384" s="7" t="str">
        <f t="shared" si="1"/>
        <v/>
      </c>
      <c r="D384" s="4" t="str">
        <f t="shared" si="9"/>
        <v/>
      </c>
      <c r="E384" s="4" t="str">
        <f t="array" ref="E384">XLOOKUP(A384,'Dados Funil'!$A:$A,'Dados Funil'!$K:$K,"")</f>
        <v/>
      </c>
      <c r="F384" s="4" t="str">
        <f t="array" ref="F384">XLOOKUP(A384,'Dados Funil'!$A:$A,'Dados Funil'!$L:$L,"")</f>
        <v/>
      </c>
      <c r="G384" s="4"/>
      <c r="H384" s="4"/>
      <c r="I384" s="7" t="str">
        <f t="shared" si="2"/>
        <v/>
      </c>
      <c r="J384" s="4" t="str">
        <f t="shared" si="10"/>
        <v/>
      </c>
      <c r="K384" s="4" t="str">
        <f t="array" ref="K384">XLOOKUP(G384,'Dados Funil'!A:A,'Dados Funil'!O:O,"")</f>
        <v/>
      </c>
      <c r="L384" s="4"/>
      <c r="M384" s="4"/>
      <c r="N384" s="7" t="str">
        <f t="shared" si="3"/>
        <v/>
      </c>
      <c r="O384" s="4" t="str">
        <f t="shared" si="11"/>
        <v/>
      </c>
      <c r="P384" s="4" t="str">
        <f t="array" ref="P384">XLOOKUP(L384,'Dados Funil'!A:A,'Dados Funil'!AM:AM,"")</f>
        <v/>
      </c>
      <c r="Q384" s="4" t="str">
        <f t="array" ref="Q384">XLOOKUP(L384,'Dados Funil'!A:A,'Dados Funil'!AN:AN,"")</f>
        <v/>
      </c>
      <c r="T384" s="7" t="str">
        <f t="shared" si="4"/>
        <v/>
      </c>
      <c r="U384" s="4" t="str">
        <f t="shared" si="12"/>
        <v/>
      </c>
      <c r="V384" s="4" t="str">
        <f t="array" ref="V384">XLOOKUP(R384,'Dados Funil'!$A:$A,'Dados Funil'!$K:$K,"")</f>
        <v/>
      </c>
      <c r="W384" s="4" t="str">
        <f t="array" ref="W384">XLOOKUP(R384,'Dados Funil'!$A:$A,'Dados Funil'!$L:$L,"")</f>
        <v/>
      </c>
      <c r="X384" s="4"/>
      <c r="Y384" s="4"/>
      <c r="Z384" s="7" t="str">
        <f t="shared" si="5"/>
        <v/>
      </c>
      <c r="AA384" s="4" t="str">
        <f t="shared" si="13"/>
        <v/>
      </c>
      <c r="AB384" s="4" t="str">
        <f t="array" ref="AB384">XLOOKUP(X384,'Dados Funil'!A:A,'Dados Funil'!O:O,"")</f>
        <v/>
      </c>
      <c r="AE384" s="7" t="str">
        <f t="shared" si="6"/>
        <v/>
      </c>
      <c r="AG384" s="4" t="str">
        <f t="array" ref="AG384">XLOOKUP(AC384,'Dados Funil'!A:A,'Dados Funil'!AM:AM,"")</f>
        <v/>
      </c>
      <c r="AH384" s="4" t="str">
        <f t="array" ref="AH384">XLOOKUP(AC384,'Dados Funil'!A:A,'Dados Funil'!AN:AN,"")</f>
        <v/>
      </c>
    </row>
    <row r="385">
      <c r="A385" s="4"/>
      <c r="B385" s="4"/>
      <c r="C385" s="7" t="str">
        <f t="shared" si="1"/>
        <v/>
      </c>
      <c r="D385" s="4" t="str">
        <f t="shared" si="9"/>
        <v/>
      </c>
      <c r="E385" s="4" t="str">
        <f t="array" ref="E385">XLOOKUP(A385,'Dados Funil'!$A:$A,'Dados Funil'!$K:$K,"")</f>
        <v/>
      </c>
      <c r="F385" s="4" t="str">
        <f t="array" ref="F385">XLOOKUP(A385,'Dados Funil'!$A:$A,'Dados Funil'!$L:$L,"")</f>
        <v/>
      </c>
      <c r="G385" s="4"/>
      <c r="H385" s="4"/>
      <c r="I385" s="7" t="str">
        <f t="shared" si="2"/>
        <v/>
      </c>
      <c r="J385" s="4" t="str">
        <f t="shared" si="10"/>
        <v/>
      </c>
      <c r="K385" s="4" t="str">
        <f t="array" ref="K385">XLOOKUP(G385,'Dados Funil'!A:A,'Dados Funil'!O:O,"")</f>
        <v/>
      </c>
      <c r="L385" s="4"/>
      <c r="M385" s="4"/>
      <c r="N385" s="7" t="str">
        <f t="shared" si="3"/>
        <v/>
      </c>
      <c r="O385" s="4" t="str">
        <f t="shared" si="11"/>
        <v/>
      </c>
      <c r="P385" s="4" t="str">
        <f t="array" ref="P385">XLOOKUP(L385,'Dados Funil'!A:A,'Dados Funil'!AM:AM,"")</f>
        <v/>
      </c>
      <c r="Q385" s="4" t="str">
        <f t="array" ref="Q385">XLOOKUP(L385,'Dados Funil'!A:A,'Dados Funil'!AN:AN,"")</f>
        <v/>
      </c>
      <c r="T385" s="7" t="str">
        <f t="shared" si="4"/>
        <v/>
      </c>
      <c r="U385" s="4" t="str">
        <f t="shared" si="12"/>
        <v/>
      </c>
      <c r="V385" s="4" t="str">
        <f t="array" ref="V385">XLOOKUP(R385,'Dados Funil'!$A:$A,'Dados Funil'!$K:$K,"")</f>
        <v/>
      </c>
      <c r="W385" s="4" t="str">
        <f t="array" ref="W385">XLOOKUP(R385,'Dados Funil'!$A:$A,'Dados Funil'!$L:$L,"")</f>
        <v/>
      </c>
      <c r="X385" s="4"/>
      <c r="Y385" s="4"/>
      <c r="Z385" s="7" t="str">
        <f t="shared" si="5"/>
        <v/>
      </c>
      <c r="AA385" s="4" t="str">
        <f t="shared" si="13"/>
        <v/>
      </c>
      <c r="AB385" s="4" t="str">
        <f t="array" ref="AB385">XLOOKUP(X385,'Dados Funil'!A:A,'Dados Funil'!O:O,"")</f>
        <v/>
      </c>
      <c r="AE385" s="7" t="str">
        <f t="shared" si="6"/>
        <v/>
      </c>
      <c r="AG385" s="4" t="str">
        <f t="array" ref="AG385">XLOOKUP(AC385,'Dados Funil'!A:A,'Dados Funil'!AM:AM,"")</f>
        <v/>
      </c>
      <c r="AH385" s="4" t="str">
        <f t="array" ref="AH385">XLOOKUP(AC385,'Dados Funil'!A:A,'Dados Funil'!AN:AN,"")</f>
        <v/>
      </c>
    </row>
    <row r="386">
      <c r="A386" s="4"/>
      <c r="B386" s="4"/>
      <c r="C386" s="7" t="str">
        <f t="shared" si="1"/>
        <v/>
      </c>
      <c r="D386" s="4" t="str">
        <f t="shared" si="9"/>
        <v/>
      </c>
      <c r="E386" s="4" t="str">
        <f t="array" ref="E386">XLOOKUP(A386,'Dados Funil'!$A:$A,'Dados Funil'!$K:$K,"")</f>
        <v/>
      </c>
      <c r="F386" s="4" t="str">
        <f t="array" ref="F386">XLOOKUP(A386,'Dados Funil'!$A:$A,'Dados Funil'!$L:$L,"")</f>
        <v/>
      </c>
      <c r="G386" s="4"/>
      <c r="H386" s="4"/>
      <c r="I386" s="7" t="str">
        <f t="shared" si="2"/>
        <v/>
      </c>
      <c r="J386" s="4" t="str">
        <f t="shared" si="10"/>
        <v/>
      </c>
      <c r="K386" s="4" t="str">
        <f t="array" ref="K386">XLOOKUP(G386,'Dados Funil'!A:A,'Dados Funil'!O:O,"")</f>
        <v/>
      </c>
      <c r="L386" s="4"/>
      <c r="M386" s="4"/>
      <c r="N386" s="7" t="str">
        <f t="shared" si="3"/>
        <v/>
      </c>
      <c r="O386" s="4" t="str">
        <f t="shared" si="11"/>
        <v/>
      </c>
      <c r="P386" s="4" t="str">
        <f t="array" ref="P386">XLOOKUP(L386,'Dados Funil'!A:A,'Dados Funil'!AM:AM,"")</f>
        <v/>
      </c>
      <c r="Q386" s="4" t="str">
        <f t="array" ref="Q386">XLOOKUP(L386,'Dados Funil'!A:A,'Dados Funil'!AN:AN,"")</f>
        <v/>
      </c>
      <c r="T386" s="7" t="str">
        <f t="shared" si="4"/>
        <v/>
      </c>
      <c r="U386" s="4" t="str">
        <f t="shared" si="12"/>
        <v/>
      </c>
      <c r="V386" s="4" t="str">
        <f t="array" ref="V386">XLOOKUP(R386,'Dados Funil'!$A:$A,'Dados Funil'!$K:$K,"")</f>
        <v/>
      </c>
      <c r="W386" s="4" t="str">
        <f t="array" ref="W386">XLOOKUP(R386,'Dados Funil'!$A:$A,'Dados Funil'!$L:$L,"")</f>
        <v/>
      </c>
      <c r="X386" s="4"/>
      <c r="Y386" s="4"/>
      <c r="Z386" s="7" t="str">
        <f t="shared" si="5"/>
        <v/>
      </c>
      <c r="AA386" s="4" t="str">
        <f t="shared" si="13"/>
        <v/>
      </c>
      <c r="AB386" s="4" t="str">
        <f t="array" ref="AB386">XLOOKUP(X386,'Dados Funil'!A:A,'Dados Funil'!O:O,"")</f>
        <v/>
      </c>
      <c r="AE386" s="7" t="str">
        <f t="shared" si="6"/>
        <v/>
      </c>
      <c r="AG386" s="4" t="str">
        <f t="array" ref="AG386">XLOOKUP(AC386,'Dados Funil'!A:A,'Dados Funil'!AM:AM,"")</f>
        <v/>
      </c>
      <c r="AH386" s="4" t="str">
        <f t="array" ref="AH386">XLOOKUP(AC386,'Dados Funil'!A:A,'Dados Funil'!AN:AN,"")</f>
        <v/>
      </c>
    </row>
    <row r="387">
      <c r="A387" s="4"/>
      <c r="B387" s="4"/>
      <c r="C387" s="7" t="str">
        <f t="shared" si="1"/>
        <v/>
      </c>
      <c r="D387" s="4" t="str">
        <f t="shared" si="9"/>
        <v/>
      </c>
      <c r="E387" s="4" t="str">
        <f t="array" ref="E387">XLOOKUP(A387,'Dados Funil'!$A:$A,'Dados Funil'!$K:$K,"")</f>
        <v/>
      </c>
      <c r="F387" s="4" t="str">
        <f t="array" ref="F387">XLOOKUP(A387,'Dados Funil'!$A:$A,'Dados Funil'!$L:$L,"")</f>
        <v/>
      </c>
      <c r="G387" s="4"/>
      <c r="H387" s="4"/>
      <c r="I387" s="7" t="str">
        <f t="shared" si="2"/>
        <v/>
      </c>
      <c r="J387" s="4" t="str">
        <f t="shared" si="10"/>
        <v/>
      </c>
      <c r="K387" s="4" t="str">
        <f t="array" ref="K387">XLOOKUP(G387,'Dados Funil'!A:A,'Dados Funil'!O:O,"")</f>
        <v/>
      </c>
      <c r="L387" s="4"/>
      <c r="M387" s="4"/>
      <c r="N387" s="7" t="str">
        <f t="shared" si="3"/>
        <v/>
      </c>
      <c r="O387" s="4" t="str">
        <f t="shared" si="11"/>
        <v/>
      </c>
      <c r="P387" s="4" t="str">
        <f t="array" ref="P387">XLOOKUP(L387,'Dados Funil'!A:A,'Dados Funil'!AM:AM,"")</f>
        <v/>
      </c>
      <c r="Q387" s="4" t="str">
        <f t="array" ref="Q387">XLOOKUP(L387,'Dados Funil'!A:A,'Dados Funil'!AN:AN,"")</f>
        <v/>
      </c>
      <c r="T387" s="7" t="str">
        <f t="shared" si="4"/>
        <v/>
      </c>
      <c r="U387" s="4" t="str">
        <f t="shared" si="12"/>
        <v/>
      </c>
      <c r="V387" s="4" t="str">
        <f t="array" ref="V387">XLOOKUP(R387,'Dados Funil'!$A:$A,'Dados Funil'!$K:$K,"")</f>
        <v/>
      </c>
      <c r="W387" s="4" t="str">
        <f t="array" ref="W387">XLOOKUP(R387,'Dados Funil'!$A:$A,'Dados Funil'!$L:$L,"")</f>
        <v/>
      </c>
      <c r="X387" s="4"/>
      <c r="Y387" s="4"/>
      <c r="Z387" s="7" t="str">
        <f t="shared" si="5"/>
        <v/>
      </c>
      <c r="AA387" s="4" t="str">
        <f t="shared" si="13"/>
        <v/>
      </c>
      <c r="AB387" s="4" t="str">
        <f t="array" ref="AB387">XLOOKUP(X387,'Dados Funil'!A:A,'Dados Funil'!O:O,"")</f>
        <v/>
      </c>
      <c r="AE387" s="7" t="str">
        <f t="shared" si="6"/>
        <v/>
      </c>
      <c r="AG387" s="4" t="str">
        <f t="array" ref="AG387">XLOOKUP(AC387,'Dados Funil'!A:A,'Dados Funil'!AM:AM,"")</f>
        <v/>
      </c>
      <c r="AH387" s="4" t="str">
        <f t="array" ref="AH387">XLOOKUP(AC387,'Dados Funil'!A:A,'Dados Funil'!AN:AN,"")</f>
        <v/>
      </c>
    </row>
    <row r="388">
      <c r="A388" s="4"/>
      <c r="B388" s="4"/>
      <c r="C388" s="7" t="str">
        <f t="shared" si="1"/>
        <v/>
      </c>
      <c r="D388" s="4" t="str">
        <f t="shared" si="9"/>
        <v/>
      </c>
      <c r="E388" s="4" t="str">
        <f t="array" ref="E388">XLOOKUP(A388,'Dados Funil'!$A:$A,'Dados Funil'!$K:$K,"")</f>
        <v/>
      </c>
      <c r="F388" s="4" t="str">
        <f t="array" ref="F388">XLOOKUP(A388,'Dados Funil'!$A:$A,'Dados Funil'!$L:$L,"")</f>
        <v/>
      </c>
      <c r="G388" s="4"/>
      <c r="H388" s="4"/>
      <c r="I388" s="7" t="str">
        <f t="shared" si="2"/>
        <v/>
      </c>
      <c r="J388" s="4" t="str">
        <f t="shared" si="10"/>
        <v/>
      </c>
      <c r="K388" s="4" t="str">
        <f t="array" ref="K388">XLOOKUP(G388,'Dados Funil'!A:A,'Dados Funil'!O:O,"")</f>
        <v/>
      </c>
      <c r="L388" s="4"/>
      <c r="M388" s="4"/>
      <c r="N388" s="7" t="str">
        <f t="shared" si="3"/>
        <v/>
      </c>
      <c r="O388" s="4" t="str">
        <f t="shared" si="11"/>
        <v/>
      </c>
      <c r="P388" s="4" t="str">
        <f t="array" ref="P388">XLOOKUP(L388,'Dados Funil'!A:A,'Dados Funil'!AM:AM,"")</f>
        <v/>
      </c>
      <c r="Q388" s="4" t="str">
        <f t="array" ref="Q388">XLOOKUP(L388,'Dados Funil'!A:A,'Dados Funil'!AN:AN,"")</f>
        <v/>
      </c>
      <c r="T388" s="7" t="str">
        <f t="shared" si="4"/>
        <v/>
      </c>
      <c r="U388" s="4" t="str">
        <f t="shared" si="12"/>
        <v/>
      </c>
      <c r="V388" s="4" t="str">
        <f t="array" ref="V388">XLOOKUP(R388,'Dados Funil'!$A:$A,'Dados Funil'!$K:$K,"")</f>
        <v/>
      </c>
      <c r="W388" s="4" t="str">
        <f t="array" ref="W388">XLOOKUP(R388,'Dados Funil'!$A:$A,'Dados Funil'!$L:$L,"")</f>
        <v/>
      </c>
      <c r="X388" s="4"/>
      <c r="Y388" s="4"/>
      <c r="Z388" s="7" t="str">
        <f t="shared" si="5"/>
        <v/>
      </c>
      <c r="AA388" s="4" t="str">
        <f t="shared" si="13"/>
        <v/>
      </c>
      <c r="AB388" s="4" t="str">
        <f t="array" ref="AB388">XLOOKUP(X388,'Dados Funil'!A:A,'Dados Funil'!O:O,"")</f>
        <v/>
      </c>
      <c r="AE388" s="7" t="str">
        <f t="shared" si="6"/>
        <v/>
      </c>
      <c r="AG388" s="4" t="str">
        <f t="array" ref="AG388">XLOOKUP(AC388,'Dados Funil'!A:A,'Dados Funil'!AM:AM,"")</f>
        <v/>
      </c>
      <c r="AH388" s="4" t="str">
        <f t="array" ref="AH388">XLOOKUP(AC388,'Dados Funil'!A:A,'Dados Funil'!AN:AN,"")</f>
        <v/>
      </c>
    </row>
    <row r="389">
      <c r="A389" s="4"/>
      <c r="B389" s="4"/>
      <c r="C389" s="7" t="str">
        <f t="shared" si="1"/>
        <v/>
      </c>
      <c r="D389" s="4" t="str">
        <f t="shared" si="9"/>
        <v/>
      </c>
      <c r="E389" s="4" t="str">
        <f t="array" ref="E389">XLOOKUP(A389,'Dados Funil'!$A:$A,'Dados Funil'!$K:$K,"")</f>
        <v/>
      </c>
      <c r="F389" s="4" t="str">
        <f t="array" ref="F389">XLOOKUP(A389,'Dados Funil'!$A:$A,'Dados Funil'!$L:$L,"")</f>
        <v/>
      </c>
      <c r="G389" s="4"/>
      <c r="H389" s="4"/>
      <c r="I389" s="7" t="str">
        <f t="shared" si="2"/>
        <v/>
      </c>
      <c r="J389" s="4" t="str">
        <f t="shared" si="10"/>
        <v/>
      </c>
      <c r="K389" s="4" t="str">
        <f t="array" ref="K389">XLOOKUP(G389,'Dados Funil'!A:A,'Dados Funil'!O:O,"")</f>
        <v/>
      </c>
      <c r="L389" s="4"/>
      <c r="M389" s="4"/>
      <c r="N389" s="7" t="str">
        <f t="shared" si="3"/>
        <v/>
      </c>
      <c r="O389" s="4" t="str">
        <f t="shared" si="11"/>
        <v/>
      </c>
      <c r="P389" s="4" t="str">
        <f t="array" ref="P389">XLOOKUP(L389,'Dados Funil'!A:A,'Dados Funil'!AM:AM,"")</f>
        <v/>
      </c>
      <c r="Q389" s="4" t="str">
        <f t="array" ref="Q389">XLOOKUP(L389,'Dados Funil'!A:A,'Dados Funil'!AN:AN,"")</f>
        <v/>
      </c>
      <c r="T389" s="7" t="str">
        <f t="shared" si="4"/>
        <v/>
      </c>
      <c r="U389" s="4" t="str">
        <f t="shared" si="12"/>
        <v/>
      </c>
      <c r="V389" s="4" t="str">
        <f t="array" ref="V389">XLOOKUP(R389,'Dados Funil'!$A:$A,'Dados Funil'!$K:$K,"")</f>
        <v/>
      </c>
      <c r="W389" s="4" t="str">
        <f t="array" ref="W389">XLOOKUP(R389,'Dados Funil'!$A:$A,'Dados Funil'!$L:$L,"")</f>
        <v/>
      </c>
      <c r="X389" s="4"/>
      <c r="Y389" s="4"/>
      <c r="Z389" s="7" t="str">
        <f t="shared" si="5"/>
        <v/>
      </c>
      <c r="AA389" s="4" t="str">
        <f t="shared" si="13"/>
        <v/>
      </c>
      <c r="AB389" s="4" t="str">
        <f t="array" ref="AB389">XLOOKUP(X389,'Dados Funil'!A:A,'Dados Funil'!O:O,"")</f>
        <v/>
      </c>
      <c r="AE389" s="7" t="str">
        <f t="shared" si="6"/>
        <v/>
      </c>
      <c r="AG389" s="4" t="str">
        <f t="array" ref="AG389">XLOOKUP(AC389,'Dados Funil'!A:A,'Dados Funil'!AM:AM,"")</f>
        <v/>
      </c>
      <c r="AH389" s="4" t="str">
        <f t="array" ref="AH389">XLOOKUP(AC389,'Dados Funil'!A:A,'Dados Funil'!AN:AN,"")</f>
        <v/>
      </c>
    </row>
    <row r="390">
      <c r="A390" s="4"/>
      <c r="B390" s="4"/>
      <c r="C390" s="7" t="str">
        <f t="shared" si="1"/>
        <v/>
      </c>
      <c r="D390" s="4" t="str">
        <f t="shared" si="9"/>
        <v/>
      </c>
      <c r="E390" s="4" t="str">
        <f t="array" ref="E390">XLOOKUP(A390,'Dados Funil'!$A:$A,'Dados Funil'!$K:$K,"")</f>
        <v/>
      </c>
      <c r="F390" s="4" t="str">
        <f t="array" ref="F390">XLOOKUP(A390,'Dados Funil'!$A:$A,'Dados Funil'!$L:$L,"")</f>
        <v/>
      </c>
      <c r="G390" s="4"/>
      <c r="H390" s="4"/>
      <c r="I390" s="7" t="str">
        <f t="shared" si="2"/>
        <v/>
      </c>
      <c r="J390" s="4" t="str">
        <f t="shared" si="10"/>
        <v/>
      </c>
      <c r="K390" s="4" t="str">
        <f t="array" ref="K390">XLOOKUP(G390,'Dados Funil'!A:A,'Dados Funil'!O:O,"")</f>
        <v/>
      </c>
      <c r="L390" s="4"/>
      <c r="M390" s="4"/>
      <c r="N390" s="7" t="str">
        <f t="shared" si="3"/>
        <v/>
      </c>
      <c r="O390" s="4" t="str">
        <f t="shared" si="11"/>
        <v/>
      </c>
      <c r="P390" s="4" t="str">
        <f t="array" ref="P390">XLOOKUP(L390,'Dados Funil'!A:A,'Dados Funil'!AM:AM,"")</f>
        <v/>
      </c>
      <c r="Q390" s="4" t="str">
        <f t="array" ref="Q390">XLOOKUP(L390,'Dados Funil'!A:A,'Dados Funil'!AN:AN,"")</f>
        <v/>
      </c>
      <c r="T390" s="7" t="str">
        <f t="shared" si="4"/>
        <v/>
      </c>
      <c r="U390" s="4" t="str">
        <f t="shared" si="12"/>
        <v/>
      </c>
      <c r="V390" s="4" t="str">
        <f t="array" ref="V390">XLOOKUP(R390,'Dados Funil'!$A:$A,'Dados Funil'!$K:$K,"")</f>
        <v/>
      </c>
      <c r="W390" s="4" t="str">
        <f t="array" ref="W390">XLOOKUP(R390,'Dados Funil'!$A:$A,'Dados Funil'!$L:$L,"")</f>
        <v/>
      </c>
      <c r="X390" s="4"/>
      <c r="Y390" s="4"/>
      <c r="Z390" s="7" t="str">
        <f t="shared" si="5"/>
        <v/>
      </c>
      <c r="AA390" s="4" t="str">
        <f t="shared" si="13"/>
        <v/>
      </c>
      <c r="AB390" s="4" t="str">
        <f t="array" ref="AB390">XLOOKUP(X390,'Dados Funil'!A:A,'Dados Funil'!O:O,"")</f>
        <v/>
      </c>
      <c r="AE390" s="7" t="str">
        <f t="shared" si="6"/>
        <v/>
      </c>
      <c r="AG390" s="4" t="str">
        <f t="array" ref="AG390">XLOOKUP(AC390,'Dados Funil'!A:A,'Dados Funil'!AM:AM,"")</f>
        <v/>
      </c>
      <c r="AH390" s="4" t="str">
        <f t="array" ref="AH390">XLOOKUP(AC390,'Dados Funil'!A:A,'Dados Funil'!AN:AN,"")</f>
        <v/>
      </c>
    </row>
    <row r="391">
      <c r="A391" s="4"/>
      <c r="B391" s="4"/>
      <c r="C391" s="7" t="str">
        <f t="shared" si="1"/>
        <v/>
      </c>
      <c r="D391" s="4" t="str">
        <f t="shared" si="9"/>
        <v/>
      </c>
      <c r="E391" s="4" t="str">
        <f t="array" ref="E391">XLOOKUP(A391,'Dados Funil'!$A:$A,'Dados Funil'!$K:$K,"")</f>
        <v/>
      </c>
      <c r="F391" s="4" t="str">
        <f t="array" ref="F391">XLOOKUP(A391,'Dados Funil'!$A:$A,'Dados Funil'!$L:$L,"")</f>
        <v/>
      </c>
      <c r="G391" s="4"/>
      <c r="H391" s="4"/>
      <c r="I391" s="7" t="str">
        <f t="shared" si="2"/>
        <v/>
      </c>
      <c r="J391" s="4" t="str">
        <f t="shared" si="10"/>
        <v/>
      </c>
      <c r="K391" s="4" t="str">
        <f t="array" ref="K391">XLOOKUP(G391,'Dados Funil'!A:A,'Dados Funil'!O:O,"")</f>
        <v/>
      </c>
      <c r="L391" s="4"/>
      <c r="M391" s="4"/>
      <c r="N391" s="7" t="str">
        <f t="shared" si="3"/>
        <v/>
      </c>
      <c r="O391" s="4" t="str">
        <f t="shared" si="11"/>
        <v/>
      </c>
      <c r="P391" s="4" t="str">
        <f t="array" ref="P391">XLOOKUP(L391,'Dados Funil'!A:A,'Dados Funil'!AM:AM,"")</f>
        <v/>
      </c>
      <c r="Q391" s="4" t="str">
        <f t="array" ref="Q391">XLOOKUP(L391,'Dados Funil'!A:A,'Dados Funil'!AN:AN,"")</f>
        <v/>
      </c>
      <c r="T391" s="7" t="str">
        <f t="shared" si="4"/>
        <v/>
      </c>
      <c r="U391" s="4" t="str">
        <f t="shared" si="12"/>
        <v/>
      </c>
      <c r="V391" s="4" t="str">
        <f t="array" ref="V391">XLOOKUP(R391,'Dados Funil'!$A:$A,'Dados Funil'!$K:$K,"")</f>
        <v/>
      </c>
      <c r="W391" s="4" t="str">
        <f t="array" ref="W391">XLOOKUP(R391,'Dados Funil'!$A:$A,'Dados Funil'!$L:$L,"")</f>
        <v/>
      </c>
      <c r="X391" s="4"/>
      <c r="Y391" s="4"/>
      <c r="Z391" s="7" t="str">
        <f t="shared" si="5"/>
        <v/>
      </c>
      <c r="AA391" s="4" t="str">
        <f t="shared" si="13"/>
        <v/>
      </c>
      <c r="AB391" s="4" t="str">
        <f t="array" ref="AB391">XLOOKUP(X391,'Dados Funil'!A:A,'Dados Funil'!O:O,"")</f>
        <v/>
      </c>
      <c r="AE391" s="7" t="str">
        <f t="shared" si="6"/>
        <v/>
      </c>
      <c r="AG391" s="4" t="str">
        <f t="array" ref="AG391">XLOOKUP(AC391,'Dados Funil'!A:A,'Dados Funil'!AM:AM,"")</f>
        <v/>
      </c>
      <c r="AH391" s="4" t="str">
        <f t="array" ref="AH391">XLOOKUP(AC391,'Dados Funil'!A:A,'Dados Funil'!AN:AN,"")</f>
        <v/>
      </c>
    </row>
    <row r="392">
      <c r="A392" s="4"/>
      <c r="B392" s="4"/>
      <c r="C392" s="7" t="str">
        <f t="shared" si="1"/>
        <v/>
      </c>
      <c r="D392" s="4" t="str">
        <f t="shared" si="9"/>
        <v/>
      </c>
      <c r="E392" s="4" t="str">
        <f t="array" ref="E392">XLOOKUP(A392,'Dados Funil'!$A:$A,'Dados Funil'!$K:$K,"")</f>
        <v/>
      </c>
      <c r="F392" s="4" t="str">
        <f t="array" ref="F392">XLOOKUP(A392,'Dados Funil'!$A:$A,'Dados Funil'!$L:$L,"")</f>
        <v/>
      </c>
      <c r="G392" s="4"/>
      <c r="H392" s="4"/>
      <c r="I392" s="7" t="str">
        <f t="shared" si="2"/>
        <v/>
      </c>
      <c r="J392" s="4" t="str">
        <f t="shared" si="10"/>
        <v/>
      </c>
      <c r="K392" s="4" t="str">
        <f t="array" ref="K392">XLOOKUP(G392,'Dados Funil'!A:A,'Dados Funil'!O:O,"")</f>
        <v/>
      </c>
      <c r="L392" s="4"/>
      <c r="M392" s="4"/>
      <c r="N392" s="7" t="str">
        <f t="shared" si="3"/>
        <v/>
      </c>
      <c r="O392" s="4" t="str">
        <f t="shared" si="11"/>
        <v/>
      </c>
      <c r="P392" s="4" t="str">
        <f t="array" ref="P392">XLOOKUP(L392,'Dados Funil'!A:A,'Dados Funil'!AM:AM,"")</f>
        <v/>
      </c>
      <c r="Q392" s="4" t="str">
        <f t="array" ref="Q392">XLOOKUP(L392,'Dados Funil'!A:A,'Dados Funil'!AN:AN,"")</f>
        <v/>
      </c>
      <c r="T392" s="7" t="str">
        <f t="shared" si="4"/>
        <v/>
      </c>
      <c r="U392" s="4" t="str">
        <f t="shared" si="12"/>
        <v/>
      </c>
      <c r="V392" s="4" t="str">
        <f t="array" ref="V392">XLOOKUP(R392,'Dados Funil'!$A:$A,'Dados Funil'!$K:$K,"")</f>
        <v/>
      </c>
      <c r="W392" s="4" t="str">
        <f t="array" ref="W392">XLOOKUP(R392,'Dados Funil'!$A:$A,'Dados Funil'!$L:$L,"")</f>
        <v/>
      </c>
      <c r="X392" s="4"/>
      <c r="Y392" s="4"/>
      <c r="Z392" s="7" t="str">
        <f t="shared" si="5"/>
        <v/>
      </c>
      <c r="AA392" s="4" t="str">
        <f t="shared" si="13"/>
        <v/>
      </c>
      <c r="AB392" s="4" t="str">
        <f t="array" ref="AB392">XLOOKUP(X392,'Dados Funil'!A:A,'Dados Funil'!O:O,"")</f>
        <v/>
      </c>
      <c r="AE392" s="7" t="str">
        <f t="shared" si="6"/>
        <v/>
      </c>
      <c r="AG392" s="4" t="str">
        <f t="array" ref="AG392">XLOOKUP(AC392,'Dados Funil'!A:A,'Dados Funil'!AM:AM,"")</f>
        <v/>
      </c>
      <c r="AH392" s="4" t="str">
        <f t="array" ref="AH392">XLOOKUP(AC392,'Dados Funil'!A:A,'Dados Funil'!AN:AN,"")</f>
        <v/>
      </c>
    </row>
    <row r="393">
      <c r="A393" s="4"/>
      <c r="B393" s="4"/>
      <c r="C393" s="7" t="str">
        <f t="shared" si="1"/>
        <v/>
      </c>
      <c r="D393" s="4" t="str">
        <f t="shared" si="9"/>
        <v/>
      </c>
      <c r="E393" s="4" t="str">
        <f t="array" ref="E393">XLOOKUP(A393,'Dados Funil'!$A:$A,'Dados Funil'!$K:$K,"")</f>
        <v/>
      </c>
      <c r="F393" s="4" t="str">
        <f t="array" ref="F393">XLOOKUP(A393,'Dados Funil'!$A:$A,'Dados Funil'!$L:$L,"")</f>
        <v/>
      </c>
      <c r="G393" s="4"/>
      <c r="H393" s="4"/>
      <c r="I393" s="7" t="str">
        <f t="shared" si="2"/>
        <v/>
      </c>
      <c r="J393" s="4" t="str">
        <f t="shared" si="10"/>
        <v/>
      </c>
      <c r="K393" s="4" t="str">
        <f t="array" ref="K393">XLOOKUP(G393,'Dados Funil'!A:A,'Dados Funil'!O:O,"")</f>
        <v/>
      </c>
      <c r="L393" s="4"/>
      <c r="M393" s="4"/>
      <c r="N393" s="7" t="str">
        <f t="shared" si="3"/>
        <v/>
      </c>
      <c r="O393" s="4" t="str">
        <f t="shared" si="11"/>
        <v/>
      </c>
      <c r="P393" s="4" t="str">
        <f t="array" ref="P393">XLOOKUP(L393,'Dados Funil'!A:A,'Dados Funil'!AM:AM,"")</f>
        <v/>
      </c>
      <c r="Q393" s="4" t="str">
        <f t="array" ref="Q393">XLOOKUP(L393,'Dados Funil'!A:A,'Dados Funil'!AN:AN,"")</f>
        <v/>
      </c>
      <c r="T393" s="7" t="str">
        <f t="shared" si="4"/>
        <v/>
      </c>
      <c r="U393" s="4" t="str">
        <f t="shared" si="12"/>
        <v/>
      </c>
      <c r="V393" s="4" t="str">
        <f t="array" ref="V393">XLOOKUP(R393,'Dados Funil'!$A:$A,'Dados Funil'!$K:$K,"")</f>
        <v/>
      </c>
      <c r="W393" s="4" t="str">
        <f t="array" ref="W393">XLOOKUP(R393,'Dados Funil'!$A:$A,'Dados Funil'!$L:$L,"")</f>
        <v/>
      </c>
      <c r="X393" s="4"/>
      <c r="Y393" s="4"/>
      <c r="Z393" s="7" t="str">
        <f t="shared" si="5"/>
        <v/>
      </c>
      <c r="AA393" s="4" t="str">
        <f t="shared" si="13"/>
        <v/>
      </c>
      <c r="AB393" s="4" t="str">
        <f t="array" ref="AB393">XLOOKUP(X393,'Dados Funil'!A:A,'Dados Funil'!O:O,"")</f>
        <v/>
      </c>
      <c r="AE393" s="7" t="str">
        <f t="shared" si="6"/>
        <v/>
      </c>
      <c r="AG393" s="4" t="str">
        <f t="array" ref="AG393">XLOOKUP(AC393,'Dados Funil'!A:A,'Dados Funil'!AM:AM,"")</f>
        <v/>
      </c>
      <c r="AH393" s="4" t="str">
        <f t="array" ref="AH393">XLOOKUP(AC393,'Dados Funil'!A:A,'Dados Funil'!AN:AN,"")</f>
        <v/>
      </c>
    </row>
    <row r="394">
      <c r="A394" s="4"/>
      <c r="B394" s="4"/>
      <c r="C394" s="7" t="str">
        <f t="shared" si="1"/>
        <v/>
      </c>
      <c r="D394" s="4" t="str">
        <f t="shared" si="9"/>
        <v/>
      </c>
      <c r="E394" s="4" t="str">
        <f t="array" ref="E394">XLOOKUP(A394,'Dados Funil'!$A:$A,'Dados Funil'!$K:$K,"")</f>
        <v/>
      </c>
      <c r="F394" s="4" t="str">
        <f t="array" ref="F394">XLOOKUP(A394,'Dados Funil'!$A:$A,'Dados Funil'!$L:$L,"")</f>
        <v/>
      </c>
      <c r="G394" s="4"/>
      <c r="H394" s="4"/>
      <c r="I394" s="7" t="str">
        <f t="shared" si="2"/>
        <v/>
      </c>
      <c r="J394" s="4" t="str">
        <f t="shared" si="10"/>
        <v/>
      </c>
      <c r="K394" s="4" t="str">
        <f t="array" ref="K394">XLOOKUP(G394,'Dados Funil'!A:A,'Dados Funil'!O:O,"")</f>
        <v/>
      </c>
      <c r="L394" s="4"/>
      <c r="M394" s="4"/>
      <c r="N394" s="7" t="str">
        <f t="shared" si="3"/>
        <v/>
      </c>
      <c r="O394" s="4" t="str">
        <f t="shared" si="11"/>
        <v/>
      </c>
      <c r="P394" s="4" t="str">
        <f t="array" ref="P394">XLOOKUP(L394,'Dados Funil'!A:A,'Dados Funil'!AM:AM,"")</f>
        <v/>
      </c>
      <c r="Q394" s="4" t="str">
        <f t="array" ref="Q394">XLOOKUP(L394,'Dados Funil'!A:A,'Dados Funil'!AN:AN,"")</f>
        <v/>
      </c>
      <c r="T394" s="7" t="str">
        <f t="shared" si="4"/>
        <v/>
      </c>
      <c r="U394" s="4" t="str">
        <f t="shared" si="12"/>
        <v/>
      </c>
      <c r="V394" s="4" t="str">
        <f t="array" ref="V394">XLOOKUP(R394,'Dados Funil'!$A:$A,'Dados Funil'!$K:$K,"")</f>
        <v/>
      </c>
      <c r="W394" s="4" t="str">
        <f t="array" ref="W394">XLOOKUP(R394,'Dados Funil'!$A:$A,'Dados Funil'!$L:$L,"")</f>
        <v/>
      </c>
      <c r="X394" s="4"/>
      <c r="Y394" s="4"/>
      <c r="Z394" s="7" t="str">
        <f t="shared" si="5"/>
        <v/>
      </c>
      <c r="AA394" s="4" t="str">
        <f t="shared" si="13"/>
        <v/>
      </c>
      <c r="AB394" s="4" t="str">
        <f t="array" ref="AB394">XLOOKUP(X394,'Dados Funil'!A:A,'Dados Funil'!O:O,"")</f>
        <v/>
      </c>
      <c r="AE394" s="7" t="str">
        <f t="shared" si="6"/>
        <v/>
      </c>
      <c r="AG394" s="4" t="str">
        <f t="array" ref="AG394">XLOOKUP(AC394,'Dados Funil'!A:A,'Dados Funil'!AM:AM,"")</f>
        <v/>
      </c>
      <c r="AH394" s="4" t="str">
        <f t="array" ref="AH394">XLOOKUP(AC394,'Dados Funil'!A:A,'Dados Funil'!AN:AN,"")</f>
        <v/>
      </c>
    </row>
    <row r="395">
      <c r="A395" s="4"/>
      <c r="B395" s="4"/>
      <c r="C395" s="7" t="str">
        <f t="shared" si="1"/>
        <v/>
      </c>
      <c r="D395" s="4" t="str">
        <f t="shared" si="9"/>
        <v/>
      </c>
      <c r="E395" s="4" t="str">
        <f t="array" ref="E395">XLOOKUP(A395,'Dados Funil'!$A:$A,'Dados Funil'!$K:$K,"")</f>
        <v/>
      </c>
      <c r="F395" s="4" t="str">
        <f t="array" ref="F395">XLOOKUP(A395,'Dados Funil'!$A:$A,'Dados Funil'!$L:$L,"")</f>
        <v/>
      </c>
      <c r="G395" s="4"/>
      <c r="H395" s="4"/>
      <c r="I395" s="7" t="str">
        <f t="shared" si="2"/>
        <v/>
      </c>
      <c r="J395" s="4" t="str">
        <f t="shared" si="10"/>
        <v/>
      </c>
      <c r="K395" s="4" t="str">
        <f t="array" ref="K395">XLOOKUP(G395,'Dados Funil'!A:A,'Dados Funil'!O:O,"")</f>
        <v/>
      </c>
      <c r="L395" s="4"/>
      <c r="M395" s="4"/>
      <c r="N395" s="7" t="str">
        <f t="shared" si="3"/>
        <v/>
      </c>
      <c r="O395" s="4" t="str">
        <f t="shared" si="11"/>
        <v/>
      </c>
      <c r="P395" s="4" t="str">
        <f t="array" ref="P395">XLOOKUP(L395,'Dados Funil'!A:A,'Dados Funil'!AM:AM,"")</f>
        <v/>
      </c>
      <c r="Q395" s="4" t="str">
        <f t="array" ref="Q395">XLOOKUP(L395,'Dados Funil'!A:A,'Dados Funil'!AN:AN,"")</f>
        <v/>
      </c>
      <c r="T395" s="7" t="str">
        <f t="shared" si="4"/>
        <v/>
      </c>
      <c r="U395" s="4" t="str">
        <f t="shared" si="12"/>
        <v/>
      </c>
      <c r="V395" s="4" t="str">
        <f t="array" ref="V395">XLOOKUP(R395,'Dados Funil'!$A:$A,'Dados Funil'!$K:$K,"")</f>
        <v/>
      </c>
      <c r="W395" s="4" t="str">
        <f t="array" ref="W395">XLOOKUP(R395,'Dados Funil'!$A:$A,'Dados Funil'!$L:$L,"")</f>
        <v/>
      </c>
      <c r="X395" s="4"/>
      <c r="Y395" s="4"/>
      <c r="Z395" s="7" t="str">
        <f t="shared" si="5"/>
        <v/>
      </c>
      <c r="AA395" s="4" t="str">
        <f t="shared" si="13"/>
        <v/>
      </c>
      <c r="AB395" s="4" t="str">
        <f t="array" ref="AB395">XLOOKUP(X395,'Dados Funil'!A:A,'Dados Funil'!O:O,"")</f>
        <v/>
      </c>
      <c r="AE395" s="7" t="str">
        <f t="shared" si="6"/>
        <v/>
      </c>
      <c r="AG395" s="4" t="str">
        <f t="array" ref="AG395">XLOOKUP(AC395,'Dados Funil'!A:A,'Dados Funil'!AM:AM,"")</f>
        <v/>
      </c>
      <c r="AH395" s="4" t="str">
        <f t="array" ref="AH395">XLOOKUP(AC395,'Dados Funil'!A:A,'Dados Funil'!AN:AN,"")</f>
        <v/>
      </c>
    </row>
    <row r="396">
      <c r="A396" s="4"/>
      <c r="B396" s="4"/>
      <c r="C396" s="7" t="str">
        <f t="shared" si="1"/>
        <v/>
      </c>
      <c r="D396" s="4" t="str">
        <f t="shared" si="9"/>
        <v/>
      </c>
      <c r="E396" s="4" t="str">
        <f t="array" ref="E396">XLOOKUP(A396,'Dados Funil'!$A:$A,'Dados Funil'!$K:$K,"")</f>
        <v/>
      </c>
      <c r="F396" s="4" t="str">
        <f t="array" ref="F396">XLOOKUP(A396,'Dados Funil'!$A:$A,'Dados Funil'!$L:$L,"")</f>
        <v/>
      </c>
      <c r="G396" s="4"/>
      <c r="H396" s="4"/>
      <c r="I396" s="7" t="str">
        <f t="shared" si="2"/>
        <v/>
      </c>
      <c r="J396" s="4" t="str">
        <f t="shared" si="10"/>
        <v/>
      </c>
      <c r="K396" s="4" t="str">
        <f t="array" ref="K396">XLOOKUP(G396,'Dados Funil'!A:A,'Dados Funil'!O:O,"")</f>
        <v/>
      </c>
      <c r="L396" s="4"/>
      <c r="M396" s="4"/>
      <c r="N396" s="7" t="str">
        <f t="shared" si="3"/>
        <v/>
      </c>
      <c r="O396" s="4" t="str">
        <f t="shared" si="11"/>
        <v/>
      </c>
      <c r="P396" s="4" t="str">
        <f t="array" ref="P396">XLOOKUP(L396,'Dados Funil'!A:A,'Dados Funil'!AM:AM,"")</f>
        <v/>
      </c>
      <c r="Q396" s="4" t="str">
        <f t="array" ref="Q396">XLOOKUP(L396,'Dados Funil'!A:A,'Dados Funil'!AN:AN,"")</f>
        <v/>
      </c>
      <c r="T396" s="7" t="str">
        <f t="shared" si="4"/>
        <v/>
      </c>
      <c r="U396" s="4" t="str">
        <f t="shared" si="12"/>
        <v/>
      </c>
      <c r="V396" s="4" t="str">
        <f t="array" ref="V396">XLOOKUP(R396,'Dados Funil'!$A:$A,'Dados Funil'!$K:$K,"")</f>
        <v/>
      </c>
      <c r="W396" s="4" t="str">
        <f t="array" ref="W396">XLOOKUP(R396,'Dados Funil'!$A:$A,'Dados Funil'!$L:$L,"")</f>
        <v/>
      </c>
      <c r="X396" s="4"/>
      <c r="Y396" s="4"/>
      <c r="Z396" s="7" t="str">
        <f t="shared" si="5"/>
        <v/>
      </c>
      <c r="AA396" s="4" t="str">
        <f t="shared" si="13"/>
        <v/>
      </c>
      <c r="AB396" s="4" t="str">
        <f t="array" ref="AB396">XLOOKUP(X396,'Dados Funil'!A:A,'Dados Funil'!O:O,"")</f>
        <v/>
      </c>
      <c r="AE396" s="7" t="str">
        <f t="shared" si="6"/>
        <v/>
      </c>
      <c r="AG396" s="4" t="str">
        <f t="array" ref="AG396">XLOOKUP(AC396,'Dados Funil'!A:A,'Dados Funil'!AM:AM,"")</f>
        <v/>
      </c>
      <c r="AH396" s="4" t="str">
        <f t="array" ref="AH396">XLOOKUP(AC396,'Dados Funil'!A:A,'Dados Funil'!AN:AN,"")</f>
        <v/>
      </c>
    </row>
    <row r="397">
      <c r="A397" s="4"/>
      <c r="B397" s="4"/>
      <c r="C397" s="7" t="str">
        <f t="shared" si="1"/>
        <v/>
      </c>
      <c r="D397" s="4" t="str">
        <f t="shared" si="9"/>
        <v/>
      </c>
      <c r="E397" s="4" t="str">
        <f t="array" ref="E397">XLOOKUP(A397,'Dados Funil'!$A:$A,'Dados Funil'!$K:$K,"")</f>
        <v/>
      </c>
      <c r="F397" s="4" t="str">
        <f t="array" ref="F397">XLOOKUP(A397,'Dados Funil'!$A:$A,'Dados Funil'!$L:$L,"")</f>
        <v/>
      </c>
      <c r="G397" s="4"/>
      <c r="H397" s="4"/>
      <c r="I397" s="7" t="str">
        <f t="shared" si="2"/>
        <v/>
      </c>
      <c r="J397" s="4" t="str">
        <f t="shared" si="10"/>
        <v/>
      </c>
      <c r="K397" s="4" t="str">
        <f t="array" ref="K397">XLOOKUP(G397,'Dados Funil'!A:A,'Dados Funil'!O:O,"")</f>
        <v/>
      </c>
      <c r="L397" s="4"/>
      <c r="M397" s="4"/>
      <c r="N397" s="7" t="str">
        <f t="shared" si="3"/>
        <v/>
      </c>
      <c r="O397" s="4" t="str">
        <f t="shared" si="11"/>
        <v/>
      </c>
      <c r="P397" s="4" t="str">
        <f t="array" ref="P397">XLOOKUP(L397,'Dados Funil'!A:A,'Dados Funil'!AM:AM,"")</f>
        <v/>
      </c>
      <c r="Q397" s="4" t="str">
        <f t="array" ref="Q397">XLOOKUP(L397,'Dados Funil'!A:A,'Dados Funil'!AN:AN,"")</f>
        <v/>
      </c>
      <c r="T397" s="7" t="str">
        <f t="shared" si="4"/>
        <v/>
      </c>
      <c r="U397" s="4" t="str">
        <f t="shared" si="12"/>
        <v/>
      </c>
      <c r="V397" s="4" t="str">
        <f t="array" ref="V397">XLOOKUP(R397,'Dados Funil'!$A:$A,'Dados Funil'!$K:$K,"")</f>
        <v/>
      </c>
      <c r="W397" s="4" t="str">
        <f t="array" ref="W397">XLOOKUP(R397,'Dados Funil'!$A:$A,'Dados Funil'!$L:$L,"")</f>
        <v/>
      </c>
      <c r="X397" s="4"/>
      <c r="Y397" s="4"/>
      <c r="Z397" s="7" t="str">
        <f t="shared" si="5"/>
        <v/>
      </c>
      <c r="AA397" s="4" t="str">
        <f t="shared" si="13"/>
        <v/>
      </c>
      <c r="AB397" s="4" t="str">
        <f t="array" ref="AB397">XLOOKUP(X397,'Dados Funil'!A:A,'Dados Funil'!O:O,"")</f>
        <v/>
      </c>
      <c r="AE397" s="7" t="str">
        <f t="shared" si="6"/>
        <v/>
      </c>
      <c r="AG397" s="4" t="str">
        <f t="array" ref="AG397">XLOOKUP(AC397,'Dados Funil'!A:A,'Dados Funil'!AM:AM,"")</f>
        <v/>
      </c>
      <c r="AH397" s="4" t="str">
        <f t="array" ref="AH397">XLOOKUP(AC397,'Dados Funil'!A:A,'Dados Funil'!AN:AN,"")</f>
        <v/>
      </c>
    </row>
    <row r="398">
      <c r="A398" s="4"/>
      <c r="B398" s="4"/>
      <c r="C398" s="7" t="str">
        <f t="shared" si="1"/>
        <v/>
      </c>
      <c r="D398" s="4" t="str">
        <f t="shared" si="9"/>
        <v/>
      </c>
      <c r="E398" s="4" t="str">
        <f t="array" ref="E398">XLOOKUP(A398,'Dados Funil'!$A:$A,'Dados Funil'!$K:$K,"")</f>
        <v/>
      </c>
      <c r="F398" s="4" t="str">
        <f t="array" ref="F398">XLOOKUP(A398,'Dados Funil'!$A:$A,'Dados Funil'!$L:$L,"")</f>
        <v/>
      </c>
      <c r="G398" s="4"/>
      <c r="H398" s="4"/>
      <c r="I398" s="7" t="str">
        <f t="shared" si="2"/>
        <v/>
      </c>
      <c r="J398" s="4" t="str">
        <f t="shared" si="10"/>
        <v/>
      </c>
      <c r="K398" s="4" t="str">
        <f t="array" ref="K398">XLOOKUP(G398,'Dados Funil'!A:A,'Dados Funil'!O:O,"")</f>
        <v/>
      </c>
      <c r="L398" s="4"/>
      <c r="M398" s="4"/>
      <c r="N398" s="7" t="str">
        <f t="shared" si="3"/>
        <v/>
      </c>
      <c r="O398" s="4" t="str">
        <f t="shared" si="11"/>
        <v/>
      </c>
      <c r="P398" s="4" t="str">
        <f t="array" ref="P398">XLOOKUP(L398,'Dados Funil'!A:A,'Dados Funil'!AM:AM,"")</f>
        <v/>
      </c>
      <c r="Q398" s="4" t="str">
        <f t="array" ref="Q398">XLOOKUP(L398,'Dados Funil'!A:A,'Dados Funil'!AN:AN,"")</f>
        <v/>
      </c>
      <c r="T398" s="7" t="str">
        <f t="shared" si="4"/>
        <v/>
      </c>
      <c r="U398" s="4" t="str">
        <f t="shared" si="12"/>
        <v/>
      </c>
      <c r="V398" s="4" t="str">
        <f t="array" ref="V398">XLOOKUP(R398,'Dados Funil'!$A:$A,'Dados Funil'!$K:$K,"")</f>
        <v/>
      </c>
      <c r="W398" s="4" t="str">
        <f t="array" ref="W398">XLOOKUP(R398,'Dados Funil'!$A:$A,'Dados Funil'!$L:$L,"")</f>
        <v/>
      </c>
      <c r="X398" s="4"/>
      <c r="Y398" s="4"/>
      <c r="Z398" s="7" t="str">
        <f t="shared" si="5"/>
        <v/>
      </c>
      <c r="AA398" s="4" t="str">
        <f t="shared" si="13"/>
        <v/>
      </c>
      <c r="AB398" s="4" t="str">
        <f t="array" ref="AB398">XLOOKUP(X398,'Dados Funil'!A:A,'Dados Funil'!O:O,"")</f>
        <v/>
      </c>
      <c r="AE398" s="7" t="str">
        <f t="shared" si="6"/>
        <v/>
      </c>
      <c r="AG398" s="4" t="str">
        <f t="array" ref="AG398">XLOOKUP(AC398,'Dados Funil'!A:A,'Dados Funil'!AM:AM,"")</f>
        <v/>
      </c>
      <c r="AH398" s="4" t="str">
        <f t="array" ref="AH398">XLOOKUP(AC398,'Dados Funil'!A:A,'Dados Funil'!AN:AN,"")</f>
        <v/>
      </c>
    </row>
    <row r="399">
      <c r="A399" s="4"/>
      <c r="B399" s="4"/>
      <c r="C399" s="7" t="str">
        <f t="shared" si="1"/>
        <v/>
      </c>
      <c r="D399" s="4" t="str">
        <f t="shared" si="9"/>
        <v/>
      </c>
      <c r="E399" s="4" t="str">
        <f t="array" ref="E399">XLOOKUP(A399,'Dados Funil'!$A:$A,'Dados Funil'!$K:$K,"")</f>
        <v/>
      </c>
      <c r="F399" s="4" t="str">
        <f t="array" ref="F399">XLOOKUP(A399,'Dados Funil'!$A:$A,'Dados Funil'!$L:$L,"")</f>
        <v/>
      </c>
      <c r="G399" s="4"/>
      <c r="H399" s="4"/>
      <c r="I399" s="7" t="str">
        <f t="shared" si="2"/>
        <v/>
      </c>
      <c r="J399" s="4" t="str">
        <f t="shared" si="10"/>
        <v/>
      </c>
      <c r="K399" s="4" t="str">
        <f t="array" ref="K399">XLOOKUP(G399,'Dados Funil'!A:A,'Dados Funil'!O:O,"")</f>
        <v/>
      </c>
      <c r="L399" s="4"/>
      <c r="M399" s="4"/>
      <c r="N399" s="7" t="str">
        <f t="shared" si="3"/>
        <v/>
      </c>
      <c r="O399" s="4" t="str">
        <f t="shared" si="11"/>
        <v/>
      </c>
      <c r="P399" s="4" t="str">
        <f t="array" ref="P399">XLOOKUP(L399,'Dados Funil'!A:A,'Dados Funil'!AM:AM,"")</f>
        <v/>
      </c>
      <c r="Q399" s="4" t="str">
        <f t="array" ref="Q399">XLOOKUP(L399,'Dados Funil'!A:A,'Dados Funil'!AN:AN,"")</f>
        <v/>
      </c>
      <c r="T399" s="7" t="str">
        <f t="shared" si="4"/>
        <v/>
      </c>
      <c r="U399" s="4" t="str">
        <f t="shared" si="12"/>
        <v/>
      </c>
      <c r="V399" s="4" t="str">
        <f t="array" ref="V399">XLOOKUP(R399,'Dados Funil'!$A:$A,'Dados Funil'!$K:$K,"")</f>
        <v/>
      </c>
      <c r="W399" s="4" t="str">
        <f t="array" ref="W399">XLOOKUP(R399,'Dados Funil'!$A:$A,'Dados Funil'!$L:$L,"")</f>
        <v/>
      </c>
      <c r="X399" s="4"/>
      <c r="Y399" s="4"/>
      <c r="Z399" s="7" t="str">
        <f t="shared" si="5"/>
        <v/>
      </c>
      <c r="AA399" s="4" t="str">
        <f t="shared" si="13"/>
        <v/>
      </c>
      <c r="AB399" s="4" t="str">
        <f t="array" ref="AB399">XLOOKUP(X399,'Dados Funil'!A:A,'Dados Funil'!O:O,"")</f>
        <v/>
      </c>
      <c r="AE399" s="7" t="str">
        <f t="shared" si="6"/>
        <v/>
      </c>
      <c r="AG399" s="4" t="str">
        <f t="array" ref="AG399">XLOOKUP(AC399,'Dados Funil'!A:A,'Dados Funil'!AM:AM,"")</f>
        <v/>
      </c>
      <c r="AH399" s="4" t="str">
        <f t="array" ref="AH399">XLOOKUP(AC399,'Dados Funil'!A:A,'Dados Funil'!AN:AN,"")</f>
        <v/>
      </c>
    </row>
    <row r="400">
      <c r="A400" s="4"/>
      <c r="B400" s="4"/>
      <c r="C400" s="7" t="str">
        <f t="shared" si="1"/>
        <v/>
      </c>
      <c r="D400" s="4" t="str">
        <f t="shared" si="9"/>
        <v/>
      </c>
      <c r="E400" s="4" t="str">
        <f t="array" ref="E400">XLOOKUP(A400,'Dados Funil'!$A:$A,'Dados Funil'!$K:$K,"")</f>
        <v/>
      </c>
      <c r="F400" s="4" t="str">
        <f t="array" ref="F400">XLOOKUP(A400,'Dados Funil'!$A:$A,'Dados Funil'!$L:$L,"")</f>
        <v/>
      </c>
      <c r="G400" s="4"/>
      <c r="H400" s="4"/>
      <c r="I400" s="7" t="str">
        <f t="shared" si="2"/>
        <v/>
      </c>
      <c r="J400" s="4" t="str">
        <f t="shared" si="10"/>
        <v/>
      </c>
      <c r="K400" s="4" t="str">
        <f t="array" ref="K400">XLOOKUP(G400,'Dados Funil'!A:A,'Dados Funil'!O:O,"")</f>
        <v/>
      </c>
      <c r="L400" s="4"/>
      <c r="M400" s="4"/>
      <c r="N400" s="7" t="str">
        <f t="shared" si="3"/>
        <v/>
      </c>
      <c r="O400" s="4" t="str">
        <f t="shared" si="11"/>
        <v/>
      </c>
      <c r="P400" s="4" t="str">
        <f t="array" ref="P400">XLOOKUP(L400,'Dados Funil'!A:A,'Dados Funil'!AM:AM,"")</f>
        <v/>
      </c>
      <c r="Q400" s="4" t="str">
        <f t="array" ref="Q400">XLOOKUP(L400,'Dados Funil'!A:A,'Dados Funil'!AN:AN,"")</f>
        <v/>
      </c>
      <c r="T400" s="7" t="str">
        <f t="shared" si="4"/>
        <v/>
      </c>
      <c r="U400" s="4" t="str">
        <f t="shared" si="12"/>
        <v/>
      </c>
      <c r="V400" s="4" t="str">
        <f t="array" ref="V400">XLOOKUP(R400,'Dados Funil'!$A:$A,'Dados Funil'!$K:$K,"")</f>
        <v/>
      </c>
      <c r="W400" s="4" t="str">
        <f t="array" ref="W400">XLOOKUP(R400,'Dados Funil'!$A:$A,'Dados Funil'!$L:$L,"")</f>
        <v/>
      </c>
      <c r="X400" s="4"/>
      <c r="Y400" s="4"/>
      <c r="Z400" s="7" t="str">
        <f t="shared" si="5"/>
        <v/>
      </c>
      <c r="AA400" s="4" t="str">
        <f t="shared" si="13"/>
        <v/>
      </c>
      <c r="AB400" s="4" t="str">
        <f t="array" ref="AB400">XLOOKUP(X400,'Dados Funil'!A:A,'Dados Funil'!O:O,"")</f>
        <v/>
      </c>
      <c r="AE400" s="7" t="str">
        <f t="shared" si="6"/>
        <v/>
      </c>
      <c r="AG400" s="4" t="str">
        <f t="array" ref="AG400">XLOOKUP(AC400,'Dados Funil'!A:A,'Dados Funil'!AM:AM,"")</f>
        <v/>
      </c>
      <c r="AH400" s="4" t="str">
        <f t="array" ref="AH400">XLOOKUP(AC400,'Dados Funil'!A:A,'Dados Funil'!AN:AN,"")</f>
        <v/>
      </c>
    </row>
    <row r="401">
      <c r="A401" s="4"/>
      <c r="B401" s="4"/>
      <c r="C401" s="7" t="str">
        <f t="shared" si="1"/>
        <v/>
      </c>
      <c r="D401" s="4" t="str">
        <f t="shared" si="9"/>
        <v/>
      </c>
      <c r="E401" s="4" t="str">
        <f t="array" ref="E401">XLOOKUP(A401,'Dados Funil'!$A:$A,'Dados Funil'!$K:$K,"")</f>
        <v/>
      </c>
      <c r="F401" s="4" t="str">
        <f t="array" ref="F401">XLOOKUP(A401,'Dados Funil'!$A:$A,'Dados Funil'!$L:$L,"")</f>
        <v/>
      </c>
      <c r="G401" s="4"/>
      <c r="H401" s="4"/>
      <c r="I401" s="7" t="str">
        <f t="shared" si="2"/>
        <v/>
      </c>
      <c r="J401" s="4" t="str">
        <f t="shared" si="10"/>
        <v/>
      </c>
      <c r="K401" s="4" t="str">
        <f t="array" ref="K401">XLOOKUP(G401,'Dados Funil'!A:A,'Dados Funil'!O:O,"")</f>
        <v/>
      </c>
      <c r="L401" s="4"/>
      <c r="M401" s="4"/>
      <c r="N401" s="7" t="str">
        <f t="shared" si="3"/>
        <v/>
      </c>
      <c r="O401" s="4" t="str">
        <f t="shared" si="11"/>
        <v/>
      </c>
      <c r="P401" s="4" t="str">
        <f t="array" ref="P401">XLOOKUP(L401,'Dados Funil'!A:A,'Dados Funil'!AM:AM,"")</f>
        <v/>
      </c>
      <c r="Q401" s="4" t="str">
        <f t="array" ref="Q401">XLOOKUP(L401,'Dados Funil'!A:A,'Dados Funil'!AN:AN,"")</f>
        <v/>
      </c>
      <c r="T401" s="7" t="str">
        <f t="shared" si="4"/>
        <v/>
      </c>
      <c r="U401" s="4" t="str">
        <f t="shared" si="12"/>
        <v/>
      </c>
      <c r="V401" s="4" t="str">
        <f t="array" ref="V401">XLOOKUP(R401,'Dados Funil'!$A:$A,'Dados Funil'!$K:$K,"")</f>
        <v/>
      </c>
      <c r="W401" s="4" t="str">
        <f t="array" ref="W401">XLOOKUP(R401,'Dados Funil'!$A:$A,'Dados Funil'!$L:$L,"")</f>
        <v/>
      </c>
      <c r="X401" s="4"/>
      <c r="Y401" s="4"/>
      <c r="Z401" s="7" t="str">
        <f t="shared" si="5"/>
        <v/>
      </c>
      <c r="AA401" s="4" t="str">
        <f t="shared" si="13"/>
        <v/>
      </c>
      <c r="AB401" s="4" t="str">
        <f t="array" ref="AB401">XLOOKUP(X401,'Dados Funil'!A:A,'Dados Funil'!O:O,"")</f>
        <v/>
      </c>
      <c r="AE401" s="7" t="str">
        <f t="shared" si="6"/>
        <v/>
      </c>
      <c r="AG401" s="4" t="str">
        <f t="array" ref="AG401">XLOOKUP(AC401,'Dados Funil'!A:A,'Dados Funil'!AM:AM,"")</f>
        <v/>
      </c>
      <c r="AH401" s="4" t="str">
        <f t="array" ref="AH401">XLOOKUP(AC401,'Dados Funil'!A:A,'Dados Funil'!AN:AN,"")</f>
        <v/>
      </c>
    </row>
    <row r="402">
      <c r="A402" s="4"/>
      <c r="B402" s="4"/>
      <c r="C402" s="7" t="str">
        <f t="shared" si="1"/>
        <v/>
      </c>
      <c r="D402" s="4" t="str">
        <f t="shared" si="9"/>
        <v/>
      </c>
      <c r="E402" s="4" t="str">
        <f t="array" ref="E402">XLOOKUP(A402,'Dados Funil'!$A:$A,'Dados Funil'!$K:$K,"")</f>
        <v/>
      </c>
      <c r="F402" s="4" t="str">
        <f t="array" ref="F402">XLOOKUP(A402,'Dados Funil'!$A:$A,'Dados Funil'!$L:$L,"")</f>
        <v/>
      </c>
      <c r="G402" s="4"/>
      <c r="H402" s="4"/>
      <c r="I402" s="7" t="str">
        <f t="shared" si="2"/>
        <v/>
      </c>
      <c r="J402" s="4" t="str">
        <f t="shared" si="10"/>
        <v/>
      </c>
      <c r="K402" s="4" t="str">
        <f t="array" ref="K402">XLOOKUP(G402,'Dados Funil'!A:A,'Dados Funil'!O:O,"")</f>
        <v/>
      </c>
      <c r="L402" s="4"/>
      <c r="M402" s="4"/>
      <c r="N402" s="7" t="str">
        <f t="shared" si="3"/>
        <v/>
      </c>
      <c r="O402" s="4" t="str">
        <f t="shared" si="11"/>
        <v/>
      </c>
      <c r="P402" s="4" t="str">
        <f t="array" ref="P402">XLOOKUP(L402,'Dados Funil'!A:A,'Dados Funil'!AM:AM,"")</f>
        <v/>
      </c>
      <c r="Q402" s="4" t="str">
        <f t="array" ref="Q402">XLOOKUP(L402,'Dados Funil'!A:A,'Dados Funil'!AN:AN,"")</f>
        <v/>
      </c>
      <c r="T402" s="7" t="str">
        <f t="shared" si="4"/>
        <v/>
      </c>
      <c r="U402" s="4" t="str">
        <f t="shared" si="12"/>
        <v/>
      </c>
      <c r="V402" s="4" t="str">
        <f t="array" ref="V402">XLOOKUP(R402,'Dados Funil'!$A:$A,'Dados Funil'!$K:$K,"")</f>
        <v/>
      </c>
      <c r="W402" s="4" t="str">
        <f t="array" ref="W402">XLOOKUP(R402,'Dados Funil'!$A:$A,'Dados Funil'!$L:$L,"")</f>
        <v/>
      </c>
      <c r="X402" s="4"/>
      <c r="Y402" s="4"/>
      <c r="Z402" s="7" t="str">
        <f t="shared" si="5"/>
        <v/>
      </c>
      <c r="AA402" s="4" t="str">
        <f t="shared" si="13"/>
        <v/>
      </c>
      <c r="AB402" s="4" t="str">
        <f t="array" ref="AB402">XLOOKUP(X402,'Dados Funil'!A:A,'Dados Funil'!O:O,"")</f>
        <v/>
      </c>
      <c r="AE402" s="7" t="str">
        <f t="shared" si="6"/>
        <v/>
      </c>
      <c r="AG402" s="4" t="str">
        <f t="array" ref="AG402">XLOOKUP(AC402,'Dados Funil'!A:A,'Dados Funil'!AM:AM,"")</f>
        <v/>
      </c>
      <c r="AH402" s="4" t="str">
        <f t="array" ref="AH402">XLOOKUP(AC402,'Dados Funil'!A:A,'Dados Funil'!AN:AN,"")</f>
        <v/>
      </c>
    </row>
    <row r="403">
      <c r="A403" s="4"/>
      <c r="B403" s="4"/>
      <c r="C403" s="7" t="str">
        <f t="shared" si="1"/>
        <v/>
      </c>
      <c r="D403" s="4" t="str">
        <f t="shared" si="9"/>
        <v/>
      </c>
      <c r="E403" s="4" t="str">
        <f t="array" ref="E403">XLOOKUP(A403,'Dados Funil'!$A:$A,'Dados Funil'!$K:$K,"")</f>
        <v/>
      </c>
      <c r="F403" s="4" t="str">
        <f t="array" ref="F403">XLOOKUP(A403,'Dados Funil'!$A:$A,'Dados Funil'!$L:$L,"")</f>
        <v/>
      </c>
      <c r="G403" s="4"/>
      <c r="H403" s="4"/>
      <c r="I403" s="7" t="str">
        <f t="shared" si="2"/>
        <v/>
      </c>
      <c r="J403" s="4" t="str">
        <f t="shared" si="10"/>
        <v/>
      </c>
      <c r="K403" s="4" t="str">
        <f t="array" ref="K403">XLOOKUP(G403,'Dados Funil'!A:A,'Dados Funil'!O:O,"")</f>
        <v/>
      </c>
      <c r="L403" s="4"/>
      <c r="M403" s="4"/>
      <c r="N403" s="7" t="str">
        <f t="shared" si="3"/>
        <v/>
      </c>
      <c r="O403" s="4" t="str">
        <f t="shared" si="11"/>
        <v/>
      </c>
      <c r="P403" s="4" t="str">
        <f t="array" ref="P403">XLOOKUP(L403,'Dados Funil'!A:A,'Dados Funil'!AM:AM,"")</f>
        <v/>
      </c>
      <c r="Q403" s="4" t="str">
        <f t="array" ref="Q403">XLOOKUP(L403,'Dados Funil'!A:A,'Dados Funil'!AN:AN,"")</f>
        <v/>
      </c>
      <c r="T403" s="7" t="str">
        <f t="shared" si="4"/>
        <v/>
      </c>
      <c r="U403" s="4" t="str">
        <f t="shared" si="12"/>
        <v/>
      </c>
      <c r="V403" s="4" t="str">
        <f t="array" ref="V403">XLOOKUP(R403,'Dados Funil'!$A:$A,'Dados Funil'!$K:$K,"")</f>
        <v/>
      </c>
      <c r="W403" s="4" t="str">
        <f t="array" ref="W403">XLOOKUP(R403,'Dados Funil'!$A:$A,'Dados Funil'!$L:$L,"")</f>
        <v/>
      </c>
      <c r="X403" s="4"/>
      <c r="Y403" s="4"/>
      <c r="Z403" s="7" t="str">
        <f t="shared" si="5"/>
        <v/>
      </c>
      <c r="AA403" s="4" t="str">
        <f t="shared" si="13"/>
        <v/>
      </c>
      <c r="AB403" s="4" t="str">
        <f t="array" ref="AB403">XLOOKUP(X403,'Dados Funil'!A:A,'Dados Funil'!O:O,"")</f>
        <v/>
      </c>
      <c r="AE403" s="7" t="str">
        <f t="shared" si="6"/>
        <v/>
      </c>
      <c r="AG403" s="4" t="str">
        <f t="array" ref="AG403">XLOOKUP(AC403,'Dados Funil'!A:A,'Dados Funil'!AM:AM,"")</f>
        <v/>
      </c>
      <c r="AH403" s="4" t="str">
        <f t="array" ref="AH403">XLOOKUP(AC403,'Dados Funil'!A:A,'Dados Funil'!AN:AN,"")</f>
        <v/>
      </c>
    </row>
    <row r="404">
      <c r="A404" s="4"/>
      <c r="B404" s="4"/>
      <c r="C404" s="7" t="str">
        <f t="shared" si="1"/>
        <v/>
      </c>
      <c r="D404" s="4" t="str">
        <f t="shared" si="9"/>
        <v/>
      </c>
      <c r="E404" s="4" t="str">
        <f t="array" ref="E404">XLOOKUP(A404,'Dados Funil'!$A:$A,'Dados Funil'!$K:$K,"")</f>
        <v/>
      </c>
      <c r="F404" s="4" t="str">
        <f t="array" ref="F404">XLOOKUP(A404,'Dados Funil'!$A:$A,'Dados Funil'!$L:$L,"")</f>
        <v/>
      </c>
      <c r="G404" s="4"/>
      <c r="H404" s="4"/>
      <c r="I404" s="7" t="str">
        <f t="shared" si="2"/>
        <v/>
      </c>
      <c r="J404" s="4" t="str">
        <f t="shared" si="10"/>
        <v/>
      </c>
      <c r="K404" s="4" t="str">
        <f t="array" ref="K404">XLOOKUP(G404,'Dados Funil'!A:A,'Dados Funil'!O:O,"")</f>
        <v/>
      </c>
      <c r="L404" s="4"/>
      <c r="M404" s="4"/>
      <c r="N404" s="7" t="str">
        <f t="shared" si="3"/>
        <v/>
      </c>
      <c r="O404" s="4" t="str">
        <f t="shared" si="11"/>
        <v/>
      </c>
      <c r="P404" s="4" t="str">
        <f t="array" ref="P404">XLOOKUP(L404,'Dados Funil'!A:A,'Dados Funil'!AM:AM,"")</f>
        <v/>
      </c>
      <c r="Q404" s="4" t="str">
        <f t="array" ref="Q404">XLOOKUP(L404,'Dados Funil'!A:A,'Dados Funil'!AN:AN,"")</f>
        <v/>
      </c>
      <c r="T404" s="7" t="str">
        <f t="shared" si="4"/>
        <v/>
      </c>
      <c r="U404" s="4" t="str">
        <f t="shared" si="12"/>
        <v/>
      </c>
      <c r="V404" s="4" t="str">
        <f t="array" ref="V404">XLOOKUP(R404,'Dados Funil'!$A:$A,'Dados Funil'!$K:$K,"")</f>
        <v/>
      </c>
      <c r="W404" s="4" t="str">
        <f t="array" ref="W404">XLOOKUP(R404,'Dados Funil'!$A:$A,'Dados Funil'!$L:$L,"")</f>
        <v/>
      </c>
      <c r="X404" s="4"/>
      <c r="Y404" s="4"/>
      <c r="Z404" s="7" t="str">
        <f t="shared" si="5"/>
        <v/>
      </c>
      <c r="AA404" s="4" t="str">
        <f t="shared" si="13"/>
        <v/>
      </c>
      <c r="AB404" s="4" t="str">
        <f t="array" ref="AB404">XLOOKUP(X404,'Dados Funil'!A:A,'Dados Funil'!O:O,"")</f>
        <v/>
      </c>
      <c r="AE404" s="7" t="str">
        <f t="shared" si="6"/>
        <v/>
      </c>
      <c r="AG404" s="4" t="str">
        <f t="array" ref="AG404">XLOOKUP(AC404,'Dados Funil'!A:A,'Dados Funil'!AM:AM,"")</f>
        <v/>
      </c>
      <c r="AH404" s="4" t="str">
        <f t="array" ref="AH404">XLOOKUP(AC404,'Dados Funil'!A:A,'Dados Funil'!AN:AN,"")</f>
        <v/>
      </c>
    </row>
    <row r="405">
      <c r="A405" s="4"/>
      <c r="B405" s="4"/>
      <c r="C405" s="7" t="str">
        <f t="shared" si="1"/>
        <v/>
      </c>
      <c r="D405" s="4" t="str">
        <f t="shared" si="9"/>
        <v/>
      </c>
      <c r="E405" s="4" t="str">
        <f t="array" ref="E405">XLOOKUP(A405,'Dados Funil'!$A:$A,'Dados Funil'!$K:$K,"")</f>
        <v/>
      </c>
      <c r="F405" s="4" t="str">
        <f t="array" ref="F405">XLOOKUP(A405,'Dados Funil'!$A:$A,'Dados Funil'!$L:$L,"")</f>
        <v/>
      </c>
      <c r="G405" s="4"/>
      <c r="H405" s="4"/>
      <c r="I405" s="7" t="str">
        <f t="shared" si="2"/>
        <v/>
      </c>
      <c r="J405" s="4" t="str">
        <f t="shared" si="10"/>
        <v/>
      </c>
      <c r="K405" s="4" t="str">
        <f t="array" ref="K405">XLOOKUP(G405,'Dados Funil'!A:A,'Dados Funil'!O:O,"")</f>
        <v/>
      </c>
      <c r="L405" s="4"/>
      <c r="M405" s="4"/>
      <c r="N405" s="7" t="str">
        <f t="shared" si="3"/>
        <v/>
      </c>
      <c r="O405" s="4" t="str">
        <f t="shared" si="11"/>
        <v/>
      </c>
      <c r="P405" s="4" t="str">
        <f t="array" ref="P405">XLOOKUP(L405,'Dados Funil'!A:A,'Dados Funil'!AM:AM,"")</f>
        <v/>
      </c>
      <c r="Q405" s="4" t="str">
        <f t="array" ref="Q405">XLOOKUP(L405,'Dados Funil'!A:A,'Dados Funil'!AN:AN,"")</f>
        <v/>
      </c>
      <c r="T405" s="7" t="str">
        <f t="shared" si="4"/>
        <v/>
      </c>
      <c r="U405" s="4" t="str">
        <f t="shared" si="12"/>
        <v/>
      </c>
      <c r="V405" s="4" t="str">
        <f t="array" ref="V405">XLOOKUP(R405,'Dados Funil'!$A:$A,'Dados Funil'!$K:$K,"")</f>
        <v/>
      </c>
      <c r="W405" s="4" t="str">
        <f t="array" ref="W405">XLOOKUP(R405,'Dados Funil'!$A:$A,'Dados Funil'!$L:$L,"")</f>
        <v/>
      </c>
      <c r="X405" s="4"/>
      <c r="Y405" s="4"/>
      <c r="Z405" s="7" t="str">
        <f t="shared" si="5"/>
        <v/>
      </c>
      <c r="AA405" s="4" t="str">
        <f t="shared" si="13"/>
        <v/>
      </c>
      <c r="AB405" s="4" t="str">
        <f t="array" ref="AB405">XLOOKUP(X405,'Dados Funil'!A:A,'Dados Funil'!O:O,"")</f>
        <v/>
      </c>
      <c r="AE405" s="7" t="str">
        <f t="shared" si="6"/>
        <v/>
      </c>
      <c r="AG405" s="4" t="str">
        <f t="array" ref="AG405">XLOOKUP(AC405,'Dados Funil'!A:A,'Dados Funil'!AM:AM,"")</f>
        <v/>
      </c>
      <c r="AH405" s="4" t="str">
        <f t="array" ref="AH405">XLOOKUP(AC405,'Dados Funil'!A:A,'Dados Funil'!AN:AN,"")</f>
        <v/>
      </c>
    </row>
    <row r="406">
      <c r="A406" s="4"/>
      <c r="B406" s="4"/>
      <c r="C406" s="7" t="str">
        <f t="shared" si="1"/>
        <v/>
      </c>
      <c r="D406" s="4" t="str">
        <f t="shared" si="9"/>
        <v/>
      </c>
      <c r="E406" s="4" t="str">
        <f t="array" ref="E406">XLOOKUP(A406,'Dados Funil'!$A:$A,'Dados Funil'!$K:$K,"")</f>
        <v/>
      </c>
      <c r="F406" s="4" t="str">
        <f t="array" ref="F406">XLOOKUP(A406,'Dados Funil'!$A:$A,'Dados Funil'!$L:$L,"")</f>
        <v/>
      </c>
      <c r="G406" s="4"/>
      <c r="H406" s="4"/>
      <c r="I406" s="7" t="str">
        <f t="shared" si="2"/>
        <v/>
      </c>
      <c r="J406" s="4" t="str">
        <f t="shared" si="10"/>
        <v/>
      </c>
      <c r="K406" s="4" t="str">
        <f t="array" ref="K406">XLOOKUP(G406,'Dados Funil'!A:A,'Dados Funil'!O:O,"")</f>
        <v/>
      </c>
      <c r="L406" s="4"/>
      <c r="M406" s="4"/>
      <c r="N406" s="7" t="str">
        <f t="shared" si="3"/>
        <v/>
      </c>
      <c r="O406" s="4" t="str">
        <f t="shared" si="11"/>
        <v/>
      </c>
      <c r="P406" s="4" t="str">
        <f t="array" ref="P406">XLOOKUP(L406,'Dados Funil'!A:A,'Dados Funil'!AM:AM,"")</f>
        <v/>
      </c>
      <c r="Q406" s="4" t="str">
        <f t="array" ref="Q406">XLOOKUP(L406,'Dados Funil'!A:A,'Dados Funil'!AN:AN,"")</f>
        <v/>
      </c>
      <c r="T406" s="7" t="str">
        <f t="shared" si="4"/>
        <v/>
      </c>
      <c r="U406" s="4" t="str">
        <f t="shared" si="12"/>
        <v/>
      </c>
      <c r="V406" s="4" t="str">
        <f t="array" ref="V406">XLOOKUP(R406,'Dados Funil'!$A:$A,'Dados Funil'!$K:$K,"")</f>
        <v/>
      </c>
      <c r="W406" s="4" t="str">
        <f t="array" ref="W406">XLOOKUP(R406,'Dados Funil'!$A:$A,'Dados Funil'!$L:$L,"")</f>
        <v/>
      </c>
      <c r="X406" s="4"/>
      <c r="Y406" s="4"/>
      <c r="Z406" s="7" t="str">
        <f t="shared" si="5"/>
        <v/>
      </c>
      <c r="AA406" s="4" t="str">
        <f t="shared" si="13"/>
        <v/>
      </c>
      <c r="AB406" s="4" t="str">
        <f t="array" ref="AB406">XLOOKUP(X406,'Dados Funil'!A:A,'Dados Funil'!O:O,"")</f>
        <v/>
      </c>
      <c r="AE406" s="7" t="str">
        <f t="shared" si="6"/>
        <v/>
      </c>
      <c r="AG406" s="4" t="str">
        <f t="array" ref="AG406">XLOOKUP(AC406,'Dados Funil'!A:A,'Dados Funil'!AM:AM,"")</f>
        <v/>
      </c>
      <c r="AH406" s="4" t="str">
        <f t="array" ref="AH406">XLOOKUP(AC406,'Dados Funil'!A:A,'Dados Funil'!AN:AN,"")</f>
        <v/>
      </c>
    </row>
    <row r="407">
      <c r="A407" s="4"/>
      <c r="B407" s="4"/>
      <c r="C407" s="7" t="str">
        <f t="shared" si="1"/>
        <v/>
      </c>
      <c r="D407" s="4" t="str">
        <f t="shared" si="9"/>
        <v/>
      </c>
      <c r="E407" s="4" t="str">
        <f t="array" ref="E407">XLOOKUP(A407,'Dados Funil'!$A:$A,'Dados Funil'!$K:$K,"")</f>
        <v/>
      </c>
      <c r="F407" s="4" t="str">
        <f t="array" ref="F407">XLOOKUP(A407,'Dados Funil'!$A:$A,'Dados Funil'!$L:$L,"")</f>
        <v/>
      </c>
      <c r="G407" s="4"/>
      <c r="H407" s="4"/>
      <c r="I407" s="7" t="str">
        <f t="shared" si="2"/>
        <v/>
      </c>
      <c r="J407" s="4" t="str">
        <f t="shared" si="10"/>
        <v/>
      </c>
      <c r="K407" s="4" t="str">
        <f t="array" ref="K407">XLOOKUP(G407,'Dados Funil'!A:A,'Dados Funil'!O:O,"")</f>
        <v/>
      </c>
      <c r="L407" s="4"/>
      <c r="M407" s="4"/>
      <c r="N407" s="7" t="str">
        <f t="shared" si="3"/>
        <v/>
      </c>
      <c r="O407" s="4" t="str">
        <f t="shared" si="11"/>
        <v/>
      </c>
      <c r="P407" s="4" t="str">
        <f t="array" ref="P407">XLOOKUP(L407,'Dados Funil'!A:A,'Dados Funil'!AM:AM,"")</f>
        <v/>
      </c>
      <c r="Q407" s="4" t="str">
        <f t="array" ref="Q407">XLOOKUP(L407,'Dados Funil'!A:A,'Dados Funil'!AN:AN,"")</f>
        <v/>
      </c>
      <c r="T407" s="7" t="str">
        <f t="shared" si="4"/>
        <v/>
      </c>
      <c r="U407" s="4" t="str">
        <f t="shared" si="12"/>
        <v/>
      </c>
      <c r="V407" s="4" t="str">
        <f t="array" ref="V407">XLOOKUP(R407,'Dados Funil'!$A:$A,'Dados Funil'!$K:$K,"")</f>
        <v/>
      </c>
      <c r="W407" s="4" t="str">
        <f t="array" ref="W407">XLOOKUP(R407,'Dados Funil'!$A:$A,'Dados Funil'!$L:$L,"")</f>
        <v/>
      </c>
      <c r="X407" s="4"/>
      <c r="Y407" s="4"/>
      <c r="Z407" s="7" t="str">
        <f t="shared" si="5"/>
        <v/>
      </c>
      <c r="AA407" s="4" t="str">
        <f t="shared" si="13"/>
        <v/>
      </c>
      <c r="AB407" s="4" t="str">
        <f t="array" ref="AB407">XLOOKUP(X407,'Dados Funil'!A:A,'Dados Funil'!O:O,"")</f>
        <v/>
      </c>
      <c r="AE407" s="7" t="str">
        <f t="shared" si="6"/>
        <v/>
      </c>
      <c r="AG407" s="4" t="str">
        <f t="array" ref="AG407">XLOOKUP(AC407,'Dados Funil'!A:A,'Dados Funil'!AM:AM,"")</f>
        <v/>
      </c>
      <c r="AH407" s="4" t="str">
        <f t="array" ref="AH407">XLOOKUP(AC407,'Dados Funil'!A:A,'Dados Funil'!AN:AN,"")</f>
        <v/>
      </c>
    </row>
    <row r="408">
      <c r="A408" s="4"/>
      <c r="B408" s="4"/>
      <c r="C408" s="7" t="str">
        <f t="shared" si="1"/>
        <v/>
      </c>
      <c r="D408" s="4" t="str">
        <f t="shared" si="9"/>
        <v/>
      </c>
      <c r="E408" s="4" t="str">
        <f t="array" ref="E408">XLOOKUP(A408,'Dados Funil'!$A:$A,'Dados Funil'!$K:$K,"")</f>
        <v/>
      </c>
      <c r="F408" s="4" t="str">
        <f t="array" ref="F408">XLOOKUP(A408,'Dados Funil'!$A:$A,'Dados Funil'!$L:$L,"")</f>
        <v/>
      </c>
      <c r="G408" s="4"/>
      <c r="H408" s="4"/>
      <c r="I408" s="7" t="str">
        <f t="shared" si="2"/>
        <v/>
      </c>
      <c r="J408" s="4" t="str">
        <f t="shared" si="10"/>
        <v/>
      </c>
      <c r="K408" s="4" t="str">
        <f t="array" ref="K408">XLOOKUP(G408,'Dados Funil'!A:A,'Dados Funil'!O:O,"")</f>
        <v/>
      </c>
      <c r="L408" s="4"/>
      <c r="M408" s="4"/>
      <c r="N408" s="7" t="str">
        <f t="shared" si="3"/>
        <v/>
      </c>
      <c r="O408" s="4" t="str">
        <f t="shared" si="11"/>
        <v/>
      </c>
      <c r="P408" s="4" t="str">
        <f t="array" ref="P408">XLOOKUP(L408,'Dados Funil'!A:A,'Dados Funil'!AM:AM,"")</f>
        <v/>
      </c>
      <c r="Q408" s="4" t="str">
        <f t="array" ref="Q408">XLOOKUP(L408,'Dados Funil'!A:A,'Dados Funil'!AN:AN,"")</f>
        <v/>
      </c>
      <c r="T408" s="7" t="str">
        <f t="shared" si="4"/>
        <v/>
      </c>
      <c r="U408" s="4" t="str">
        <f t="shared" si="12"/>
        <v/>
      </c>
      <c r="V408" s="4" t="str">
        <f t="array" ref="V408">XLOOKUP(R408,'Dados Funil'!$A:$A,'Dados Funil'!$K:$K,"")</f>
        <v/>
      </c>
      <c r="W408" s="4" t="str">
        <f t="array" ref="W408">XLOOKUP(R408,'Dados Funil'!$A:$A,'Dados Funil'!$L:$L,"")</f>
        <v/>
      </c>
      <c r="X408" s="4"/>
      <c r="Y408" s="4"/>
      <c r="Z408" s="7" t="str">
        <f t="shared" si="5"/>
        <v/>
      </c>
      <c r="AA408" s="4" t="str">
        <f t="shared" si="13"/>
        <v/>
      </c>
      <c r="AB408" s="4" t="str">
        <f t="array" ref="AB408">XLOOKUP(X408,'Dados Funil'!A:A,'Dados Funil'!O:O,"")</f>
        <v/>
      </c>
      <c r="AE408" s="7" t="str">
        <f t="shared" si="6"/>
        <v/>
      </c>
      <c r="AG408" s="4" t="str">
        <f t="array" ref="AG408">XLOOKUP(AC408,'Dados Funil'!A:A,'Dados Funil'!AM:AM,"")</f>
        <v/>
      </c>
      <c r="AH408" s="4" t="str">
        <f t="array" ref="AH408">XLOOKUP(AC408,'Dados Funil'!A:A,'Dados Funil'!AN:AN,"")</f>
        <v/>
      </c>
    </row>
    <row r="409">
      <c r="A409" s="4"/>
      <c r="B409" s="4"/>
      <c r="C409" s="7" t="str">
        <f t="shared" si="1"/>
        <v/>
      </c>
      <c r="D409" s="4" t="str">
        <f t="shared" si="9"/>
        <v/>
      </c>
      <c r="E409" s="4" t="str">
        <f t="array" ref="E409">XLOOKUP(A409,'Dados Funil'!$A:$A,'Dados Funil'!$K:$K,"")</f>
        <v/>
      </c>
      <c r="F409" s="4" t="str">
        <f t="array" ref="F409">XLOOKUP(A409,'Dados Funil'!$A:$A,'Dados Funil'!$L:$L,"")</f>
        <v/>
      </c>
      <c r="G409" s="4"/>
      <c r="H409" s="4"/>
      <c r="I409" s="7" t="str">
        <f t="shared" si="2"/>
        <v/>
      </c>
      <c r="J409" s="4" t="str">
        <f t="shared" si="10"/>
        <v/>
      </c>
      <c r="K409" s="4" t="str">
        <f t="array" ref="K409">XLOOKUP(G409,'Dados Funil'!A:A,'Dados Funil'!O:O,"")</f>
        <v/>
      </c>
      <c r="L409" s="4"/>
      <c r="M409" s="4"/>
      <c r="N409" s="7" t="str">
        <f t="shared" si="3"/>
        <v/>
      </c>
      <c r="O409" s="4" t="str">
        <f t="shared" si="11"/>
        <v/>
      </c>
      <c r="P409" s="4" t="str">
        <f t="array" ref="P409">XLOOKUP(L409,'Dados Funil'!A:A,'Dados Funil'!AM:AM,"")</f>
        <v/>
      </c>
      <c r="Q409" s="4" t="str">
        <f t="array" ref="Q409">XLOOKUP(L409,'Dados Funil'!A:A,'Dados Funil'!AN:AN,"")</f>
        <v/>
      </c>
      <c r="T409" s="7" t="str">
        <f t="shared" si="4"/>
        <v/>
      </c>
      <c r="U409" s="4" t="str">
        <f t="shared" si="12"/>
        <v/>
      </c>
      <c r="V409" s="4" t="str">
        <f t="array" ref="V409">XLOOKUP(R409,'Dados Funil'!$A:$A,'Dados Funil'!$K:$K,"")</f>
        <v/>
      </c>
      <c r="W409" s="4" t="str">
        <f t="array" ref="W409">XLOOKUP(R409,'Dados Funil'!$A:$A,'Dados Funil'!$L:$L,"")</f>
        <v/>
      </c>
      <c r="X409" s="4"/>
      <c r="Y409" s="4"/>
      <c r="Z409" s="7" t="str">
        <f t="shared" si="5"/>
        <v/>
      </c>
      <c r="AA409" s="4" t="str">
        <f t="shared" si="13"/>
        <v/>
      </c>
      <c r="AB409" s="4" t="str">
        <f t="array" ref="AB409">XLOOKUP(X409,'Dados Funil'!A:A,'Dados Funil'!O:O,"")</f>
        <v/>
      </c>
      <c r="AE409" s="7" t="str">
        <f t="shared" si="6"/>
        <v/>
      </c>
      <c r="AG409" s="4" t="str">
        <f t="array" ref="AG409">XLOOKUP(AC409,'Dados Funil'!A:A,'Dados Funil'!AM:AM,"")</f>
        <v/>
      </c>
      <c r="AH409" s="4" t="str">
        <f t="array" ref="AH409">XLOOKUP(AC409,'Dados Funil'!A:A,'Dados Funil'!AN:AN,"")</f>
        <v/>
      </c>
    </row>
    <row r="410">
      <c r="A410" s="4"/>
      <c r="B410" s="4"/>
      <c r="C410" s="7" t="str">
        <f t="shared" si="1"/>
        <v/>
      </c>
      <c r="D410" s="4" t="str">
        <f t="shared" si="9"/>
        <v/>
      </c>
      <c r="E410" s="4" t="str">
        <f t="array" ref="E410">XLOOKUP(A410,'Dados Funil'!$A:$A,'Dados Funil'!$K:$K,"")</f>
        <v/>
      </c>
      <c r="F410" s="4" t="str">
        <f t="array" ref="F410">XLOOKUP(A410,'Dados Funil'!$A:$A,'Dados Funil'!$L:$L,"")</f>
        <v/>
      </c>
      <c r="G410" s="4"/>
      <c r="H410" s="4"/>
      <c r="I410" s="7" t="str">
        <f t="shared" si="2"/>
        <v/>
      </c>
      <c r="J410" s="4" t="str">
        <f t="shared" si="10"/>
        <v/>
      </c>
      <c r="K410" s="4" t="str">
        <f t="array" ref="K410">XLOOKUP(G410,'Dados Funil'!A:A,'Dados Funil'!O:O,"")</f>
        <v/>
      </c>
      <c r="L410" s="4"/>
      <c r="M410" s="4"/>
      <c r="N410" s="7" t="str">
        <f t="shared" si="3"/>
        <v/>
      </c>
      <c r="O410" s="4" t="str">
        <f t="shared" si="11"/>
        <v/>
      </c>
      <c r="P410" s="4" t="str">
        <f t="array" ref="P410">XLOOKUP(L410,'Dados Funil'!A:A,'Dados Funil'!AM:AM,"")</f>
        <v/>
      </c>
      <c r="Q410" s="4" t="str">
        <f t="array" ref="Q410">XLOOKUP(L410,'Dados Funil'!A:A,'Dados Funil'!AN:AN,"")</f>
        <v/>
      </c>
      <c r="T410" s="7" t="str">
        <f t="shared" si="4"/>
        <v/>
      </c>
      <c r="U410" s="4" t="str">
        <f t="shared" si="12"/>
        <v/>
      </c>
      <c r="V410" s="4" t="str">
        <f t="array" ref="V410">XLOOKUP(R410,'Dados Funil'!$A:$A,'Dados Funil'!$K:$K,"")</f>
        <v/>
      </c>
      <c r="W410" s="4" t="str">
        <f t="array" ref="W410">XLOOKUP(R410,'Dados Funil'!$A:$A,'Dados Funil'!$L:$L,"")</f>
        <v/>
      </c>
      <c r="X410" s="4"/>
      <c r="Y410" s="4"/>
      <c r="Z410" s="7" t="str">
        <f t="shared" si="5"/>
        <v/>
      </c>
      <c r="AA410" s="4" t="str">
        <f t="shared" si="13"/>
        <v/>
      </c>
      <c r="AB410" s="4" t="str">
        <f t="array" ref="AB410">XLOOKUP(X410,'Dados Funil'!A:A,'Dados Funil'!O:O,"")</f>
        <v/>
      </c>
      <c r="AE410" s="7" t="str">
        <f t="shared" si="6"/>
        <v/>
      </c>
      <c r="AG410" s="4" t="str">
        <f t="array" ref="AG410">XLOOKUP(AC410,'Dados Funil'!A:A,'Dados Funil'!AM:AM,"")</f>
        <v/>
      </c>
      <c r="AH410" s="4" t="str">
        <f t="array" ref="AH410">XLOOKUP(AC410,'Dados Funil'!A:A,'Dados Funil'!AN:AN,"")</f>
        <v/>
      </c>
    </row>
    <row r="411">
      <c r="A411" s="4"/>
      <c r="B411" s="4"/>
      <c r="C411" s="7" t="str">
        <f t="shared" si="1"/>
        <v/>
      </c>
      <c r="D411" s="4" t="str">
        <f t="shared" si="9"/>
        <v/>
      </c>
      <c r="E411" s="4" t="str">
        <f t="array" ref="E411">XLOOKUP(A411,'Dados Funil'!$A:$A,'Dados Funil'!$K:$K,"")</f>
        <v/>
      </c>
      <c r="F411" s="4" t="str">
        <f t="array" ref="F411">XLOOKUP(A411,'Dados Funil'!$A:$A,'Dados Funil'!$L:$L,"")</f>
        <v/>
      </c>
      <c r="G411" s="4"/>
      <c r="H411" s="4"/>
      <c r="I411" s="7" t="str">
        <f t="shared" si="2"/>
        <v/>
      </c>
      <c r="J411" s="4" t="str">
        <f t="shared" si="10"/>
        <v/>
      </c>
      <c r="K411" s="4" t="str">
        <f t="array" ref="K411">XLOOKUP(G411,'Dados Funil'!A:A,'Dados Funil'!O:O,"")</f>
        <v/>
      </c>
      <c r="L411" s="4"/>
      <c r="M411" s="4"/>
      <c r="N411" s="7" t="str">
        <f t="shared" si="3"/>
        <v/>
      </c>
      <c r="O411" s="4" t="str">
        <f t="shared" si="11"/>
        <v/>
      </c>
      <c r="P411" s="4" t="str">
        <f t="array" ref="P411">XLOOKUP(L411,'Dados Funil'!A:A,'Dados Funil'!AM:AM,"")</f>
        <v/>
      </c>
      <c r="Q411" s="4" t="str">
        <f t="array" ref="Q411">XLOOKUP(L411,'Dados Funil'!A:A,'Dados Funil'!AN:AN,"")</f>
        <v/>
      </c>
      <c r="T411" s="7" t="str">
        <f t="shared" si="4"/>
        <v/>
      </c>
      <c r="U411" s="4" t="str">
        <f t="shared" si="12"/>
        <v/>
      </c>
      <c r="V411" s="4" t="str">
        <f t="array" ref="V411">XLOOKUP(R411,'Dados Funil'!$A:$A,'Dados Funil'!$K:$K,"")</f>
        <v/>
      </c>
      <c r="W411" s="4" t="str">
        <f t="array" ref="W411">XLOOKUP(R411,'Dados Funil'!$A:$A,'Dados Funil'!$L:$L,"")</f>
        <v/>
      </c>
      <c r="X411" s="4"/>
      <c r="Y411" s="4"/>
      <c r="Z411" s="7" t="str">
        <f t="shared" si="5"/>
        <v/>
      </c>
      <c r="AA411" s="4" t="str">
        <f t="shared" si="13"/>
        <v/>
      </c>
      <c r="AB411" s="4" t="str">
        <f t="array" ref="AB411">XLOOKUP(X411,'Dados Funil'!A:A,'Dados Funil'!O:O,"")</f>
        <v/>
      </c>
      <c r="AE411" s="7" t="str">
        <f t="shared" si="6"/>
        <v/>
      </c>
      <c r="AG411" s="4" t="str">
        <f t="array" ref="AG411">XLOOKUP(AC411,'Dados Funil'!A:A,'Dados Funil'!AM:AM,"")</f>
        <v/>
      </c>
      <c r="AH411" s="4" t="str">
        <f t="array" ref="AH411">XLOOKUP(AC411,'Dados Funil'!A:A,'Dados Funil'!AN:AN,"")</f>
        <v/>
      </c>
    </row>
    <row r="412">
      <c r="A412" s="4"/>
      <c r="B412" s="4"/>
      <c r="C412" s="7" t="str">
        <f t="shared" si="1"/>
        <v/>
      </c>
      <c r="D412" s="4" t="str">
        <f t="shared" si="9"/>
        <v/>
      </c>
      <c r="E412" s="4" t="str">
        <f t="array" ref="E412">XLOOKUP(A412,'Dados Funil'!$A:$A,'Dados Funil'!$K:$K,"")</f>
        <v/>
      </c>
      <c r="F412" s="4" t="str">
        <f t="array" ref="F412">XLOOKUP(A412,'Dados Funil'!$A:$A,'Dados Funil'!$L:$L,"")</f>
        <v/>
      </c>
      <c r="G412" s="4"/>
      <c r="H412" s="4"/>
      <c r="I412" s="7" t="str">
        <f t="shared" si="2"/>
        <v/>
      </c>
      <c r="J412" s="4" t="str">
        <f t="shared" si="10"/>
        <v/>
      </c>
      <c r="K412" s="4" t="str">
        <f t="array" ref="K412">XLOOKUP(G412,'Dados Funil'!A:A,'Dados Funil'!O:O,"")</f>
        <v/>
      </c>
      <c r="L412" s="4"/>
      <c r="M412" s="4"/>
      <c r="N412" s="7" t="str">
        <f t="shared" si="3"/>
        <v/>
      </c>
      <c r="O412" s="4" t="str">
        <f t="shared" si="11"/>
        <v/>
      </c>
      <c r="P412" s="4" t="str">
        <f t="array" ref="P412">XLOOKUP(L412,'Dados Funil'!A:A,'Dados Funil'!AM:AM,"")</f>
        <v/>
      </c>
      <c r="Q412" s="4" t="str">
        <f t="array" ref="Q412">XLOOKUP(L412,'Dados Funil'!A:A,'Dados Funil'!AN:AN,"")</f>
        <v/>
      </c>
      <c r="T412" s="7" t="str">
        <f t="shared" si="4"/>
        <v/>
      </c>
      <c r="U412" s="4" t="str">
        <f t="shared" si="12"/>
        <v/>
      </c>
      <c r="V412" s="4" t="str">
        <f t="array" ref="V412">XLOOKUP(R412,'Dados Funil'!$A:$A,'Dados Funil'!$K:$K,"")</f>
        <v/>
      </c>
      <c r="W412" s="4" t="str">
        <f t="array" ref="W412">XLOOKUP(R412,'Dados Funil'!$A:$A,'Dados Funil'!$L:$L,"")</f>
        <v/>
      </c>
      <c r="X412" s="4"/>
      <c r="Y412" s="4"/>
      <c r="Z412" s="7" t="str">
        <f t="shared" si="5"/>
        <v/>
      </c>
      <c r="AA412" s="4" t="str">
        <f t="shared" si="13"/>
        <v/>
      </c>
      <c r="AB412" s="4" t="str">
        <f t="array" ref="AB412">XLOOKUP(X412,'Dados Funil'!A:A,'Dados Funil'!O:O,"")</f>
        <v/>
      </c>
      <c r="AE412" s="7" t="str">
        <f t="shared" si="6"/>
        <v/>
      </c>
      <c r="AG412" s="4" t="str">
        <f t="array" ref="AG412">XLOOKUP(AC412,'Dados Funil'!A:A,'Dados Funil'!AM:AM,"")</f>
        <v/>
      </c>
      <c r="AH412" s="4" t="str">
        <f t="array" ref="AH412">XLOOKUP(AC412,'Dados Funil'!A:A,'Dados Funil'!AN:AN,"")</f>
        <v/>
      </c>
    </row>
    <row r="413">
      <c r="A413" s="4"/>
      <c r="B413" s="4"/>
      <c r="C413" s="7" t="str">
        <f t="shared" si="1"/>
        <v/>
      </c>
      <c r="D413" s="4" t="str">
        <f t="shared" si="9"/>
        <v/>
      </c>
      <c r="E413" s="4" t="str">
        <f t="array" ref="E413">XLOOKUP(A413,'Dados Funil'!$A:$A,'Dados Funil'!$K:$K,"")</f>
        <v/>
      </c>
      <c r="F413" s="4" t="str">
        <f t="array" ref="F413">XLOOKUP(A413,'Dados Funil'!$A:$A,'Dados Funil'!$L:$L,"")</f>
        <v/>
      </c>
      <c r="G413" s="4"/>
      <c r="H413" s="4"/>
      <c r="I413" s="7" t="str">
        <f t="shared" si="2"/>
        <v/>
      </c>
      <c r="J413" s="4" t="str">
        <f t="shared" si="10"/>
        <v/>
      </c>
      <c r="K413" s="4" t="str">
        <f t="array" ref="K413">XLOOKUP(G413,'Dados Funil'!A:A,'Dados Funil'!O:O,"")</f>
        <v/>
      </c>
      <c r="L413" s="4"/>
      <c r="M413" s="4"/>
      <c r="N413" s="7" t="str">
        <f t="shared" si="3"/>
        <v/>
      </c>
      <c r="O413" s="4" t="str">
        <f t="shared" si="11"/>
        <v/>
      </c>
      <c r="P413" s="4" t="str">
        <f t="array" ref="P413">XLOOKUP(L413,'Dados Funil'!A:A,'Dados Funil'!AM:AM,"")</f>
        <v/>
      </c>
      <c r="Q413" s="4" t="str">
        <f t="array" ref="Q413">XLOOKUP(L413,'Dados Funil'!A:A,'Dados Funil'!AN:AN,"")</f>
        <v/>
      </c>
      <c r="T413" s="7" t="str">
        <f t="shared" si="4"/>
        <v/>
      </c>
      <c r="U413" s="4" t="str">
        <f t="shared" si="12"/>
        <v/>
      </c>
      <c r="V413" s="4" t="str">
        <f t="array" ref="V413">XLOOKUP(R413,'Dados Funil'!$A:$A,'Dados Funil'!$K:$K,"")</f>
        <v/>
      </c>
      <c r="W413" s="4" t="str">
        <f t="array" ref="W413">XLOOKUP(R413,'Dados Funil'!$A:$A,'Dados Funil'!$L:$L,"")</f>
        <v/>
      </c>
      <c r="X413" s="4"/>
      <c r="Y413" s="4"/>
      <c r="Z413" s="7" t="str">
        <f t="shared" si="5"/>
        <v/>
      </c>
      <c r="AA413" s="4" t="str">
        <f t="shared" si="13"/>
        <v/>
      </c>
      <c r="AB413" s="4" t="str">
        <f t="array" ref="AB413">XLOOKUP(X413,'Dados Funil'!A:A,'Dados Funil'!O:O,"")</f>
        <v/>
      </c>
      <c r="AE413" s="7" t="str">
        <f t="shared" si="6"/>
        <v/>
      </c>
      <c r="AG413" s="4" t="str">
        <f t="array" ref="AG413">XLOOKUP(AC413,'Dados Funil'!A:A,'Dados Funil'!AM:AM,"")</f>
        <v/>
      </c>
      <c r="AH413" s="4" t="str">
        <f t="array" ref="AH413">XLOOKUP(AC413,'Dados Funil'!A:A,'Dados Funil'!AN:AN,"")</f>
        <v/>
      </c>
    </row>
    <row r="414">
      <c r="A414" s="4"/>
      <c r="B414" s="4"/>
      <c r="C414" s="7" t="str">
        <f t="shared" si="1"/>
        <v/>
      </c>
      <c r="D414" s="4" t="str">
        <f t="shared" si="9"/>
        <v/>
      </c>
      <c r="E414" s="4" t="str">
        <f t="array" ref="E414">XLOOKUP(A414,'Dados Funil'!$A:$A,'Dados Funil'!$K:$K,"")</f>
        <v/>
      </c>
      <c r="F414" s="4" t="str">
        <f t="array" ref="F414">XLOOKUP(A414,'Dados Funil'!$A:$A,'Dados Funil'!$L:$L,"")</f>
        <v/>
      </c>
      <c r="G414" s="4"/>
      <c r="H414" s="4"/>
      <c r="I414" s="7" t="str">
        <f t="shared" si="2"/>
        <v/>
      </c>
      <c r="J414" s="4" t="str">
        <f t="shared" si="10"/>
        <v/>
      </c>
      <c r="K414" s="4" t="str">
        <f t="array" ref="K414">XLOOKUP(G414,'Dados Funil'!A:A,'Dados Funil'!O:O,"")</f>
        <v/>
      </c>
      <c r="L414" s="4"/>
      <c r="M414" s="4"/>
      <c r="N414" s="7" t="str">
        <f t="shared" si="3"/>
        <v/>
      </c>
      <c r="O414" s="4" t="str">
        <f t="shared" si="11"/>
        <v/>
      </c>
      <c r="P414" s="4" t="str">
        <f t="array" ref="P414">XLOOKUP(L414,'Dados Funil'!A:A,'Dados Funil'!AM:AM,"")</f>
        <v/>
      </c>
      <c r="Q414" s="4" t="str">
        <f t="array" ref="Q414">XLOOKUP(L414,'Dados Funil'!A:A,'Dados Funil'!AN:AN,"")</f>
        <v/>
      </c>
      <c r="T414" s="7" t="str">
        <f t="shared" si="4"/>
        <v/>
      </c>
      <c r="U414" s="4" t="str">
        <f t="shared" si="12"/>
        <v/>
      </c>
      <c r="V414" s="4" t="str">
        <f t="array" ref="V414">XLOOKUP(R414,'Dados Funil'!$A:$A,'Dados Funil'!$K:$K,"")</f>
        <v/>
      </c>
      <c r="W414" s="4" t="str">
        <f t="array" ref="W414">XLOOKUP(R414,'Dados Funil'!$A:$A,'Dados Funil'!$L:$L,"")</f>
        <v/>
      </c>
      <c r="X414" s="4"/>
      <c r="Y414" s="4"/>
      <c r="Z414" s="7" t="str">
        <f t="shared" si="5"/>
        <v/>
      </c>
      <c r="AA414" s="4" t="str">
        <f t="shared" si="13"/>
        <v/>
      </c>
      <c r="AB414" s="4" t="str">
        <f t="array" ref="AB414">XLOOKUP(X414,'Dados Funil'!A:A,'Dados Funil'!O:O,"")</f>
        <v/>
      </c>
      <c r="AE414" s="7" t="str">
        <f t="shared" si="6"/>
        <v/>
      </c>
      <c r="AG414" s="4" t="str">
        <f t="array" ref="AG414">XLOOKUP(AC414,'Dados Funil'!A:A,'Dados Funil'!AM:AM,"")</f>
        <v/>
      </c>
      <c r="AH414" s="4" t="str">
        <f t="array" ref="AH414">XLOOKUP(AC414,'Dados Funil'!A:A,'Dados Funil'!AN:AN,"")</f>
        <v/>
      </c>
    </row>
    <row r="415">
      <c r="A415" s="4"/>
      <c r="B415" s="4"/>
      <c r="C415" s="7" t="str">
        <f t="shared" si="1"/>
        <v/>
      </c>
      <c r="D415" s="4" t="str">
        <f t="shared" si="9"/>
        <v/>
      </c>
      <c r="E415" s="4" t="str">
        <f t="array" ref="E415">XLOOKUP(A415,'Dados Funil'!$A:$A,'Dados Funil'!$K:$K,"")</f>
        <v/>
      </c>
      <c r="F415" s="4" t="str">
        <f t="array" ref="F415">XLOOKUP(A415,'Dados Funil'!$A:$A,'Dados Funil'!$L:$L,"")</f>
        <v/>
      </c>
      <c r="G415" s="4"/>
      <c r="H415" s="4"/>
      <c r="I415" s="7" t="str">
        <f t="shared" si="2"/>
        <v/>
      </c>
      <c r="J415" s="4" t="str">
        <f t="shared" si="10"/>
        <v/>
      </c>
      <c r="K415" s="4" t="str">
        <f t="array" ref="K415">XLOOKUP(G415,'Dados Funil'!A:A,'Dados Funil'!O:O,"")</f>
        <v/>
      </c>
      <c r="L415" s="4"/>
      <c r="M415" s="4"/>
      <c r="N415" s="7" t="str">
        <f t="shared" si="3"/>
        <v/>
      </c>
      <c r="O415" s="4" t="str">
        <f t="shared" si="11"/>
        <v/>
      </c>
      <c r="P415" s="4" t="str">
        <f t="array" ref="P415">XLOOKUP(L415,'Dados Funil'!A:A,'Dados Funil'!AM:AM,"")</f>
        <v/>
      </c>
      <c r="Q415" s="4" t="str">
        <f t="array" ref="Q415">XLOOKUP(L415,'Dados Funil'!A:A,'Dados Funil'!AN:AN,"")</f>
        <v/>
      </c>
      <c r="T415" s="7" t="str">
        <f t="shared" si="4"/>
        <v/>
      </c>
      <c r="U415" s="4" t="str">
        <f t="shared" si="12"/>
        <v/>
      </c>
      <c r="V415" s="4" t="str">
        <f t="array" ref="V415">XLOOKUP(R415,'Dados Funil'!$A:$A,'Dados Funil'!$K:$K,"")</f>
        <v/>
      </c>
      <c r="W415" s="4" t="str">
        <f t="array" ref="W415">XLOOKUP(R415,'Dados Funil'!$A:$A,'Dados Funil'!$L:$L,"")</f>
        <v/>
      </c>
      <c r="X415" s="4"/>
      <c r="Y415" s="4"/>
      <c r="Z415" s="7" t="str">
        <f t="shared" si="5"/>
        <v/>
      </c>
      <c r="AA415" s="4" t="str">
        <f t="shared" si="13"/>
        <v/>
      </c>
      <c r="AB415" s="4" t="str">
        <f t="array" ref="AB415">XLOOKUP(X415,'Dados Funil'!A:A,'Dados Funil'!O:O,"")</f>
        <v/>
      </c>
      <c r="AE415" s="7" t="str">
        <f t="shared" si="6"/>
        <v/>
      </c>
      <c r="AG415" s="4" t="str">
        <f t="array" ref="AG415">XLOOKUP(AC415,'Dados Funil'!A:A,'Dados Funil'!AM:AM,"")</f>
        <v/>
      </c>
      <c r="AH415" s="4" t="str">
        <f t="array" ref="AH415">XLOOKUP(AC415,'Dados Funil'!A:A,'Dados Funil'!AN:AN,"")</f>
        <v/>
      </c>
    </row>
    <row r="416">
      <c r="A416" s="4"/>
      <c r="B416" s="4"/>
      <c r="C416" s="7" t="str">
        <f t="shared" si="1"/>
        <v/>
      </c>
      <c r="D416" s="4" t="str">
        <f t="shared" si="9"/>
        <v/>
      </c>
      <c r="E416" s="4" t="str">
        <f t="array" ref="E416">XLOOKUP(A416,'Dados Funil'!$A:$A,'Dados Funil'!$K:$K,"")</f>
        <v/>
      </c>
      <c r="F416" s="4" t="str">
        <f t="array" ref="F416">XLOOKUP(A416,'Dados Funil'!$A:$A,'Dados Funil'!$L:$L,"")</f>
        <v/>
      </c>
      <c r="G416" s="4"/>
      <c r="H416" s="4"/>
      <c r="I416" s="7" t="str">
        <f t="shared" si="2"/>
        <v/>
      </c>
      <c r="J416" s="4" t="str">
        <f t="shared" si="10"/>
        <v/>
      </c>
      <c r="K416" s="4" t="str">
        <f t="array" ref="K416">XLOOKUP(G416,'Dados Funil'!A:A,'Dados Funil'!O:O,"")</f>
        <v/>
      </c>
      <c r="L416" s="4"/>
      <c r="M416" s="4"/>
      <c r="N416" s="7" t="str">
        <f t="shared" si="3"/>
        <v/>
      </c>
      <c r="O416" s="4" t="str">
        <f t="shared" si="11"/>
        <v/>
      </c>
      <c r="P416" s="4" t="str">
        <f t="array" ref="P416">XLOOKUP(L416,'Dados Funil'!A:A,'Dados Funil'!AM:AM,"")</f>
        <v/>
      </c>
      <c r="Q416" s="4" t="str">
        <f t="array" ref="Q416">XLOOKUP(L416,'Dados Funil'!A:A,'Dados Funil'!AN:AN,"")</f>
        <v/>
      </c>
      <c r="T416" s="7" t="str">
        <f t="shared" si="4"/>
        <v/>
      </c>
      <c r="U416" s="4" t="str">
        <f t="shared" si="12"/>
        <v/>
      </c>
      <c r="V416" s="4" t="str">
        <f t="array" ref="V416">XLOOKUP(R416,'Dados Funil'!$A:$A,'Dados Funil'!$K:$K,"")</f>
        <v/>
      </c>
      <c r="W416" s="4" t="str">
        <f t="array" ref="W416">XLOOKUP(R416,'Dados Funil'!$A:$A,'Dados Funil'!$L:$L,"")</f>
        <v/>
      </c>
      <c r="X416" s="4"/>
      <c r="Y416" s="4"/>
      <c r="Z416" s="7" t="str">
        <f t="shared" si="5"/>
        <v/>
      </c>
      <c r="AA416" s="4" t="str">
        <f t="shared" si="13"/>
        <v/>
      </c>
      <c r="AB416" s="4" t="str">
        <f t="array" ref="AB416">XLOOKUP(X416,'Dados Funil'!A:A,'Dados Funil'!O:O,"")</f>
        <v/>
      </c>
      <c r="AE416" s="7" t="str">
        <f t="shared" si="6"/>
        <v/>
      </c>
      <c r="AG416" s="4" t="str">
        <f t="array" ref="AG416">XLOOKUP(AC416,'Dados Funil'!A:A,'Dados Funil'!AM:AM,"")</f>
        <v/>
      </c>
      <c r="AH416" s="4" t="str">
        <f t="array" ref="AH416">XLOOKUP(AC416,'Dados Funil'!A:A,'Dados Funil'!AN:AN,"")</f>
        <v/>
      </c>
    </row>
    <row r="417">
      <c r="A417" s="4"/>
      <c r="B417" s="4"/>
      <c r="C417" s="7" t="str">
        <f t="shared" si="1"/>
        <v/>
      </c>
      <c r="D417" s="4" t="str">
        <f t="shared" si="9"/>
        <v/>
      </c>
      <c r="E417" s="4" t="str">
        <f t="array" ref="E417">XLOOKUP(A417,'Dados Funil'!$A:$A,'Dados Funil'!$K:$K,"")</f>
        <v/>
      </c>
      <c r="F417" s="4" t="str">
        <f t="array" ref="F417">XLOOKUP(A417,'Dados Funil'!$A:$A,'Dados Funil'!$L:$L,"")</f>
        <v/>
      </c>
      <c r="G417" s="4"/>
      <c r="H417" s="4"/>
      <c r="I417" s="7" t="str">
        <f t="shared" si="2"/>
        <v/>
      </c>
      <c r="J417" s="4" t="str">
        <f t="shared" si="10"/>
        <v/>
      </c>
      <c r="K417" s="4" t="str">
        <f t="array" ref="K417">XLOOKUP(G417,'Dados Funil'!A:A,'Dados Funil'!O:O,"")</f>
        <v/>
      </c>
      <c r="L417" s="4"/>
      <c r="M417" s="4"/>
      <c r="N417" s="7" t="str">
        <f t="shared" si="3"/>
        <v/>
      </c>
      <c r="O417" s="4" t="str">
        <f t="shared" si="11"/>
        <v/>
      </c>
      <c r="P417" s="4" t="str">
        <f t="array" ref="P417">XLOOKUP(L417,'Dados Funil'!A:A,'Dados Funil'!AM:AM,"")</f>
        <v/>
      </c>
      <c r="Q417" s="4" t="str">
        <f t="array" ref="Q417">XLOOKUP(L417,'Dados Funil'!A:A,'Dados Funil'!AN:AN,"")</f>
        <v/>
      </c>
      <c r="T417" s="7" t="str">
        <f t="shared" si="4"/>
        <v/>
      </c>
      <c r="U417" s="4" t="str">
        <f t="shared" si="12"/>
        <v/>
      </c>
      <c r="V417" s="4" t="str">
        <f t="array" ref="V417">XLOOKUP(R417,'Dados Funil'!$A:$A,'Dados Funil'!$K:$K,"")</f>
        <v/>
      </c>
      <c r="W417" s="4" t="str">
        <f t="array" ref="W417">XLOOKUP(R417,'Dados Funil'!$A:$A,'Dados Funil'!$L:$L,"")</f>
        <v/>
      </c>
      <c r="X417" s="4"/>
      <c r="Y417" s="4"/>
      <c r="Z417" s="7" t="str">
        <f t="shared" si="5"/>
        <v/>
      </c>
      <c r="AA417" s="4" t="str">
        <f t="shared" si="13"/>
        <v/>
      </c>
      <c r="AB417" s="4" t="str">
        <f t="array" ref="AB417">XLOOKUP(X417,'Dados Funil'!A:A,'Dados Funil'!O:O,"")</f>
        <v/>
      </c>
      <c r="AE417" s="7" t="str">
        <f t="shared" si="6"/>
        <v/>
      </c>
      <c r="AG417" s="4" t="str">
        <f t="array" ref="AG417">XLOOKUP(AC417,'Dados Funil'!A:A,'Dados Funil'!AM:AM,"")</f>
        <v/>
      </c>
      <c r="AH417" s="4" t="str">
        <f t="array" ref="AH417">XLOOKUP(AC417,'Dados Funil'!A:A,'Dados Funil'!AN:AN,"")</f>
        <v/>
      </c>
    </row>
    <row r="418">
      <c r="A418" s="4"/>
      <c r="B418" s="4"/>
      <c r="C418" s="7" t="str">
        <f t="shared" si="1"/>
        <v/>
      </c>
      <c r="D418" s="4" t="str">
        <f t="shared" si="9"/>
        <v/>
      </c>
      <c r="E418" s="4" t="str">
        <f t="array" ref="E418">XLOOKUP(A418,'Dados Funil'!$A:$A,'Dados Funil'!$K:$K,"")</f>
        <v/>
      </c>
      <c r="F418" s="4" t="str">
        <f t="array" ref="F418">XLOOKUP(A418,'Dados Funil'!$A:$A,'Dados Funil'!$L:$L,"")</f>
        <v/>
      </c>
      <c r="G418" s="4"/>
      <c r="H418" s="4"/>
      <c r="I418" s="7" t="str">
        <f t="shared" si="2"/>
        <v/>
      </c>
      <c r="J418" s="4" t="str">
        <f t="shared" si="10"/>
        <v/>
      </c>
      <c r="K418" s="4" t="str">
        <f t="array" ref="K418">XLOOKUP(G418,'Dados Funil'!A:A,'Dados Funil'!O:O,"")</f>
        <v/>
      </c>
      <c r="L418" s="4"/>
      <c r="M418" s="4"/>
      <c r="N418" s="7" t="str">
        <f t="shared" si="3"/>
        <v/>
      </c>
      <c r="O418" s="4" t="str">
        <f t="shared" si="11"/>
        <v/>
      </c>
      <c r="P418" s="4" t="str">
        <f t="array" ref="P418">XLOOKUP(L418,'Dados Funil'!A:A,'Dados Funil'!AM:AM,"")</f>
        <v/>
      </c>
      <c r="Q418" s="4" t="str">
        <f t="array" ref="Q418">XLOOKUP(L418,'Dados Funil'!A:A,'Dados Funil'!AN:AN,"")</f>
        <v/>
      </c>
      <c r="T418" s="7" t="str">
        <f t="shared" si="4"/>
        <v/>
      </c>
      <c r="U418" s="4" t="str">
        <f t="shared" si="12"/>
        <v/>
      </c>
      <c r="V418" s="4" t="str">
        <f t="array" ref="V418">XLOOKUP(R418,'Dados Funil'!$A:$A,'Dados Funil'!$K:$K,"")</f>
        <v/>
      </c>
      <c r="W418" s="4" t="str">
        <f t="array" ref="W418">XLOOKUP(R418,'Dados Funil'!$A:$A,'Dados Funil'!$L:$L,"")</f>
        <v/>
      </c>
      <c r="X418" s="4"/>
      <c r="Y418" s="4"/>
      <c r="Z418" s="7" t="str">
        <f t="shared" si="5"/>
        <v/>
      </c>
      <c r="AA418" s="4" t="str">
        <f t="shared" si="13"/>
        <v/>
      </c>
      <c r="AB418" s="4" t="str">
        <f t="array" ref="AB418">XLOOKUP(X418,'Dados Funil'!A:A,'Dados Funil'!O:O,"")</f>
        <v/>
      </c>
      <c r="AE418" s="7" t="str">
        <f t="shared" si="6"/>
        <v/>
      </c>
      <c r="AG418" s="4" t="str">
        <f t="array" ref="AG418">XLOOKUP(AC418,'Dados Funil'!A:A,'Dados Funil'!AM:AM,"")</f>
        <v/>
      </c>
      <c r="AH418" s="4" t="str">
        <f t="array" ref="AH418">XLOOKUP(AC418,'Dados Funil'!A:A,'Dados Funil'!AN:AN,"")</f>
        <v/>
      </c>
    </row>
    <row r="419">
      <c r="A419" s="4"/>
      <c r="B419" s="4"/>
      <c r="C419" s="7" t="str">
        <f t="shared" si="1"/>
        <v/>
      </c>
      <c r="D419" s="4" t="str">
        <f t="shared" si="9"/>
        <v/>
      </c>
      <c r="E419" s="4" t="str">
        <f t="array" ref="E419">XLOOKUP(A419,'Dados Funil'!$A:$A,'Dados Funil'!$K:$K,"")</f>
        <v/>
      </c>
      <c r="F419" s="4" t="str">
        <f t="array" ref="F419">XLOOKUP(A419,'Dados Funil'!$A:$A,'Dados Funil'!$L:$L,"")</f>
        <v/>
      </c>
      <c r="G419" s="4"/>
      <c r="H419" s="4"/>
      <c r="I419" s="7" t="str">
        <f t="shared" si="2"/>
        <v/>
      </c>
      <c r="J419" s="4" t="str">
        <f t="shared" si="10"/>
        <v/>
      </c>
      <c r="K419" s="4" t="str">
        <f t="array" ref="K419">XLOOKUP(G419,'Dados Funil'!A:A,'Dados Funil'!O:O,"")</f>
        <v/>
      </c>
      <c r="L419" s="4"/>
      <c r="M419" s="4"/>
      <c r="N419" s="7" t="str">
        <f t="shared" si="3"/>
        <v/>
      </c>
      <c r="O419" s="4" t="str">
        <f t="shared" si="11"/>
        <v/>
      </c>
      <c r="P419" s="4" t="str">
        <f t="array" ref="P419">XLOOKUP(L419,'Dados Funil'!A:A,'Dados Funil'!AM:AM,"")</f>
        <v/>
      </c>
      <c r="Q419" s="4" t="str">
        <f t="array" ref="Q419">XLOOKUP(L419,'Dados Funil'!A:A,'Dados Funil'!AN:AN,"")</f>
        <v/>
      </c>
      <c r="T419" s="7" t="str">
        <f t="shared" si="4"/>
        <v/>
      </c>
      <c r="U419" s="4" t="str">
        <f t="shared" si="12"/>
        <v/>
      </c>
      <c r="V419" s="4" t="str">
        <f t="array" ref="V419">XLOOKUP(R419,'Dados Funil'!$A:$A,'Dados Funil'!$K:$K,"")</f>
        <v/>
      </c>
      <c r="W419" s="4" t="str">
        <f t="array" ref="W419">XLOOKUP(R419,'Dados Funil'!$A:$A,'Dados Funil'!$L:$L,"")</f>
        <v/>
      </c>
      <c r="X419" s="4"/>
      <c r="Y419" s="4"/>
      <c r="Z419" s="7" t="str">
        <f t="shared" si="5"/>
        <v/>
      </c>
      <c r="AA419" s="4" t="str">
        <f t="shared" si="13"/>
        <v/>
      </c>
      <c r="AB419" s="4" t="str">
        <f t="array" ref="AB419">XLOOKUP(X419,'Dados Funil'!A:A,'Dados Funil'!O:O,"")</f>
        <v/>
      </c>
      <c r="AE419" s="7" t="str">
        <f t="shared" si="6"/>
        <v/>
      </c>
      <c r="AG419" s="4" t="str">
        <f t="array" ref="AG419">XLOOKUP(AC419,'Dados Funil'!A:A,'Dados Funil'!AM:AM,"")</f>
        <v/>
      </c>
      <c r="AH419" s="4" t="str">
        <f t="array" ref="AH419">XLOOKUP(AC419,'Dados Funil'!A:A,'Dados Funil'!AN:AN,"")</f>
        <v/>
      </c>
    </row>
    <row r="420">
      <c r="A420" s="4"/>
      <c r="B420" s="4"/>
      <c r="C420" s="7" t="str">
        <f t="shared" si="1"/>
        <v/>
      </c>
      <c r="D420" s="4" t="str">
        <f t="shared" si="9"/>
        <v/>
      </c>
      <c r="E420" s="4" t="str">
        <f t="array" ref="E420">XLOOKUP(A420,'Dados Funil'!$A:$A,'Dados Funil'!$K:$K,"")</f>
        <v/>
      </c>
      <c r="F420" s="4" t="str">
        <f t="array" ref="F420">XLOOKUP(A420,'Dados Funil'!$A:$A,'Dados Funil'!$L:$L,"")</f>
        <v/>
      </c>
      <c r="G420" s="4"/>
      <c r="H420" s="4"/>
      <c r="I420" s="7" t="str">
        <f t="shared" si="2"/>
        <v/>
      </c>
      <c r="J420" s="4" t="str">
        <f t="shared" si="10"/>
        <v/>
      </c>
      <c r="K420" s="4" t="str">
        <f t="array" ref="K420">XLOOKUP(G420,'Dados Funil'!A:A,'Dados Funil'!O:O,"")</f>
        <v/>
      </c>
      <c r="L420" s="4"/>
      <c r="M420" s="4"/>
      <c r="N420" s="7" t="str">
        <f t="shared" si="3"/>
        <v/>
      </c>
      <c r="O420" s="4" t="str">
        <f t="shared" si="11"/>
        <v/>
      </c>
      <c r="P420" s="4" t="str">
        <f t="array" ref="P420">XLOOKUP(L420,'Dados Funil'!A:A,'Dados Funil'!AM:AM,"")</f>
        <v/>
      </c>
      <c r="Q420" s="4" t="str">
        <f t="array" ref="Q420">XLOOKUP(L420,'Dados Funil'!A:A,'Dados Funil'!AN:AN,"")</f>
        <v/>
      </c>
      <c r="T420" s="7" t="str">
        <f t="shared" si="4"/>
        <v/>
      </c>
      <c r="U420" s="4" t="str">
        <f t="shared" si="12"/>
        <v/>
      </c>
      <c r="V420" s="4" t="str">
        <f t="array" ref="V420">XLOOKUP(R420,'Dados Funil'!$A:$A,'Dados Funil'!$K:$K,"")</f>
        <v/>
      </c>
      <c r="W420" s="4" t="str">
        <f t="array" ref="W420">XLOOKUP(R420,'Dados Funil'!$A:$A,'Dados Funil'!$L:$L,"")</f>
        <v/>
      </c>
      <c r="X420" s="4"/>
      <c r="Y420" s="4"/>
      <c r="Z420" s="7" t="str">
        <f t="shared" si="5"/>
        <v/>
      </c>
      <c r="AA420" s="4" t="str">
        <f t="shared" si="13"/>
        <v/>
      </c>
      <c r="AB420" s="4" t="str">
        <f t="array" ref="AB420">XLOOKUP(X420,'Dados Funil'!A:A,'Dados Funil'!O:O,"")</f>
        <v/>
      </c>
      <c r="AE420" s="7" t="str">
        <f t="shared" si="6"/>
        <v/>
      </c>
      <c r="AG420" s="4" t="str">
        <f t="array" ref="AG420">XLOOKUP(AC420,'Dados Funil'!A:A,'Dados Funil'!AM:AM,"")</f>
        <v/>
      </c>
      <c r="AH420" s="4" t="str">
        <f t="array" ref="AH420">XLOOKUP(AC420,'Dados Funil'!A:A,'Dados Funil'!AN:AN,"")</f>
        <v/>
      </c>
    </row>
    <row r="421">
      <c r="A421" s="4"/>
      <c r="B421" s="4"/>
      <c r="C421" s="7" t="str">
        <f t="shared" si="1"/>
        <v/>
      </c>
      <c r="D421" s="4" t="str">
        <f t="shared" si="9"/>
        <v/>
      </c>
      <c r="E421" s="4" t="str">
        <f t="array" ref="E421">XLOOKUP(A421,'Dados Funil'!$A:$A,'Dados Funil'!$K:$K,"")</f>
        <v/>
      </c>
      <c r="F421" s="4" t="str">
        <f t="array" ref="F421">XLOOKUP(A421,'Dados Funil'!$A:$A,'Dados Funil'!$L:$L,"")</f>
        <v/>
      </c>
      <c r="G421" s="4"/>
      <c r="H421" s="4"/>
      <c r="I421" s="7" t="str">
        <f t="shared" si="2"/>
        <v/>
      </c>
      <c r="J421" s="4" t="str">
        <f t="shared" si="10"/>
        <v/>
      </c>
      <c r="K421" s="4" t="str">
        <f t="array" ref="K421">XLOOKUP(G421,'Dados Funil'!A:A,'Dados Funil'!O:O,"")</f>
        <v/>
      </c>
      <c r="L421" s="4"/>
      <c r="M421" s="4"/>
      <c r="N421" s="7" t="str">
        <f t="shared" si="3"/>
        <v/>
      </c>
      <c r="O421" s="4" t="str">
        <f t="shared" si="11"/>
        <v/>
      </c>
      <c r="P421" s="4" t="str">
        <f t="array" ref="P421">XLOOKUP(L421,'Dados Funil'!A:A,'Dados Funil'!AM:AM,"")</f>
        <v/>
      </c>
      <c r="Q421" s="4" t="str">
        <f t="array" ref="Q421">XLOOKUP(L421,'Dados Funil'!A:A,'Dados Funil'!AN:AN,"")</f>
        <v/>
      </c>
      <c r="T421" s="7" t="str">
        <f t="shared" si="4"/>
        <v/>
      </c>
      <c r="U421" s="4" t="str">
        <f t="shared" si="12"/>
        <v/>
      </c>
      <c r="V421" s="4" t="str">
        <f t="array" ref="V421">XLOOKUP(R421,'Dados Funil'!$A:$A,'Dados Funil'!$K:$K,"")</f>
        <v/>
      </c>
      <c r="W421" s="4" t="str">
        <f t="array" ref="W421">XLOOKUP(R421,'Dados Funil'!$A:$A,'Dados Funil'!$L:$L,"")</f>
        <v/>
      </c>
      <c r="X421" s="4"/>
      <c r="Y421" s="4"/>
      <c r="Z421" s="7" t="str">
        <f t="shared" si="5"/>
        <v/>
      </c>
      <c r="AA421" s="4" t="str">
        <f t="shared" si="13"/>
        <v/>
      </c>
      <c r="AB421" s="4" t="str">
        <f t="array" ref="AB421">XLOOKUP(X421,'Dados Funil'!A:A,'Dados Funil'!O:O,"")</f>
        <v/>
      </c>
      <c r="AE421" s="7" t="str">
        <f t="shared" si="6"/>
        <v/>
      </c>
      <c r="AG421" s="4" t="str">
        <f t="array" ref="AG421">XLOOKUP(AC421,'Dados Funil'!A:A,'Dados Funil'!AM:AM,"")</f>
        <v/>
      </c>
      <c r="AH421" s="4" t="str">
        <f t="array" ref="AH421">XLOOKUP(AC421,'Dados Funil'!A:A,'Dados Funil'!AN:AN,"")</f>
        <v/>
      </c>
    </row>
    <row r="422">
      <c r="A422" s="4"/>
      <c r="B422" s="4"/>
      <c r="C422" s="7" t="str">
        <f t="shared" si="1"/>
        <v/>
      </c>
      <c r="D422" s="4" t="str">
        <f t="shared" si="9"/>
        <v/>
      </c>
      <c r="E422" s="4" t="str">
        <f t="array" ref="E422">XLOOKUP(A422,'Dados Funil'!$A:$A,'Dados Funil'!$K:$K,"")</f>
        <v/>
      </c>
      <c r="F422" s="4" t="str">
        <f t="array" ref="F422">XLOOKUP(A422,'Dados Funil'!$A:$A,'Dados Funil'!$L:$L,"")</f>
        <v/>
      </c>
      <c r="G422" s="4"/>
      <c r="H422" s="4"/>
      <c r="I422" s="7" t="str">
        <f t="shared" si="2"/>
        <v/>
      </c>
      <c r="J422" s="4" t="str">
        <f t="shared" si="10"/>
        <v/>
      </c>
      <c r="K422" s="4" t="str">
        <f t="array" ref="K422">XLOOKUP(G422,'Dados Funil'!A:A,'Dados Funil'!O:O,"")</f>
        <v/>
      </c>
      <c r="L422" s="4"/>
      <c r="M422" s="4"/>
      <c r="N422" s="7" t="str">
        <f t="shared" si="3"/>
        <v/>
      </c>
      <c r="O422" s="4" t="str">
        <f t="shared" si="11"/>
        <v/>
      </c>
      <c r="P422" s="4" t="str">
        <f t="array" ref="P422">XLOOKUP(L422,'Dados Funil'!A:A,'Dados Funil'!AM:AM,"")</f>
        <v/>
      </c>
      <c r="Q422" s="4" t="str">
        <f t="array" ref="Q422">XLOOKUP(L422,'Dados Funil'!A:A,'Dados Funil'!AN:AN,"")</f>
        <v/>
      </c>
      <c r="T422" s="7" t="str">
        <f t="shared" si="4"/>
        <v/>
      </c>
      <c r="U422" s="4" t="str">
        <f t="shared" si="12"/>
        <v/>
      </c>
      <c r="V422" s="4" t="str">
        <f t="array" ref="V422">XLOOKUP(R422,'Dados Funil'!$A:$A,'Dados Funil'!$K:$K,"")</f>
        <v/>
      </c>
      <c r="W422" s="4" t="str">
        <f t="array" ref="W422">XLOOKUP(R422,'Dados Funil'!$A:$A,'Dados Funil'!$L:$L,"")</f>
        <v/>
      </c>
      <c r="X422" s="4"/>
      <c r="Y422" s="4"/>
      <c r="Z422" s="7" t="str">
        <f t="shared" si="5"/>
        <v/>
      </c>
      <c r="AA422" s="4" t="str">
        <f t="shared" si="13"/>
        <v/>
      </c>
      <c r="AB422" s="4" t="str">
        <f t="array" ref="AB422">XLOOKUP(X422,'Dados Funil'!A:A,'Dados Funil'!O:O,"")</f>
        <v/>
      </c>
      <c r="AE422" s="7" t="str">
        <f t="shared" si="6"/>
        <v/>
      </c>
      <c r="AG422" s="4" t="str">
        <f t="array" ref="AG422">XLOOKUP(AC422,'Dados Funil'!A:A,'Dados Funil'!AM:AM,"")</f>
        <v/>
      </c>
      <c r="AH422" s="4" t="str">
        <f t="array" ref="AH422">XLOOKUP(AC422,'Dados Funil'!A:A,'Dados Funil'!AN:AN,"")</f>
        <v/>
      </c>
    </row>
    <row r="423">
      <c r="A423" s="4"/>
      <c r="B423" s="4"/>
      <c r="C423" s="7" t="str">
        <f t="shared" si="1"/>
        <v/>
      </c>
      <c r="D423" s="4" t="str">
        <f t="shared" si="9"/>
        <v/>
      </c>
      <c r="E423" s="4" t="str">
        <f t="array" ref="E423">XLOOKUP(A423,'Dados Funil'!$A:$A,'Dados Funil'!$K:$K,"")</f>
        <v/>
      </c>
      <c r="F423" s="4" t="str">
        <f t="array" ref="F423">XLOOKUP(A423,'Dados Funil'!$A:$A,'Dados Funil'!$L:$L,"")</f>
        <v/>
      </c>
      <c r="G423" s="4"/>
      <c r="H423" s="4"/>
      <c r="I423" s="7" t="str">
        <f t="shared" si="2"/>
        <v/>
      </c>
      <c r="J423" s="4" t="str">
        <f t="shared" si="10"/>
        <v/>
      </c>
      <c r="K423" s="4" t="str">
        <f t="array" ref="K423">XLOOKUP(G423,'Dados Funil'!A:A,'Dados Funil'!O:O,"")</f>
        <v/>
      </c>
      <c r="L423" s="4"/>
      <c r="M423" s="4"/>
      <c r="N423" s="7" t="str">
        <f t="shared" si="3"/>
        <v/>
      </c>
      <c r="O423" s="4" t="str">
        <f t="shared" si="11"/>
        <v/>
      </c>
      <c r="P423" s="4" t="str">
        <f t="array" ref="P423">XLOOKUP(L423,'Dados Funil'!A:A,'Dados Funil'!AM:AM,"")</f>
        <v/>
      </c>
      <c r="Q423" s="4" t="str">
        <f t="array" ref="Q423">XLOOKUP(L423,'Dados Funil'!A:A,'Dados Funil'!AN:AN,"")</f>
        <v/>
      </c>
      <c r="T423" s="7" t="str">
        <f t="shared" si="4"/>
        <v/>
      </c>
      <c r="U423" s="4" t="str">
        <f t="shared" si="12"/>
        <v/>
      </c>
      <c r="V423" s="4" t="str">
        <f t="array" ref="V423">XLOOKUP(R423,'Dados Funil'!$A:$A,'Dados Funil'!$K:$K,"")</f>
        <v/>
      </c>
      <c r="W423" s="4" t="str">
        <f t="array" ref="W423">XLOOKUP(R423,'Dados Funil'!$A:$A,'Dados Funil'!$L:$L,"")</f>
        <v/>
      </c>
      <c r="X423" s="4"/>
      <c r="Y423" s="4"/>
      <c r="Z423" s="7" t="str">
        <f t="shared" si="5"/>
        <v/>
      </c>
      <c r="AA423" s="4" t="str">
        <f t="shared" si="13"/>
        <v/>
      </c>
      <c r="AB423" s="4" t="str">
        <f t="array" ref="AB423">XLOOKUP(X423,'Dados Funil'!A:A,'Dados Funil'!O:O,"")</f>
        <v/>
      </c>
      <c r="AE423" s="7" t="str">
        <f t="shared" si="6"/>
        <v/>
      </c>
      <c r="AG423" s="4" t="str">
        <f t="array" ref="AG423">XLOOKUP(AC423,'Dados Funil'!A:A,'Dados Funil'!AM:AM,"")</f>
        <v/>
      </c>
      <c r="AH423" s="4" t="str">
        <f t="array" ref="AH423">XLOOKUP(AC423,'Dados Funil'!A:A,'Dados Funil'!AN:AN,"")</f>
        <v/>
      </c>
    </row>
    <row r="424">
      <c r="A424" s="4"/>
      <c r="B424" s="4"/>
      <c r="C424" s="7" t="str">
        <f t="shared" si="1"/>
        <v/>
      </c>
      <c r="D424" s="4" t="str">
        <f t="shared" si="9"/>
        <v/>
      </c>
      <c r="E424" s="4" t="str">
        <f t="array" ref="E424">XLOOKUP(A424,'Dados Funil'!$A:$A,'Dados Funil'!$K:$K,"")</f>
        <v/>
      </c>
      <c r="F424" s="4" t="str">
        <f t="array" ref="F424">XLOOKUP(A424,'Dados Funil'!$A:$A,'Dados Funil'!$L:$L,"")</f>
        <v/>
      </c>
      <c r="G424" s="4"/>
      <c r="H424" s="4"/>
      <c r="I424" s="7" t="str">
        <f t="shared" si="2"/>
        <v/>
      </c>
      <c r="J424" s="4" t="str">
        <f t="shared" si="10"/>
        <v/>
      </c>
      <c r="K424" s="4" t="str">
        <f t="array" ref="K424">XLOOKUP(G424,'Dados Funil'!A:A,'Dados Funil'!O:O,"")</f>
        <v/>
      </c>
      <c r="L424" s="4"/>
      <c r="M424" s="4"/>
      <c r="N424" s="7" t="str">
        <f t="shared" si="3"/>
        <v/>
      </c>
      <c r="O424" s="4" t="str">
        <f t="shared" si="11"/>
        <v/>
      </c>
      <c r="P424" s="4" t="str">
        <f t="array" ref="P424">XLOOKUP(L424,'Dados Funil'!A:A,'Dados Funil'!AM:AM,"")</f>
        <v/>
      </c>
      <c r="Q424" s="4" t="str">
        <f t="array" ref="Q424">XLOOKUP(L424,'Dados Funil'!A:A,'Dados Funil'!AN:AN,"")</f>
        <v/>
      </c>
      <c r="T424" s="7" t="str">
        <f t="shared" si="4"/>
        <v/>
      </c>
      <c r="U424" s="4" t="str">
        <f t="shared" si="12"/>
        <v/>
      </c>
      <c r="V424" s="4" t="str">
        <f t="array" ref="V424">XLOOKUP(R424,'Dados Funil'!$A:$A,'Dados Funil'!$K:$K,"")</f>
        <v/>
      </c>
      <c r="W424" s="4" t="str">
        <f t="array" ref="W424">XLOOKUP(R424,'Dados Funil'!$A:$A,'Dados Funil'!$L:$L,"")</f>
        <v/>
      </c>
      <c r="X424" s="4"/>
      <c r="Y424" s="4"/>
      <c r="Z424" s="7" t="str">
        <f t="shared" si="5"/>
        <v/>
      </c>
      <c r="AA424" s="4" t="str">
        <f t="shared" si="13"/>
        <v/>
      </c>
      <c r="AB424" s="4" t="str">
        <f t="array" ref="AB424">XLOOKUP(X424,'Dados Funil'!A:A,'Dados Funil'!O:O,"")</f>
        <v/>
      </c>
      <c r="AE424" s="7" t="str">
        <f t="shared" si="6"/>
        <v/>
      </c>
      <c r="AG424" s="4" t="str">
        <f t="array" ref="AG424">XLOOKUP(AC424,'Dados Funil'!A:A,'Dados Funil'!AM:AM,"")</f>
        <v/>
      </c>
      <c r="AH424" s="4" t="str">
        <f t="array" ref="AH424">XLOOKUP(AC424,'Dados Funil'!A:A,'Dados Funil'!AN:AN,"")</f>
        <v/>
      </c>
    </row>
    <row r="425">
      <c r="A425" s="4"/>
      <c r="B425" s="4"/>
      <c r="C425" s="7" t="str">
        <f t="shared" si="1"/>
        <v/>
      </c>
      <c r="D425" s="4" t="str">
        <f t="shared" si="9"/>
        <v/>
      </c>
      <c r="E425" s="4" t="str">
        <f t="array" ref="E425">XLOOKUP(A425,'Dados Funil'!$A:$A,'Dados Funil'!$K:$K,"")</f>
        <v/>
      </c>
      <c r="F425" s="4" t="str">
        <f t="array" ref="F425">XLOOKUP(A425,'Dados Funil'!$A:$A,'Dados Funil'!$L:$L,"")</f>
        <v/>
      </c>
      <c r="G425" s="4"/>
      <c r="H425" s="4"/>
      <c r="I425" s="7" t="str">
        <f t="shared" si="2"/>
        <v/>
      </c>
      <c r="J425" s="4" t="str">
        <f t="shared" si="10"/>
        <v/>
      </c>
      <c r="K425" s="4" t="str">
        <f t="array" ref="K425">XLOOKUP(G425,'Dados Funil'!A:A,'Dados Funil'!O:O,"")</f>
        <v/>
      </c>
      <c r="L425" s="4"/>
      <c r="M425" s="4"/>
      <c r="N425" s="7" t="str">
        <f t="shared" si="3"/>
        <v/>
      </c>
      <c r="O425" s="4" t="str">
        <f t="shared" si="11"/>
        <v/>
      </c>
      <c r="P425" s="4" t="str">
        <f t="array" ref="P425">XLOOKUP(L425,'Dados Funil'!A:A,'Dados Funil'!AM:AM,"")</f>
        <v/>
      </c>
      <c r="Q425" s="4" t="str">
        <f t="array" ref="Q425">XLOOKUP(L425,'Dados Funil'!A:A,'Dados Funil'!AN:AN,"")</f>
        <v/>
      </c>
      <c r="T425" s="7" t="str">
        <f t="shared" si="4"/>
        <v/>
      </c>
      <c r="U425" s="4" t="str">
        <f t="shared" si="12"/>
        <v/>
      </c>
      <c r="V425" s="4" t="str">
        <f t="array" ref="V425">XLOOKUP(R425,'Dados Funil'!$A:$A,'Dados Funil'!$K:$K,"")</f>
        <v/>
      </c>
      <c r="W425" s="4" t="str">
        <f t="array" ref="W425">XLOOKUP(R425,'Dados Funil'!$A:$A,'Dados Funil'!$L:$L,"")</f>
        <v/>
      </c>
      <c r="X425" s="4"/>
      <c r="Y425" s="4"/>
      <c r="Z425" s="7" t="str">
        <f t="shared" si="5"/>
        <v/>
      </c>
      <c r="AA425" s="4" t="str">
        <f t="shared" si="13"/>
        <v/>
      </c>
      <c r="AB425" s="4" t="str">
        <f t="array" ref="AB425">XLOOKUP(X425,'Dados Funil'!A:A,'Dados Funil'!O:O,"")</f>
        <v/>
      </c>
      <c r="AE425" s="7" t="str">
        <f t="shared" si="6"/>
        <v/>
      </c>
      <c r="AG425" s="4" t="str">
        <f t="array" ref="AG425">XLOOKUP(AC425,'Dados Funil'!A:A,'Dados Funil'!AM:AM,"")</f>
        <v/>
      </c>
      <c r="AH425" s="4" t="str">
        <f t="array" ref="AH425">XLOOKUP(AC425,'Dados Funil'!A:A,'Dados Funil'!AN:AN,"")</f>
        <v/>
      </c>
    </row>
    <row r="426">
      <c r="A426" s="4"/>
      <c r="B426" s="4"/>
      <c r="C426" s="7" t="str">
        <f t="shared" si="1"/>
        <v/>
      </c>
      <c r="D426" s="4" t="str">
        <f t="shared" si="9"/>
        <v/>
      </c>
      <c r="E426" s="4" t="str">
        <f t="array" ref="E426">XLOOKUP(A426,'Dados Funil'!$A:$A,'Dados Funil'!$K:$K,"")</f>
        <v/>
      </c>
      <c r="F426" s="4" t="str">
        <f t="array" ref="F426">XLOOKUP(A426,'Dados Funil'!$A:$A,'Dados Funil'!$L:$L,"")</f>
        <v/>
      </c>
      <c r="G426" s="4"/>
      <c r="H426" s="4"/>
      <c r="I426" s="7" t="str">
        <f t="shared" si="2"/>
        <v/>
      </c>
      <c r="J426" s="4" t="str">
        <f t="shared" si="10"/>
        <v/>
      </c>
      <c r="K426" s="4" t="str">
        <f t="array" ref="K426">XLOOKUP(G426,'Dados Funil'!A:A,'Dados Funil'!O:O,"")</f>
        <v/>
      </c>
      <c r="L426" s="4"/>
      <c r="M426" s="4"/>
      <c r="N426" s="7" t="str">
        <f t="shared" si="3"/>
        <v/>
      </c>
      <c r="O426" s="4" t="str">
        <f t="shared" si="11"/>
        <v/>
      </c>
      <c r="P426" s="4" t="str">
        <f t="array" ref="P426">XLOOKUP(L426,'Dados Funil'!A:A,'Dados Funil'!AM:AM,"")</f>
        <v/>
      </c>
      <c r="Q426" s="4" t="str">
        <f t="array" ref="Q426">XLOOKUP(L426,'Dados Funil'!A:A,'Dados Funil'!AN:AN,"")</f>
        <v/>
      </c>
      <c r="T426" s="7" t="str">
        <f t="shared" si="4"/>
        <v/>
      </c>
      <c r="U426" s="4" t="str">
        <f t="shared" si="12"/>
        <v/>
      </c>
      <c r="V426" s="4" t="str">
        <f t="array" ref="V426">XLOOKUP(R426,'Dados Funil'!$A:$A,'Dados Funil'!$K:$K,"")</f>
        <v/>
      </c>
      <c r="W426" s="4" t="str">
        <f t="array" ref="W426">XLOOKUP(R426,'Dados Funil'!$A:$A,'Dados Funil'!$L:$L,"")</f>
        <v/>
      </c>
      <c r="X426" s="4"/>
      <c r="Y426" s="4"/>
      <c r="Z426" s="7" t="str">
        <f t="shared" si="5"/>
        <v/>
      </c>
      <c r="AA426" s="4" t="str">
        <f t="shared" si="13"/>
        <v/>
      </c>
      <c r="AB426" s="4" t="str">
        <f t="array" ref="AB426">XLOOKUP(X426,'Dados Funil'!A:A,'Dados Funil'!O:O,"")</f>
        <v/>
      </c>
      <c r="AE426" s="7" t="str">
        <f t="shared" si="6"/>
        <v/>
      </c>
      <c r="AG426" s="4" t="str">
        <f t="array" ref="AG426">XLOOKUP(AC426,'Dados Funil'!A:A,'Dados Funil'!AM:AM,"")</f>
        <v/>
      </c>
      <c r="AH426" s="4" t="str">
        <f t="array" ref="AH426">XLOOKUP(AC426,'Dados Funil'!A:A,'Dados Funil'!AN:AN,"")</f>
        <v/>
      </c>
    </row>
    <row r="427">
      <c r="A427" s="4"/>
      <c r="B427" s="4"/>
      <c r="C427" s="7" t="str">
        <f t="shared" si="1"/>
        <v/>
      </c>
      <c r="D427" s="4" t="str">
        <f t="shared" si="9"/>
        <v/>
      </c>
      <c r="E427" s="4" t="str">
        <f t="array" ref="E427">XLOOKUP(A427,'Dados Funil'!$A:$A,'Dados Funil'!$K:$K,"")</f>
        <v/>
      </c>
      <c r="F427" s="4" t="str">
        <f t="array" ref="F427">XLOOKUP(A427,'Dados Funil'!$A:$A,'Dados Funil'!$L:$L,"")</f>
        <v/>
      </c>
      <c r="G427" s="4"/>
      <c r="H427" s="4"/>
      <c r="I427" s="7" t="str">
        <f t="shared" si="2"/>
        <v/>
      </c>
      <c r="J427" s="4" t="str">
        <f t="shared" si="10"/>
        <v/>
      </c>
      <c r="K427" s="4" t="str">
        <f t="array" ref="K427">XLOOKUP(G427,'Dados Funil'!A:A,'Dados Funil'!O:O,"")</f>
        <v/>
      </c>
      <c r="L427" s="4"/>
      <c r="M427" s="4"/>
      <c r="N427" s="7" t="str">
        <f t="shared" si="3"/>
        <v/>
      </c>
      <c r="O427" s="4" t="str">
        <f t="shared" si="11"/>
        <v/>
      </c>
      <c r="P427" s="4" t="str">
        <f t="array" ref="P427">XLOOKUP(L427,'Dados Funil'!A:A,'Dados Funil'!AM:AM,"")</f>
        <v/>
      </c>
      <c r="Q427" s="4" t="str">
        <f t="array" ref="Q427">XLOOKUP(L427,'Dados Funil'!A:A,'Dados Funil'!AN:AN,"")</f>
        <v/>
      </c>
      <c r="T427" s="7" t="str">
        <f t="shared" si="4"/>
        <v/>
      </c>
      <c r="U427" s="4" t="str">
        <f t="shared" si="12"/>
        <v/>
      </c>
      <c r="V427" s="4" t="str">
        <f t="array" ref="V427">XLOOKUP(R427,'Dados Funil'!$A:$A,'Dados Funil'!$K:$K,"")</f>
        <v/>
      </c>
      <c r="W427" s="4" t="str">
        <f t="array" ref="W427">XLOOKUP(R427,'Dados Funil'!$A:$A,'Dados Funil'!$L:$L,"")</f>
        <v/>
      </c>
      <c r="X427" s="4"/>
      <c r="Y427" s="4"/>
      <c r="Z427" s="7" t="str">
        <f t="shared" si="5"/>
        <v/>
      </c>
      <c r="AA427" s="4" t="str">
        <f t="shared" si="13"/>
        <v/>
      </c>
      <c r="AB427" s="4" t="str">
        <f t="array" ref="AB427">XLOOKUP(X427,'Dados Funil'!A:A,'Dados Funil'!O:O,"")</f>
        <v/>
      </c>
      <c r="AE427" s="7" t="str">
        <f t="shared" si="6"/>
        <v/>
      </c>
      <c r="AG427" s="4" t="str">
        <f t="array" ref="AG427">XLOOKUP(AC427,'Dados Funil'!A:A,'Dados Funil'!AM:AM,"")</f>
        <v/>
      </c>
      <c r="AH427" s="4" t="str">
        <f t="array" ref="AH427">XLOOKUP(AC427,'Dados Funil'!A:A,'Dados Funil'!AN:AN,"")</f>
        <v/>
      </c>
    </row>
    <row r="428">
      <c r="A428" s="4"/>
      <c r="B428" s="4"/>
      <c r="C428" s="7" t="str">
        <f t="shared" si="1"/>
        <v/>
      </c>
      <c r="D428" s="4" t="str">
        <f t="shared" si="9"/>
        <v/>
      </c>
      <c r="E428" s="4" t="str">
        <f t="array" ref="E428">XLOOKUP(A428,'Dados Funil'!$A:$A,'Dados Funil'!$K:$K,"")</f>
        <v/>
      </c>
      <c r="F428" s="4" t="str">
        <f t="array" ref="F428">XLOOKUP(A428,'Dados Funil'!$A:$A,'Dados Funil'!$L:$L,"")</f>
        <v/>
      </c>
      <c r="G428" s="4"/>
      <c r="H428" s="4"/>
      <c r="I428" s="7" t="str">
        <f t="shared" si="2"/>
        <v/>
      </c>
      <c r="J428" s="4" t="str">
        <f t="shared" si="10"/>
        <v/>
      </c>
      <c r="K428" s="4" t="str">
        <f t="array" ref="K428">XLOOKUP(G428,'Dados Funil'!A:A,'Dados Funil'!O:O,"")</f>
        <v/>
      </c>
      <c r="L428" s="4"/>
      <c r="M428" s="4"/>
      <c r="N428" s="7" t="str">
        <f t="shared" si="3"/>
        <v/>
      </c>
      <c r="O428" s="4" t="str">
        <f t="shared" si="11"/>
        <v/>
      </c>
      <c r="P428" s="4" t="str">
        <f t="array" ref="P428">XLOOKUP(L428,'Dados Funil'!A:A,'Dados Funil'!AM:AM,"")</f>
        <v/>
      </c>
      <c r="Q428" s="4" t="str">
        <f t="array" ref="Q428">XLOOKUP(L428,'Dados Funil'!A:A,'Dados Funil'!AN:AN,"")</f>
        <v/>
      </c>
      <c r="T428" s="7" t="str">
        <f t="shared" si="4"/>
        <v/>
      </c>
      <c r="U428" s="4" t="str">
        <f t="shared" si="12"/>
        <v/>
      </c>
      <c r="V428" s="4" t="str">
        <f t="array" ref="V428">XLOOKUP(R428,'Dados Funil'!$A:$A,'Dados Funil'!$K:$K,"")</f>
        <v/>
      </c>
      <c r="W428" s="4" t="str">
        <f t="array" ref="W428">XLOOKUP(R428,'Dados Funil'!$A:$A,'Dados Funil'!$L:$L,"")</f>
        <v/>
      </c>
      <c r="X428" s="4"/>
      <c r="Y428" s="4"/>
      <c r="Z428" s="7" t="str">
        <f t="shared" si="5"/>
        <v/>
      </c>
      <c r="AA428" s="4" t="str">
        <f t="shared" si="13"/>
        <v/>
      </c>
      <c r="AB428" s="4" t="str">
        <f t="array" ref="AB428">XLOOKUP(X428,'Dados Funil'!A:A,'Dados Funil'!O:O,"")</f>
        <v/>
      </c>
      <c r="AE428" s="7" t="str">
        <f t="shared" si="6"/>
        <v/>
      </c>
      <c r="AG428" s="4" t="str">
        <f t="array" ref="AG428">XLOOKUP(AC428,'Dados Funil'!A:A,'Dados Funil'!AM:AM,"")</f>
        <v/>
      </c>
      <c r="AH428" s="4" t="str">
        <f t="array" ref="AH428">XLOOKUP(AC428,'Dados Funil'!A:A,'Dados Funil'!AN:AN,"")</f>
        <v/>
      </c>
    </row>
    <row r="429">
      <c r="A429" s="4"/>
      <c r="B429" s="4"/>
      <c r="C429" s="7" t="str">
        <f t="shared" si="1"/>
        <v/>
      </c>
      <c r="D429" s="4" t="str">
        <f t="shared" si="9"/>
        <v/>
      </c>
      <c r="E429" s="4" t="str">
        <f t="array" ref="E429">XLOOKUP(A429,'Dados Funil'!$A:$A,'Dados Funil'!$K:$K,"")</f>
        <v/>
      </c>
      <c r="F429" s="4" t="str">
        <f t="array" ref="F429">XLOOKUP(A429,'Dados Funil'!$A:$A,'Dados Funil'!$L:$L,"")</f>
        <v/>
      </c>
      <c r="G429" s="4"/>
      <c r="H429" s="4"/>
      <c r="I429" s="7" t="str">
        <f t="shared" si="2"/>
        <v/>
      </c>
      <c r="J429" s="4" t="str">
        <f t="shared" si="10"/>
        <v/>
      </c>
      <c r="K429" s="4" t="str">
        <f t="array" ref="K429">XLOOKUP(G429,'Dados Funil'!A:A,'Dados Funil'!O:O,"")</f>
        <v/>
      </c>
      <c r="L429" s="4"/>
      <c r="M429" s="4"/>
      <c r="N429" s="7" t="str">
        <f t="shared" si="3"/>
        <v/>
      </c>
      <c r="O429" s="4" t="str">
        <f t="shared" si="11"/>
        <v/>
      </c>
      <c r="P429" s="4" t="str">
        <f t="array" ref="P429">XLOOKUP(L429,'Dados Funil'!A:A,'Dados Funil'!AM:AM,"")</f>
        <v/>
      </c>
      <c r="Q429" s="4" t="str">
        <f t="array" ref="Q429">XLOOKUP(L429,'Dados Funil'!A:A,'Dados Funil'!AN:AN,"")</f>
        <v/>
      </c>
      <c r="T429" s="7" t="str">
        <f t="shared" si="4"/>
        <v/>
      </c>
      <c r="U429" s="4" t="str">
        <f t="shared" si="12"/>
        <v/>
      </c>
      <c r="V429" s="4" t="str">
        <f t="array" ref="V429">XLOOKUP(R429,'Dados Funil'!$A:$A,'Dados Funil'!$K:$K,"")</f>
        <v/>
      </c>
      <c r="W429" s="4" t="str">
        <f t="array" ref="W429">XLOOKUP(R429,'Dados Funil'!$A:$A,'Dados Funil'!$L:$L,"")</f>
        <v/>
      </c>
      <c r="X429" s="4"/>
      <c r="Y429" s="4"/>
      <c r="Z429" s="7" t="str">
        <f t="shared" si="5"/>
        <v/>
      </c>
      <c r="AA429" s="4" t="str">
        <f t="shared" si="13"/>
        <v/>
      </c>
      <c r="AB429" s="4" t="str">
        <f t="array" ref="AB429">XLOOKUP(X429,'Dados Funil'!A:A,'Dados Funil'!O:O,"")</f>
        <v/>
      </c>
      <c r="AE429" s="7" t="str">
        <f t="shared" si="6"/>
        <v/>
      </c>
      <c r="AG429" s="4" t="str">
        <f t="array" ref="AG429">XLOOKUP(AC429,'Dados Funil'!A:A,'Dados Funil'!AM:AM,"")</f>
        <v/>
      </c>
      <c r="AH429" s="4" t="str">
        <f t="array" ref="AH429">XLOOKUP(AC429,'Dados Funil'!A:A,'Dados Funil'!AN:AN,"")</f>
        <v/>
      </c>
    </row>
    <row r="430">
      <c r="A430" s="4"/>
      <c r="B430" s="4"/>
      <c r="C430" s="7" t="str">
        <f t="shared" si="1"/>
        <v/>
      </c>
      <c r="D430" s="4" t="str">
        <f t="shared" si="9"/>
        <v/>
      </c>
      <c r="E430" s="4" t="str">
        <f t="array" ref="E430">XLOOKUP(A430,'Dados Funil'!$A:$A,'Dados Funil'!$K:$K,"")</f>
        <v/>
      </c>
      <c r="F430" s="4" t="str">
        <f t="array" ref="F430">XLOOKUP(A430,'Dados Funil'!$A:$A,'Dados Funil'!$L:$L,"")</f>
        <v/>
      </c>
      <c r="G430" s="4"/>
      <c r="H430" s="4"/>
      <c r="I430" s="7" t="str">
        <f t="shared" si="2"/>
        <v/>
      </c>
      <c r="J430" s="4" t="str">
        <f t="shared" si="10"/>
        <v/>
      </c>
      <c r="K430" s="4" t="str">
        <f t="array" ref="K430">XLOOKUP(G430,'Dados Funil'!A:A,'Dados Funil'!O:O,"")</f>
        <v/>
      </c>
      <c r="L430" s="4"/>
      <c r="M430" s="4"/>
      <c r="N430" s="7" t="str">
        <f t="shared" si="3"/>
        <v/>
      </c>
      <c r="O430" s="4" t="str">
        <f t="shared" si="11"/>
        <v/>
      </c>
      <c r="P430" s="4" t="str">
        <f t="array" ref="P430">XLOOKUP(L430,'Dados Funil'!A:A,'Dados Funil'!AM:AM,"")</f>
        <v/>
      </c>
      <c r="Q430" s="4" t="str">
        <f t="array" ref="Q430">XLOOKUP(L430,'Dados Funil'!A:A,'Dados Funil'!AN:AN,"")</f>
        <v/>
      </c>
      <c r="T430" s="7" t="str">
        <f t="shared" si="4"/>
        <v/>
      </c>
      <c r="U430" s="4" t="str">
        <f t="shared" si="12"/>
        <v/>
      </c>
      <c r="V430" s="4" t="str">
        <f t="array" ref="V430">XLOOKUP(R430,'Dados Funil'!$A:$A,'Dados Funil'!$K:$K,"")</f>
        <v/>
      </c>
      <c r="W430" s="4" t="str">
        <f t="array" ref="W430">XLOOKUP(R430,'Dados Funil'!$A:$A,'Dados Funil'!$L:$L,"")</f>
        <v/>
      </c>
      <c r="X430" s="4"/>
      <c r="Y430" s="4"/>
      <c r="Z430" s="7" t="str">
        <f t="shared" si="5"/>
        <v/>
      </c>
      <c r="AA430" s="4" t="str">
        <f t="shared" si="13"/>
        <v/>
      </c>
      <c r="AB430" s="4" t="str">
        <f t="array" ref="AB430">XLOOKUP(X430,'Dados Funil'!A:A,'Dados Funil'!O:O,"")</f>
        <v/>
      </c>
      <c r="AE430" s="7" t="str">
        <f t="shared" si="6"/>
        <v/>
      </c>
      <c r="AG430" s="4" t="str">
        <f t="array" ref="AG430">XLOOKUP(AC430,'Dados Funil'!A:A,'Dados Funil'!AM:AM,"")</f>
        <v/>
      </c>
      <c r="AH430" s="4" t="str">
        <f t="array" ref="AH430">XLOOKUP(AC430,'Dados Funil'!A:A,'Dados Funil'!AN:AN,"")</f>
        <v/>
      </c>
    </row>
    <row r="431">
      <c r="A431" s="4"/>
      <c r="B431" s="4"/>
      <c r="C431" s="7" t="str">
        <f t="shared" si="1"/>
        <v/>
      </c>
      <c r="D431" s="4" t="str">
        <f t="shared" si="9"/>
        <v/>
      </c>
      <c r="E431" s="4" t="str">
        <f t="array" ref="E431">XLOOKUP(A431,'Dados Funil'!$A:$A,'Dados Funil'!$K:$K,"")</f>
        <v/>
      </c>
      <c r="F431" s="4" t="str">
        <f t="array" ref="F431">XLOOKUP(A431,'Dados Funil'!$A:$A,'Dados Funil'!$L:$L,"")</f>
        <v/>
      </c>
      <c r="G431" s="4"/>
      <c r="H431" s="4"/>
      <c r="I431" s="7" t="str">
        <f t="shared" si="2"/>
        <v/>
      </c>
      <c r="J431" s="4" t="str">
        <f t="shared" si="10"/>
        <v/>
      </c>
      <c r="K431" s="4" t="str">
        <f t="array" ref="K431">XLOOKUP(G431,'Dados Funil'!A:A,'Dados Funil'!O:O,"")</f>
        <v/>
      </c>
      <c r="L431" s="4"/>
      <c r="M431" s="4"/>
      <c r="N431" s="7" t="str">
        <f t="shared" si="3"/>
        <v/>
      </c>
      <c r="O431" s="4" t="str">
        <f t="shared" si="11"/>
        <v/>
      </c>
      <c r="P431" s="4" t="str">
        <f t="array" ref="P431">XLOOKUP(L431,'Dados Funil'!A:A,'Dados Funil'!AM:AM,"")</f>
        <v/>
      </c>
      <c r="Q431" s="4" t="str">
        <f t="array" ref="Q431">XLOOKUP(L431,'Dados Funil'!A:A,'Dados Funil'!AN:AN,"")</f>
        <v/>
      </c>
      <c r="T431" s="7" t="str">
        <f t="shared" si="4"/>
        <v/>
      </c>
      <c r="U431" s="4" t="str">
        <f t="shared" si="12"/>
        <v/>
      </c>
      <c r="V431" s="4" t="str">
        <f t="array" ref="V431">XLOOKUP(R431,'Dados Funil'!$A:$A,'Dados Funil'!$K:$K,"")</f>
        <v/>
      </c>
      <c r="W431" s="4" t="str">
        <f t="array" ref="W431">XLOOKUP(R431,'Dados Funil'!$A:$A,'Dados Funil'!$L:$L,"")</f>
        <v/>
      </c>
      <c r="X431" s="4"/>
      <c r="Y431" s="4"/>
      <c r="Z431" s="7" t="str">
        <f t="shared" si="5"/>
        <v/>
      </c>
      <c r="AA431" s="4" t="str">
        <f t="shared" si="13"/>
        <v/>
      </c>
      <c r="AB431" s="4" t="str">
        <f t="array" ref="AB431">XLOOKUP(X431,'Dados Funil'!A:A,'Dados Funil'!O:O,"")</f>
        <v/>
      </c>
      <c r="AE431" s="7" t="str">
        <f t="shared" si="6"/>
        <v/>
      </c>
      <c r="AG431" s="4" t="str">
        <f t="array" ref="AG431">XLOOKUP(AC431,'Dados Funil'!A:A,'Dados Funil'!AM:AM,"")</f>
        <v/>
      </c>
      <c r="AH431" s="4" t="str">
        <f t="array" ref="AH431">XLOOKUP(AC431,'Dados Funil'!A:A,'Dados Funil'!AN:AN,"")</f>
        <v/>
      </c>
    </row>
    <row r="432">
      <c r="A432" s="4"/>
      <c r="B432" s="4"/>
      <c r="C432" s="7" t="str">
        <f t="shared" si="1"/>
        <v/>
      </c>
      <c r="D432" s="4" t="str">
        <f t="shared" si="9"/>
        <v/>
      </c>
      <c r="E432" s="4" t="str">
        <f t="array" ref="E432">XLOOKUP(A432,'Dados Funil'!$A:$A,'Dados Funil'!$K:$K,"")</f>
        <v/>
      </c>
      <c r="F432" s="4" t="str">
        <f t="array" ref="F432">XLOOKUP(A432,'Dados Funil'!$A:$A,'Dados Funil'!$L:$L,"")</f>
        <v/>
      </c>
      <c r="G432" s="4"/>
      <c r="H432" s="4"/>
      <c r="I432" s="7" t="str">
        <f t="shared" si="2"/>
        <v/>
      </c>
      <c r="J432" s="4" t="str">
        <f t="shared" si="10"/>
        <v/>
      </c>
      <c r="K432" s="4" t="str">
        <f t="array" ref="K432">XLOOKUP(G432,'Dados Funil'!A:A,'Dados Funil'!O:O,"")</f>
        <v/>
      </c>
      <c r="L432" s="4"/>
      <c r="M432" s="4"/>
      <c r="N432" s="7" t="str">
        <f t="shared" si="3"/>
        <v/>
      </c>
      <c r="O432" s="4" t="str">
        <f t="shared" si="11"/>
        <v/>
      </c>
      <c r="P432" s="4" t="str">
        <f t="array" ref="P432">XLOOKUP(L432,'Dados Funil'!A:A,'Dados Funil'!AM:AM,"")</f>
        <v/>
      </c>
      <c r="Q432" s="4" t="str">
        <f t="array" ref="Q432">XLOOKUP(L432,'Dados Funil'!A:A,'Dados Funil'!AN:AN,"")</f>
        <v/>
      </c>
      <c r="T432" s="7" t="str">
        <f t="shared" si="4"/>
        <v/>
      </c>
      <c r="U432" s="4" t="str">
        <f t="shared" si="12"/>
        <v/>
      </c>
      <c r="V432" s="4" t="str">
        <f t="array" ref="V432">XLOOKUP(R432,'Dados Funil'!$A:$A,'Dados Funil'!$K:$K,"")</f>
        <v/>
      </c>
      <c r="W432" s="4" t="str">
        <f t="array" ref="W432">XLOOKUP(R432,'Dados Funil'!$A:$A,'Dados Funil'!$L:$L,"")</f>
        <v/>
      </c>
      <c r="X432" s="4"/>
      <c r="Y432" s="4"/>
      <c r="Z432" s="7" t="str">
        <f t="shared" si="5"/>
        <v/>
      </c>
      <c r="AA432" s="4" t="str">
        <f t="shared" si="13"/>
        <v/>
      </c>
      <c r="AB432" s="4" t="str">
        <f t="array" ref="AB432">XLOOKUP(X432,'Dados Funil'!A:A,'Dados Funil'!O:O,"")</f>
        <v/>
      </c>
      <c r="AE432" s="7" t="str">
        <f t="shared" si="6"/>
        <v/>
      </c>
      <c r="AG432" s="4" t="str">
        <f t="array" ref="AG432">XLOOKUP(AC432,'Dados Funil'!A:A,'Dados Funil'!AM:AM,"")</f>
        <v/>
      </c>
      <c r="AH432" s="4" t="str">
        <f t="array" ref="AH432">XLOOKUP(AC432,'Dados Funil'!A:A,'Dados Funil'!AN:AN,"")</f>
        <v/>
      </c>
    </row>
    <row r="433">
      <c r="A433" s="4"/>
      <c r="B433" s="4"/>
      <c r="C433" s="7" t="str">
        <f t="shared" si="1"/>
        <v/>
      </c>
      <c r="D433" s="4" t="str">
        <f t="shared" si="9"/>
        <v/>
      </c>
      <c r="E433" s="4" t="str">
        <f t="array" ref="E433">XLOOKUP(A433,'Dados Funil'!$A:$A,'Dados Funil'!$K:$K,"")</f>
        <v/>
      </c>
      <c r="F433" s="4" t="str">
        <f t="array" ref="F433">XLOOKUP(A433,'Dados Funil'!$A:$A,'Dados Funil'!$L:$L,"")</f>
        <v/>
      </c>
      <c r="G433" s="4"/>
      <c r="H433" s="4"/>
      <c r="I433" s="7" t="str">
        <f t="shared" si="2"/>
        <v/>
      </c>
      <c r="J433" s="4" t="str">
        <f t="shared" si="10"/>
        <v/>
      </c>
      <c r="K433" s="4" t="str">
        <f t="array" ref="K433">XLOOKUP(G433,'Dados Funil'!A:A,'Dados Funil'!O:O,"")</f>
        <v/>
      </c>
      <c r="L433" s="4"/>
      <c r="M433" s="4"/>
      <c r="N433" s="7" t="str">
        <f t="shared" si="3"/>
        <v/>
      </c>
      <c r="O433" s="4" t="str">
        <f t="shared" si="11"/>
        <v/>
      </c>
      <c r="P433" s="4" t="str">
        <f t="array" ref="P433">XLOOKUP(L433,'Dados Funil'!A:A,'Dados Funil'!AM:AM,"")</f>
        <v/>
      </c>
      <c r="Q433" s="4" t="str">
        <f t="array" ref="Q433">XLOOKUP(L433,'Dados Funil'!A:A,'Dados Funil'!AN:AN,"")</f>
        <v/>
      </c>
      <c r="T433" s="7" t="str">
        <f t="shared" si="4"/>
        <v/>
      </c>
      <c r="U433" s="4" t="str">
        <f t="shared" si="12"/>
        <v/>
      </c>
      <c r="V433" s="4" t="str">
        <f t="array" ref="V433">XLOOKUP(R433,'Dados Funil'!$A:$A,'Dados Funil'!$K:$K,"")</f>
        <v/>
      </c>
      <c r="W433" s="4" t="str">
        <f t="array" ref="W433">XLOOKUP(R433,'Dados Funil'!$A:$A,'Dados Funil'!$L:$L,"")</f>
        <v/>
      </c>
      <c r="X433" s="4"/>
      <c r="Y433" s="4"/>
      <c r="Z433" s="7" t="str">
        <f t="shared" si="5"/>
        <v/>
      </c>
      <c r="AA433" s="4" t="str">
        <f t="shared" si="13"/>
        <v/>
      </c>
      <c r="AB433" s="4" t="str">
        <f t="array" ref="AB433">XLOOKUP(X433,'Dados Funil'!A:A,'Dados Funil'!O:O,"")</f>
        <v/>
      </c>
      <c r="AE433" s="7" t="str">
        <f t="shared" si="6"/>
        <v/>
      </c>
      <c r="AG433" s="4" t="str">
        <f t="array" ref="AG433">XLOOKUP(AC433,'Dados Funil'!A:A,'Dados Funil'!AM:AM,"")</f>
        <v/>
      </c>
      <c r="AH433" s="4" t="str">
        <f t="array" ref="AH433">XLOOKUP(AC433,'Dados Funil'!A:A,'Dados Funil'!AN:AN,"")</f>
        <v/>
      </c>
    </row>
    <row r="434">
      <c r="A434" s="4"/>
      <c r="B434" s="4"/>
      <c r="C434" s="7" t="str">
        <f t="shared" si="1"/>
        <v/>
      </c>
      <c r="D434" s="4" t="str">
        <f t="shared" si="9"/>
        <v/>
      </c>
      <c r="E434" s="4" t="str">
        <f t="array" ref="E434">XLOOKUP(A434,'Dados Funil'!$A:$A,'Dados Funil'!$K:$K,"")</f>
        <v/>
      </c>
      <c r="F434" s="4" t="str">
        <f t="array" ref="F434">XLOOKUP(A434,'Dados Funil'!$A:$A,'Dados Funil'!$L:$L,"")</f>
        <v/>
      </c>
      <c r="G434" s="4"/>
      <c r="H434" s="4"/>
      <c r="I434" s="7" t="str">
        <f t="shared" si="2"/>
        <v/>
      </c>
      <c r="J434" s="4" t="str">
        <f t="shared" si="10"/>
        <v/>
      </c>
      <c r="K434" s="4" t="str">
        <f t="array" ref="K434">XLOOKUP(G434,'Dados Funil'!A:A,'Dados Funil'!O:O,"")</f>
        <v/>
      </c>
      <c r="L434" s="4"/>
      <c r="M434" s="4"/>
      <c r="N434" s="7" t="str">
        <f t="shared" si="3"/>
        <v/>
      </c>
      <c r="O434" s="4" t="str">
        <f t="shared" si="11"/>
        <v/>
      </c>
      <c r="P434" s="4" t="str">
        <f t="array" ref="P434">XLOOKUP(L434,'Dados Funil'!A:A,'Dados Funil'!AM:AM,"")</f>
        <v/>
      </c>
      <c r="Q434" s="4" t="str">
        <f t="array" ref="Q434">XLOOKUP(L434,'Dados Funil'!A:A,'Dados Funil'!AN:AN,"")</f>
        <v/>
      </c>
      <c r="T434" s="7" t="str">
        <f t="shared" si="4"/>
        <v/>
      </c>
      <c r="U434" s="4" t="str">
        <f t="shared" si="12"/>
        <v/>
      </c>
      <c r="V434" s="4" t="str">
        <f t="array" ref="V434">XLOOKUP(R434,'Dados Funil'!$A:$A,'Dados Funil'!$K:$K,"")</f>
        <v/>
      </c>
      <c r="W434" s="4" t="str">
        <f t="array" ref="W434">XLOOKUP(R434,'Dados Funil'!$A:$A,'Dados Funil'!$L:$L,"")</f>
        <v/>
      </c>
      <c r="X434" s="4"/>
      <c r="Y434" s="4"/>
      <c r="Z434" s="7" t="str">
        <f t="shared" si="5"/>
        <v/>
      </c>
      <c r="AA434" s="4" t="str">
        <f t="shared" si="13"/>
        <v/>
      </c>
      <c r="AB434" s="4" t="str">
        <f t="array" ref="AB434">XLOOKUP(X434,'Dados Funil'!A:A,'Dados Funil'!O:O,"")</f>
        <v/>
      </c>
      <c r="AE434" s="7" t="str">
        <f t="shared" si="6"/>
        <v/>
      </c>
      <c r="AG434" s="4" t="str">
        <f t="array" ref="AG434">XLOOKUP(AC434,'Dados Funil'!A:A,'Dados Funil'!AM:AM,"")</f>
        <v/>
      </c>
      <c r="AH434" s="4" t="str">
        <f t="array" ref="AH434">XLOOKUP(AC434,'Dados Funil'!A:A,'Dados Funil'!AN:AN,"")</f>
        <v/>
      </c>
    </row>
    <row r="435">
      <c r="A435" s="4"/>
      <c r="B435" s="4"/>
      <c r="C435" s="7" t="str">
        <f t="shared" si="1"/>
        <v/>
      </c>
      <c r="D435" s="4" t="str">
        <f t="shared" si="9"/>
        <v/>
      </c>
      <c r="E435" s="4" t="str">
        <f t="array" ref="E435">XLOOKUP(A435,'Dados Funil'!$A:$A,'Dados Funil'!$K:$K,"")</f>
        <v/>
      </c>
      <c r="F435" s="4" t="str">
        <f t="array" ref="F435">XLOOKUP(A435,'Dados Funil'!$A:$A,'Dados Funil'!$L:$L,"")</f>
        <v/>
      </c>
      <c r="G435" s="4"/>
      <c r="H435" s="4"/>
      <c r="I435" s="7" t="str">
        <f t="shared" si="2"/>
        <v/>
      </c>
      <c r="J435" s="4" t="str">
        <f t="shared" si="10"/>
        <v/>
      </c>
      <c r="K435" s="4" t="str">
        <f t="array" ref="K435">XLOOKUP(G435,'Dados Funil'!A:A,'Dados Funil'!O:O,"")</f>
        <v/>
      </c>
      <c r="L435" s="4"/>
      <c r="M435" s="4"/>
      <c r="N435" s="7" t="str">
        <f t="shared" si="3"/>
        <v/>
      </c>
      <c r="O435" s="4" t="str">
        <f t="shared" si="11"/>
        <v/>
      </c>
      <c r="P435" s="4" t="str">
        <f t="array" ref="P435">XLOOKUP(L435,'Dados Funil'!A:A,'Dados Funil'!AM:AM,"")</f>
        <v/>
      </c>
      <c r="Q435" s="4" t="str">
        <f t="array" ref="Q435">XLOOKUP(L435,'Dados Funil'!A:A,'Dados Funil'!AN:AN,"")</f>
        <v/>
      </c>
      <c r="T435" s="7" t="str">
        <f t="shared" si="4"/>
        <v/>
      </c>
      <c r="U435" s="4" t="str">
        <f t="shared" si="12"/>
        <v/>
      </c>
      <c r="V435" s="4" t="str">
        <f t="array" ref="V435">XLOOKUP(R435,'Dados Funil'!$A:$A,'Dados Funil'!$K:$K,"")</f>
        <v/>
      </c>
      <c r="W435" s="4" t="str">
        <f t="array" ref="W435">XLOOKUP(R435,'Dados Funil'!$A:$A,'Dados Funil'!$L:$L,"")</f>
        <v/>
      </c>
      <c r="X435" s="4"/>
      <c r="Y435" s="4"/>
      <c r="Z435" s="7" t="str">
        <f t="shared" si="5"/>
        <v/>
      </c>
      <c r="AA435" s="4" t="str">
        <f t="shared" si="13"/>
        <v/>
      </c>
      <c r="AB435" s="4" t="str">
        <f t="array" ref="AB435">XLOOKUP(X435,'Dados Funil'!A:A,'Dados Funil'!O:O,"")</f>
        <v/>
      </c>
      <c r="AE435" s="7" t="str">
        <f t="shared" si="6"/>
        <v/>
      </c>
      <c r="AG435" s="4" t="str">
        <f t="array" ref="AG435">XLOOKUP(AC435,'Dados Funil'!A:A,'Dados Funil'!AM:AM,"")</f>
        <v/>
      </c>
      <c r="AH435" s="4" t="str">
        <f t="array" ref="AH435">XLOOKUP(AC435,'Dados Funil'!A:A,'Dados Funil'!AN:AN,"")</f>
        <v/>
      </c>
    </row>
    <row r="436">
      <c r="A436" s="4"/>
      <c r="B436" s="4"/>
      <c r="C436" s="7" t="str">
        <f t="shared" si="1"/>
        <v/>
      </c>
      <c r="D436" s="4" t="str">
        <f t="shared" si="9"/>
        <v/>
      </c>
      <c r="E436" s="4" t="str">
        <f t="array" ref="E436">XLOOKUP(A436,'Dados Funil'!$A:$A,'Dados Funil'!$K:$K,"")</f>
        <v/>
      </c>
      <c r="F436" s="4" t="str">
        <f t="array" ref="F436">XLOOKUP(A436,'Dados Funil'!$A:$A,'Dados Funil'!$L:$L,"")</f>
        <v/>
      </c>
      <c r="G436" s="4"/>
      <c r="H436" s="4"/>
      <c r="I436" s="7" t="str">
        <f t="shared" si="2"/>
        <v/>
      </c>
      <c r="J436" s="4" t="str">
        <f t="shared" si="10"/>
        <v/>
      </c>
      <c r="K436" s="4" t="str">
        <f t="array" ref="K436">XLOOKUP(G436,'Dados Funil'!A:A,'Dados Funil'!O:O,"")</f>
        <v/>
      </c>
      <c r="L436" s="4"/>
      <c r="M436" s="4"/>
      <c r="N436" s="7" t="str">
        <f t="shared" si="3"/>
        <v/>
      </c>
      <c r="O436" s="4" t="str">
        <f t="shared" si="11"/>
        <v/>
      </c>
      <c r="P436" s="4" t="str">
        <f t="array" ref="P436">XLOOKUP(L436,'Dados Funil'!A:A,'Dados Funil'!AM:AM,"")</f>
        <v/>
      </c>
      <c r="Q436" s="4" t="str">
        <f t="array" ref="Q436">XLOOKUP(L436,'Dados Funil'!A:A,'Dados Funil'!AN:AN,"")</f>
        <v/>
      </c>
      <c r="T436" s="7" t="str">
        <f t="shared" si="4"/>
        <v/>
      </c>
      <c r="U436" s="4" t="str">
        <f t="shared" si="12"/>
        <v/>
      </c>
      <c r="V436" s="4" t="str">
        <f t="array" ref="V436">XLOOKUP(R436,'Dados Funil'!$A:$A,'Dados Funil'!$K:$K,"")</f>
        <v/>
      </c>
      <c r="W436" s="4" t="str">
        <f t="array" ref="W436">XLOOKUP(R436,'Dados Funil'!$A:$A,'Dados Funil'!$L:$L,"")</f>
        <v/>
      </c>
      <c r="X436" s="4"/>
      <c r="Y436" s="4"/>
      <c r="Z436" s="7" t="str">
        <f t="shared" si="5"/>
        <v/>
      </c>
      <c r="AA436" s="4" t="str">
        <f t="shared" si="13"/>
        <v/>
      </c>
      <c r="AB436" s="4" t="str">
        <f t="array" ref="AB436">XLOOKUP(X436,'Dados Funil'!A:A,'Dados Funil'!O:O,"")</f>
        <v/>
      </c>
      <c r="AE436" s="7" t="str">
        <f t="shared" si="6"/>
        <v/>
      </c>
      <c r="AG436" s="4" t="str">
        <f t="array" ref="AG436">XLOOKUP(AC436,'Dados Funil'!A:A,'Dados Funil'!AM:AM,"")</f>
        <v/>
      </c>
      <c r="AH436" s="4" t="str">
        <f t="array" ref="AH436">XLOOKUP(AC436,'Dados Funil'!A:A,'Dados Funil'!AN:AN,"")</f>
        <v/>
      </c>
    </row>
    <row r="437">
      <c r="A437" s="4"/>
      <c r="B437" s="4"/>
      <c r="C437" s="7" t="str">
        <f t="shared" si="1"/>
        <v/>
      </c>
      <c r="D437" s="4" t="str">
        <f t="shared" si="9"/>
        <v/>
      </c>
      <c r="E437" s="4" t="str">
        <f t="array" ref="E437">XLOOKUP(A437,'Dados Funil'!$A:$A,'Dados Funil'!$K:$K,"")</f>
        <v/>
      </c>
      <c r="F437" s="4" t="str">
        <f t="array" ref="F437">XLOOKUP(A437,'Dados Funil'!$A:$A,'Dados Funil'!$L:$L,"")</f>
        <v/>
      </c>
      <c r="G437" s="4"/>
      <c r="H437" s="4"/>
      <c r="I437" s="7" t="str">
        <f t="shared" si="2"/>
        <v/>
      </c>
      <c r="J437" s="4" t="str">
        <f t="shared" si="10"/>
        <v/>
      </c>
      <c r="K437" s="4" t="str">
        <f t="array" ref="K437">XLOOKUP(G437,'Dados Funil'!A:A,'Dados Funil'!O:O,"")</f>
        <v/>
      </c>
      <c r="L437" s="4"/>
      <c r="M437" s="4"/>
      <c r="N437" s="7" t="str">
        <f t="shared" si="3"/>
        <v/>
      </c>
      <c r="O437" s="4" t="str">
        <f t="shared" si="11"/>
        <v/>
      </c>
      <c r="P437" s="4" t="str">
        <f t="array" ref="P437">XLOOKUP(L437,'Dados Funil'!A:A,'Dados Funil'!AM:AM,"")</f>
        <v/>
      </c>
      <c r="Q437" s="4" t="str">
        <f t="array" ref="Q437">XLOOKUP(L437,'Dados Funil'!A:A,'Dados Funil'!AN:AN,"")</f>
        <v/>
      </c>
      <c r="T437" s="7" t="str">
        <f t="shared" si="4"/>
        <v/>
      </c>
      <c r="U437" s="4" t="str">
        <f t="shared" si="12"/>
        <v/>
      </c>
      <c r="V437" s="4" t="str">
        <f t="array" ref="V437">XLOOKUP(R437,'Dados Funil'!$A:$A,'Dados Funil'!$K:$K,"")</f>
        <v/>
      </c>
      <c r="W437" s="4" t="str">
        <f t="array" ref="W437">XLOOKUP(R437,'Dados Funil'!$A:$A,'Dados Funil'!$L:$L,"")</f>
        <v/>
      </c>
      <c r="X437" s="4"/>
      <c r="Y437" s="4"/>
      <c r="Z437" s="7" t="str">
        <f t="shared" si="5"/>
        <v/>
      </c>
      <c r="AA437" s="4" t="str">
        <f t="shared" si="13"/>
        <v/>
      </c>
      <c r="AB437" s="4" t="str">
        <f t="array" ref="AB437">XLOOKUP(X437,'Dados Funil'!A:A,'Dados Funil'!O:O,"")</f>
        <v/>
      </c>
      <c r="AE437" s="7" t="str">
        <f t="shared" si="6"/>
        <v/>
      </c>
      <c r="AG437" s="4" t="str">
        <f t="array" ref="AG437">XLOOKUP(AC437,'Dados Funil'!A:A,'Dados Funil'!AM:AM,"")</f>
        <v/>
      </c>
      <c r="AH437" s="4" t="str">
        <f t="array" ref="AH437">XLOOKUP(AC437,'Dados Funil'!A:A,'Dados Funil'!AN:AN,"")</f>
        <v/>
      </c>
    </row>
    <row r="438">
      <c r="A438" s="4"/>
      <c r="B438" s="4"/>
      <c r="C438" s="7" t="str">
        <f t="shared" si="1"/>
        <v/>
      </c>
      <c r="D438" s="4" t="str">
        <f t="shared" si="9"/>
        <v/>
      </c>
      <c r="E438" s="4" t="str">
        <f t="array" ref="E438">XLOOKUP(A438,'Dados Funil'!$A:$A,'Dados Funil'!$K:$K,"")</f>
        <v/>
      </c>
      <c r="F438" s="4" t="str">
        <f t="array" ref="F438">XLOOKUP(A438,'Dados Funil'!$A:$A,'Dados Funil'!$L:$L,"")</f>
        <v/>
      </c>
      <c r="G438" s="4"/>
      <c r="H438" s="4"/>
      <c r="I438" s="7" t="str">
        <f t="shared" si="2"/>
        <v/>
      </c>
      <c r="J438" s="4" t="str">
        <f t="shared" si="10"/>
        <v/>
      </c>
      <c r="K438" s="4" t="str">
        <f t="array" ref="K438">XLOOKUP(G438,'Dados Funil'!A:A,'Dados Funil'!O:O,"")</f>
        <v/>
      </c>
      <c r="L438" s="4"/>
      <c r="M438" s="4"/>
      <c r="N438" s="7" t="str">
        <f t="shared" si="3"/>
        <v/>
      </c>
      <c r="O438" s="4" t="str">
        <f t="shared" si="11"/>
        <v/>
      </c>
      <c r="P438" s="4" t="str">
        <f t="array" ref="P438">XLOOKUP(L438,'Dados Funil'!A:A,'Dados Funil'!AM:AM,"")</f>
        <v/>
      </c>
      <c r="Q438" s="4" t="str">
        <f t="array" ref="Q438">XLOOKUP(L438,'Dados Funil'!A:A,'Dados Funil'!AN:AN,"")</f>
        <v/>
      </c>
      <c r="T438" s="7" t="str">
        <f t="shared" si="4"/>
        <v/>
      </c>
      <c r="U438" s="4" t="str">
        <f t="shared" si="12"/>
        <v/>
      </c>
      <c r="V438" s="4" t="str">
        <f t="array" ref="V438">XLOOKUP(R438,'Dados Funil'!$A:$A,'Dados Funil'!$K:$K,"")</f>
        <v/>
      </c>
      <c r="W438" s="4" t="str">
        <f t="array" ref="W438">XLOOKUP(R438,'Dados Funil'!$A:$A,'Dados Funil'!$L:$L,"")</f>
        <v/>
      </c>
      <c r="X438" s="4"/>
      <c r="Y438" s="4"/>
      <c r="Z438" s="7" t="str">
        <f t="shared" si="5"/>
        <v/>
      </c>
      <c r="AA438" s="4" t="str">
        <f t="shared" si="13"/>
        <v/>
      </c>
      <c r="AB438" s="4" t="str">
        <f t="array" ref="AB438">XLOOKUP(X438,'Dados Funil'!A:A,'Dados Funil'!O:O,"")</f>
        <v/>
      </c>
      <c r="AE438" s="7" t="str">
        <f t="shared" si="6"/>
        <v/>
      </c>
      <c r="AG438" s="4" t="str">
        <f t="array" ref="AG438">XLOOKUP(AC438,'Dados Funil'!A:A,'Dados Funil'!AM:AM,"")</f>
        <v/>
      </c>
      <c r="AH438" s="4" t="str">
        <f t="array" ref="AH438">XLOOKUP(AC438,'Dados Funil'!A:A,'Dados Funil'!AN:AN,"")</f>
        <v/>
      </c>
    </row>
    <row r="439">
      <c r="A439" s="4"/>
      <c r="B439" s="4"/>
      <c r="C439" s="7" t="str">
        <f t="shared" si="1"/>
        <v/>
      </c>
      <c r="D439" s="4" t="str">
        <f t="shared" si="9"/>
        <v/>
      </c>
      <c r="E439" s="4" t="str">
        <f t="array" ref="E439">XLOOKUP(A439,'Dados Funil'!$A:$A,'Dados Funil'!$K:$K,"")</f>
        <v/>
      </c>
      <c r="F439" s="4" t="str">
        <f t="array" ref="F439">XLOOKUP(A439,'Dados Funil'!$A:$A,'Dados Funil'!$L:$L,"")</f>
        <v/>
      </c>
      <c r="G439" s="4"/>
      <c r="H439" s="4"/>
      <c r="I439" s="7" t="str">
        <f t="shared" si="2"/>
        <v/>
      </c>
      <c r="J439" s="4" t="str">
        <f t="shared" si="10"/>
        <v/>
      </c>
      <c r="K439" s="4" t="str">
        <f t="array" ref="K439">XLOOKUP(G439,'Dados Funil'!A:A,'Dados Funil'!O:O,"")</f>
        <v/>
      </c>
      <c r="L439" s="4"/>
      <c r="M439" s="4"/>
      <c r="N439" s="7" t="str">
        <f t="shared" si="3"/>
        <v/>
      </c>
      <c r="O439" s="4" t="str">
        <f t="shared" si="11"/>
        <v/>
      </c>
      <c r="P439" s="4" t="str">
        <f t="array" ref="P439">XLOOKUP(L439,'Dados Funil'!A:A,'Dados Funil'!AM:AM,"")</f>
        <v/>
      </c>
      <c r="Q439" s="4" t="str">
        <f t="array" ref="Q439">XLOOKUP(L439,'Dados Funil'!A:A,'Dados Funil'!AN:AN,"")</f>
        <v/>
      </c>
      <c r="T439" s="7" t="str">
        <f t="shared" si="4"/>
        <v/>
      </c>
      <c r="U439" s="4" t="str">
        <f t="shared" si="12"/>
        <v/>
      </c>
      <c r="V439" s="4" t="str">
        <f t="array" ref="V439">XLOOKUP(R439,'Dados Funil'!$A:$A,'Dados Funil'!$K:$K,"")</f>
        <v/>
      </c>
      <c r="W439" s="4" t="str">
        <f t="array" ref="W439">XLOOKUP(R439,'Dados Funil'!$A:$A,'Dados Funil'!$L:$L,"")</f>
        <v/>
      </c>
      <c r="X439" s="4"/>
      <c r="Y439" s="4"/>
      <c r="Z439" s="7" t="str">
        <f t="shared" si="5"/>
        <v/>
      </c>
      <c r="AA439" s="4" t="str">
        <f t="shared" si="13"/>
        <v/>
      </c>
      <c r="AB439" s="4" t="str">
        <f t="array" ref="AB439">XLOOKUP(X439,'Dados Funil'!A:A,'Dados Funil'!O:O,"")</f>
        <v/>
      </c>
      <c r="AE439" s="7" t="str">
        <f t="shared" si="6"/>
        <v/>
      </c>
      <c r="AG439" s="4" t="str">
        <f t="array" ref="AG439">XLOOKUP(AC439,'Dados Funil'!A:A,'Dados Funil'!AM:AM,"")</f>
        <v/>
      </c>
      <c r="AH439" s="4" t="str">
        <f t="array" ref="AH439">XLOOKUP(AC439,'Dados Funil'!A:A,'Dados Funil'!AN:AN,"")</f>
        <v/>
      </c>
    </row>
    <row r="440">
      <c r="A440" s="4"/>
      <c r="B440" s="4"/>
      <c r="C440" s="7" t="str">
        <f t="shared" si="1"/>
        <v/>
      </c>
      <c r="D440" s="4" t="str">
        <f t="shared" si="9"/>
        <v/>
      </c>
      <c r="E440" s="4" t="str">
        <f t="array" ref="E440">XLOOKUP(A440,'Dados Funil'!$A:$A,'Dados Funil'!$K:$K,"")</f>
        <v/>
      </c>
      <c r="F440" s="4" t="str">
        <f t="array" ref="F440">XLOOKUP(A440,'Dados Funil'!$A:$A,'Dados Funil'!$L:$L,"")</f>
        <v/>
      </c>
      <c r="G440" s="4"/>
      <c r="H440" s="4"/>
      <c r="I440" s="7" t="str">
        <f t="shared" si="2"/>
        <v/>
      </c>
      <c r="J440" s="4" t="str">
        <f t="shared" si="10"/>
        <v/>
      </c>
      <c r="K440" s="4" t="str">
        <f t="array" ref="K440">XLOOKUP(G440,'Dados Funil'!A:A,'Dados Funil'!O:O,"")</f>
        <v/>
      </c>
      <c r="L440" s="4"/>
      <c r="M440" s="4"/>
      <c r="N440" s="7" t="str">
        <f t="shared" si="3"/>
        <v/>
      </c>
      <c r="O440" s="4" t="str">
        <f t="shared" si="11"/>
        <v/>
      </c>
      <c r="P440" s="4" t="str">
        <f t="array" ref="P440">XLOOKUP(L440,'Dados Funil'!A:A,'Dados Funil'!AM:AM,"")</f>
        <v/>
      </c>
      <c r="Q440" s="4" t="str">
        <f t="array" ref="Q440">XLOOKUP(L440,'Dados Funil'!A:A,'Dados Funil'!AN:AN,"")</f>
        <v/>
      </c>
      <c r="T440" s="7" t="str">
        <f t="shared" si="4"/>
        <v/>
      </c>
      <c r="U440" s="4" t="str">
        <f t="shared" si="12"/>
        <v/>
      </c>
      <c r="V440" s="4" t="str">
        <f t="array" ref="V440">XLOOKUP(R440,'Dados Funil'!$A:$A,'Dados Funil'!$K:$K,"")</f>
        <v/>
      </c>
      <c r="W440" s="4" t="str">
        <f t="array" ref="W440">XLOOKUP(R440,'Dados Funil'!$A:$A,'Dados Funil'!$L:$L,"")</f>
        <v/>
      </c>
      <c r="X440" s="4"/>
      <c r="Y440" s="4"/>
      <c r="Z440" s="7" t="str">
        <f t="shared" si="5"/>
        <v/>
      </c>
      <c r="AA440" s="4" t="str">
        <f t="shared" si="13"/>
        <v/>
      </c>
      <c r="AB440" s="4" t="str">
        <f t="array" ref="AB440">XLOOKUP(X440,'Dados Funil'!A:A,'Dados Funil'!O:O,"")</f>
        <v/>
      </c>
      <c r="AE440" s="7" t="str">
        <f t="shared" si="6"/>
        <v/>
      </c>
      <c r="AG440" s="4" t="str">
        <f t="array" ref="AG440">XLOOKUP(AC440,'Dados Funil'!A:A,'Dados Funil'!AM:AM,"")</f>
        <v/>
      </c>
      <c r="AH440" s="4" t="str">
        <f t="array" ref="AH440">XLOOKUP(AC440,'Dados Funil'!A:A,'Dados Funil'!AN:AN,"")</f>
        <v/>
      </c>
    </row>
    <row r="441">
      <c r="A441" s="4"/>
      <c r="B441" s="4"/>
      <c r="C441" s="7" t="str">
        <f t="shared" si="1"/>
        <v/>
      </c>
      <c r="D441" s="4" t="str">
        <f t="shared" si="9"/>
        <v/>
      </c>
      <c r="E441" s="4" t="str">
        <f t="array" ref="E441">XLOOKUP(A441,'Dados Funil'!$A:$A,'Dados Funil'!$K:$K,"")</f>
        <v/>
      </c>
      <c r="F441" s="4" t="str">
        <f t="array" ref="F441">XLOOKUP(A441,'Dados Funil'!$A:$A,'Dados Funil'!$L:$L,"")</f>
        <v/>
      </c>
      <c r="G441" s="4"/>
      <c r="H441" s="4"/>
      <c r="I441" s="7" t="str">
        <f t="shared" si="2"/>
        <v/>
      </c>
      <c r="J441" s="4" t="str">
        <f t="shared" si="10"/>
        <v/>
      </c>
      <c r="K441" s="4" t="str">
        <f t="array" ref="K441">XLOOKUP(G441,'Dados Funil'!A:A,'Dados Funil'!O:O,"")</f>
        <v/>
      </c>
      <c r="L441" s="4"/>
      <c r="M441" s="4"/>
      <c r="N441" s="7" t="str">
        <f t="shared" si="3"/>
        <v/>
      </c>
      <c r="O441" s="4" t="str">
        <f t="shared" si="11"/>
        <v/>
      </c>
      <c r="P441" s="4" t="str">
        <f t="array" ref="P441">XLOOKUP(L441,'Dados Funil'!A:A,'Dados Funil'!AM:AM,"")</f>
        <v/>
      </c>
      <c r="Q441" s="4" t="str">
        <f t="array" ref="Q441">XLOOKUP(L441,'Dados Funil'!A:A,'Dados Funil'!AN:AN,"")</f>
        <v/>
      </c>
      <c r="T441" s="7" t="str">
        <f t="shared" si="4"/>
        <v/>
      </c>
      <c r="U441" s="4" t="str">
        <f t="shared" si="12"/>
        <v/>
      </c>
      <c r="V441" s="4" t="str">
        <f t="array" ref="V441">XLOOKUP(R441,'Dados Funil'!$A:$A,'Dados Funil'!$K:$K,"")</f>
        <v/>
      </c>
      <c r="W441" s="4" t="str">
        <f t="array" ref="W441">XLOOKUP(R441,'Dados Funil'!$A:$A,'Dados Funil'!$L:$L,"")</f>
        <v/>
      </c>
      <c r="X441" s="4"/>
      <c r="Y441" s="4"/>
      <c r="Z441" s="7" t="str">
        <f t="shared" si="5"/>
        <v/>
      </c>
      <c r="AA441" s="4" t="str">
        <f t="shared" si="13"/>
        <v/>
      </c>
      <c r="AB441" s="4" t="str">
        <f t="array" ref="AB441">XLOOKUP(X441,'Dados Funil'!A:A,'Dados Funil'!O:O,"")</f>
        <v/>
      </c>
      <c r="AE441" s="7" t="str">
        <f t="shared" si="6"/>
        <v/>
      </c>
      <c r="AG441" s="4" t="str">
        <f t="array" ref="AG441">XLOOKUP(AC441,'Dados Funil'!A:A,'Dados Funil'!AM:AM,"")</f>
        <v/>
      </c>
      <c r="AH441" s="4" t="str">
        <f t="array" ref="AH441">XLOOKUP(AC441,'Dados Funil'!A:A,'Dados Funil'!AN:AN,"")</f>
        <v/>
      </c>
    </row>
    <row r="442">
      <c r="A442" s="4"/>
      <c r="B442" s="4"/>
      <c r="C442" s="7" t="str">
        <f t="shared" si="1"/>
        <v/>
      </c>
      <c r="D442" s="4" t="str">
        <f t="shared" si="9"/>
        <v/>
      </c>
      <c r="E442" s="4" t="str">
        <f t="array" ref="E442">XLOOKUP(A442,'Dados Funil'!$A:$A,'Dados Funil'!$K:$K,"")</f>
        <v/>
      </c>
      <c r="F442" s="4" t="str">
        <f t="array" ref="F442">XLOOKUP(A442,'Dados Funil'!$A:$A,'Dados Funil'!$L:$L,"")</f>
        <v/>
      </c>
      <c r="G442" s="4"/>
      <c r="H442" s="4"/>
      <c r="I442" s="7" t="str">
        <f t="shared" si="2"/>
        <v/>
      </c>
      <c r="J442" s="4" t="str">
        <f t="shared" si="10"/>
        <v/>
      </c>
      <c r="K442" s="4" t="str">
        <f t="array" ref="K442">XLOOKUP(G442,'Dados Funil'!A:A,'Dados Funil'!O:O,"")</f>
        <v/>
      </c>
      <c r="L442" s="4"/>
      <c r="M442" s="4"/>
      <c r="N442" s="7" t="str">
        <f t="shared" si="3"/>
        <v/>
      </c>
      <c r="O442" s="4" t="str">
        <f t="shared" si="11"/>
        <v/>
      </c>
      <c r="P442" s="4" t="str">
        <f t="array" ref="P442">XLOOKUP(L442,'Dados Funil'!A:A,'Dados Funil'!AM:AM,"")</f>
        <v/>
      </c>
      <c r="Q442" s="4" t="str">
        <f t="array" ref="Q442">XLOOKUP(L442,'Dados Funil'!A:A,'Dados Funil'!AN:AN,"")</f>
        <v/>
      </c>
      <c r="T442" s="7" t="str">
        <f t="shared" si="4"/>
        <v/>
      </c>
      <c r="U442" s="4" t="str">
        <f t="shared" si="12"/>
        <v/>
      </c>
      <c r="V442" s="4" t="str">
        <f t="array" ref="V442">XLOOKUP(R442,'Dados Funil'!$A:$A,'Dados Funil'!$K:$K,"")</f>
        <v/>
      </c>
      <c r="W442" s="4" t="str">
        <f t="array" ref="W442">XLOOKUP(R442,'Dados Funil'!$A:$A,'Dados Funil'!$L:$L,"")</f>
        <v/>
      </c>
      <c r="X442" s="4"/>
      <c r="Y442" s="4"/>
      <c r="Z442" s="7" t="str">
        <f t="shared" si="5"/>
        <v/>
      </c>
      <c r="AA442" s="4" t="str">
        <f t="shared" si="13"/>
        <v/>
      </c>
      <c r="AB442" s="4" t="str">
        <f t="array" ref="AB442">XLOOKUP(X442,'Dados Funil'!A:A,'Dados Funil'!O:O,"")</f>
        <v/>
      </c>
      <c r="AE442" s="7" t="str">
        <f t="shared" si="6"/>
        <v/>
      </c>
      <c r="AG442" s="4" t="str">
        <f t="array" ref="AG442">XLOOKUP(AC442,'Dados Funil'!A:A,'Dados Funil'!AM:AM,"")</f>
        <v/>
      </c>
      <c r="AH442" s="4" t="str">
        <f t="array" ref="AH442">XLOOKUP(AC442,'Dados Funil'!A:A,'Dados Funil'!AN:AN,"")</f>
        <v/>
      </c>
    </row>
    <row r="443">
      <c r="A443" s="4"/>
      <c r="B443" s="4"/>
      <c r="C443" s="7" t="str">
        <f t="shared" si="1"/>
        <v/>
      </c>
      <c r="D443" s="4" t="str">
        <f t="shared" si="9"/>
        <v/>
      </c>
      <c r="E443" s="4" t="str">
        <f t="array" ref="E443">XLOOKUP(A443,'Dados Funil'!$A:$A,'Dados Funil'!$K:$K,"")</f>
        <v/>
      </c>
      <c r="F443" s="4" t="str">
        <f t="array" ref="F443">XLOOKUP(A443,'Dados Funil'!$A:$A,'Dados Funil'!$L:$L,"")</f>
        <v/>
      </c>
      <c r="G443" s="4"/>
      <c r="H443" s="4"/>
      <c r="I443" s="7" t="str">
        <f t="shared" si="2"/>
        <v/>
      </c>
      <c r="J443" s="4" t="str">
        <f t="shared" si="10"/>
        <v/>
      </c>
      <c r="K443" s="4" t="str">
        <f t="array" ref="K443">XLOOKUP(G443,'Dados Funil'!A:A,'Dados Funil'!O:O,"")</f>
        <v/>
      </c>
      <c r="L443" s="4"/>
      <c r="M443" s="4"/>
      <c r="N443" s="7" t="str">
        <f t="shared" si="3"/>
        <v/>
      </c>
      <c r="O443" s="4" t="str">
        <f t="shared" si="11"/>
        <v/>
      </c>
      <c r="P443" s="4" t="str">
        <f t="array" ref="P443">XLOOKUP(L443,'Dados Funil'!A:A,'Dados Funil'!AM:AM,"")</f>
        <v/>
      </c>
      <c r="Q443" s="4" t="str">
        <f t="array" ref="Q443">XLOOKUP(L443,'Dados Funil'!A:A,'Dados Funil'!AN:AN,"")</f>
        <v/>
      </c>
      <c r="T443" s="7" t="str">
        <f t="shared" si="4"/>
        <v/>
      </c>
      <c r="U443" s="4" t="str">
        <f t="shared" si="12"/>
        <v/>
      </c>
      <c r="V443" s="4" t="str">
        <f t="array" ref="V443">XLOOKUP(R443,'Dados Funil'!$A:$A,'Dados Funil'!$K:$K,"")</f>
        <v/>
      </c>
      <c r="W443" s="4" t="str">
        <f t="array" ref="W443">XLOOKUP(R443,'Dados Funil'!$A:$A,'Dados Funil'!$L:$L,"")</f>
        <v/>
      </c>
      <c r="X443" s="4"/>
      <c r="Y443" s="4"/>
      <c r="Z443" s="7" t="str">
        <f t="shared" si="5"/>
        <v/>
      </c>
      <c r="AA443" s="4" t="str">
        <f t="shared" si="13"/>
        <v/>
      </c>
      <c r="AB443" s="4" t="str">
        <f t="array" ref="AB443">XLOOKUP(X443,'Dados Funil'!A:A,'Dados Funil'!O:O,"")</f>
        <v/>
      </c>
      <c r="AE443" s="7" t="str">
        <f t="shared" si="6"/>
        <v/>
      </c>
      <c r="AG443" s="4" t="str">
        <f t="array" ref="AG443">XLOOKUP(AC443,'Dados Funil'!A:A,'Dados Funil'!AM:AM,"")</f>
        <v/>
      </c>
      <c r="AH443" s="4" t="str">
        <f t="array" ref="AH443">XLOOKUP(AC443,'Dados Funil'!A:A,'Dados Funil'!AN:AN,"")</f>
        <v/>
      </c>
    </row>
    <row r="444">
      <c r="A444" s="4"/>
      <c r="B444" s="4"/>
      <c r="C444" s="7" t="str">
        <f t="shared" si="1"/>
        <v/>
      </c>
      <c r="D444" s="4" t="str">
        <f t="shared" si="9"/>
        <v/>
      </c>
      <c r="E444" s="4" t="str">
        <f t="array" ref="E444">XLOOKUP(A444,'Dados Funil'!$A:$A,'Dados Funil'!$K:$K,"")</f>
        <v/>
      </c>
      <c r="F444" s="4" t="str">
        <f t="array" ref="F444">XLOOKUP(A444,'Dados Funil'!$A:$A,'Dados Funil'!$L:$L,"")</f>
        <v/>
      </c>
      <c r="G444" s="4"/>
      <c r="H444" s="4"/>
      <c r="I444" s="7" t="str">
        <f t="shared" si="2"/>
        <v/>
      </c>
      <c r="J444" s="4" t="str">
        <f t="shared" si="10"/>
        <v/>
      </c>
      <c r="K444" s="4" t="str">
        <f t="array" ref="K444">XLOOKUP(G444,'Dados Funil'!A:A,'Dados Funil'!O:O,"")</f>
        <v/>
      </c>
      <c r="L444" s="4"/>
      <c r="M444" s="4"/>
      <c r="N444" s="7" t="str">
        <f t="shared" si="3"/>
        <v/>
      </c>
      <c r="O444" s="4" t="str">
        <f t="shared" si="11"/>
        <v/>
      </c>
      <c r="P444" s="4" t="str">
        <f t="array" ref="P444">XLOOKUP(L444,'Dados Funil'!A:A,'Dados Funil'!AM:AM,"")</f>
        <v/>
      </c>
      <c r="Q444" s="4" t="str">
        <f t="array" ref="Q444">XLOOKUP(L444,'Dados Funil'!A:A,'Dados Funil'!AN:AN,"")</f>
        <v/>
      </c>
      <c r="T444" s="7" t="str">
        <f t="shared" si="4"/>
        <v/>
      </c>
      <c r="U444" s="4" t="str">
        <f t="shared" si="12"/>
        <v/>
      </c>
      <c r="V444" s="4" t="str">
        <f t="array" ref="V444">XLOOKUP(R444,'Dados Funil'!$A:$A,'Dados Funil'!$K:$K,"")</f>
        <v/>
      </c>
      <c r="W444" s="4" t="str">
        <f t="array" ref="W444">XLOOKUP(R444,'Dados Funil'!$A:$A,'Dados Funil'!$L:$L,"")</f>
        <v/>
      </c>
      <c r="X444" s="4"/>
      <c r="Y444" s="4"/>
      <c r="Z444" s="7" t="str">
        <f t="shared" si="5"/>
        <v/>
      </c>
      <c r="AA444" s="4" t="str">
        <f t="shared" si="13"/>
        <v/>
      </c>
      <c r="AB444" s="4" t="str">
        <f t="array" ref="AB444">XLOOKUP(X444,'Dados Funil'!A:A,'Dados Funil'!O:O,"")</f>
        <v/>
      </c>
      <c r="AE444" s="7" t="str">
        <f t="shared" si="6"/>
        <v/>
      </c>
      <c r="AG444" s="4" t="str">
        <f t="array" ref="AG444">XLOOKUP(AC444,'Dados Funil'!A:A,'Dados Funil'!AM:AM,"")</f>
        <v/>
      </c>
      <c r="AH444" s="4" t="str">
        <f t="array" ref="AH444">XLOOKUP(AC444,'Dados Funil'!A:A,'Dados Funil'!AN:AN,"")</f>
        <v/>
      </c>
    </row>
    <row r="445">
      <c r="A445" s="4"/>
      <c r="B445" s="4"/>
      <c r="C445" s="7" t="str">
        <f t="shared" si="1"/>
        <v/>
      </c>
      <c r="D445" s="4" t="str">
        <f t="shared" si="9"/>
        <v/>
      </c>
      <c r="E445" s="4" t="str">
        <f t="array" ref="E445">XLOOKUP(A445,'Dados Funil'!$A:$A,'Dados Funil'!$K:$K,"")</f>
        <v/>
      </c>
      <c r="F445" s="4" t="str">
        <f t="array" ref="F445">XLOOKUP(A445,'Dados Funil'!$A:$A,'Dados Funil'!$L:$L,"")</f>
        <v/>
      </c>
      <c r="G445" s="4"/>
      <c r="H445" s="4"/>
      <c r="I445" s="7" t="str">
        <f t="shared" si="2"/>
        <v/>
      </c>
      <c r="J445" s="4" t="str">
        <f t="shared" si="10"/>
        <v/>
      </c>
      <c r="K445" s="4" t="str">
        <f t="array" ref="K445">XLOOKUP(G445,'Dados Funil'!A:A,'Dados Funil'!O:O,"")</f>
        <v/>
      </c>
      <c r="L445" s="4"/>
      <c r="M445" s="4"/>
      <c r="N445" s="7" t="str">
        <f t="shared" si="3"/>
        <v/>
      </c>
      <c r="O445" s="4" t="str">
        <f t="shared" si="11"/>
        <v/>
      </c>
      <c r="P445" s="4" t="str">
        <f t="array" ref="P445">XLOOKUP(L445,'Dados Funil'!A:A,'Dados Funil'!AM:AM,"")</f>
        <v/>
      </c>
      <c r="Q445" s="4" t="str">
        <f t="array" ref="Q445">XLOOKUP(L445,'Dados Funil'!A:A,'Dados Funil'!AN:AN,"")</f>
        <v/>
      </c>
      <c r="T445" s="7" t="str">
        <f t="shared" si="4"/>
        <v/>
      </c>
      <c r="U445" s="4" t="str">
        <f t="shared" si="12"/>
        <v/>
      </c>
      <c r="V445" s="4" t="str">
        <f t="array" ref="V445">XLOOKUP(R445,'Dados Funil'!$A:$A,'Dados Funil'!$K:$K,"")</f>
        <v/>
      </c>
      <c r="W445" s="4" t="str">
        <f t="array" ref="W445">XLOOKUP(R445,'Dados Funil'!$A:$A,'Dados Funil'!$L:$L,"")</f>
        <v/>
      </c>
      <c r="X445" s="4"/>
      <c r="Y445" s="4"/>
      <c r="Z445" s="7" t="str">
        <f t="shared" si="5"/>
        <v/>
      </c>
      <c r="AA445" s="4" t="str">
        <f t="shared" si="13"/>
        <v/>
      </c>
      <c r="AB445" s="4" t="str">
        <f t="array" ref="AB445">XLOOKUP(X445,'Dados Funil'!A:A,'Dados Funil'!O:O,"")</f>
        <v/>
      </c>
      <c r="AE445" s="7" t="str">
        <f t="shared" si="6"/>
        <v/>
      </c>
      <c r="AG445" s="4" t="str">
        <f t="array" ref="AG445">XLOOKUP(AC445,'Dados Funil'!A:A,'Dados Funil'!AM:AM,"")</f>
        <v/>
      </c>
      <c r="AH445" s="4" t="str">
        <f t="array" ref="AH445">XLOOKUP(AC445,'Dados Funil'!A:A,'Dados Funil'!AN:AN,"")</f>
        <v/>
      </c>
    </row>
    <row r="446">
      <c r="A446" s="4"/>
      <c r="B446" s="4"/>
      <c r="C446" s="7" t="str">
        <f t="shared" si="1"/>
        <v/>
      </c>
      <c r="D446" s="4" t="str">
        <f t="shared" si="9"/>
        <v/>
      </c>
      <c r="E446" s="4" t="str">
        <f t="array" ref="E446">XLOOKUP(A446,'Dados Funil'!$A:$A,'Dados Funil'!$K:$K,"")</f>
        <v/>
      </c>
      <c r="F446" s="4" t="str">
        <f t="array" ref="F446">XLOOKUP(A446,'Dados Funil'!$A:$A,'Dados Funil'!$L:$L,"")</f>
        <v/>
      </c>
      <c r="G446" s="4"/>
      <c r="H446" s="4"/>
      <c r="I446" s="7" t="str">
        <f t="shared" si="2"/>
        <v/>
      </c>
      <c r="J446" s="4" t="str">
        <f t="shared" si="10"/>
        <v/>
      </c>
      <c r="K446" s="4" t="str">
        <f t="array" ref="K446">XLOOKUP(G446,'Dados Funil'!A:A,'Dados Funil'!O:O,"")</f>
        <v/>
      </c>
      <c r="L446" s="4"/>
      <c r="M446" s="4"/>
      <c r="N446" s="7" t="str">
        <f t="shared" si="3"/>
        <v/>
      </c>
      <c r="O446" s="4" t="str">
        <f t="shared" si="11"/>
        <v/>
      </c>
      <c r="P446" s="4" t="str">
        <f t="array" ref="P446">XLOOKUP(L446,'Dados Funil'!A:A,'Dados Funil'!AM:AM,"")</f>
        <v/>
      </c>
      <c r="Q446" s="4" t="str">
        <f t="array" ref="Q446">XLOOKUP(L446,'Dados Funil'!A:A,'Dados Funil'!AN:AN,"")</f>
        <v/>
      </c>
      <c r="T446" s="7" t="str">
        <f t="shared" si="4"/>
        <v/>
      </c>
      <c r="U446" s="4" t="str">
        <f t="shared" si="12"/>
        <v/>
      </c>
      <c r="V446" s="4" t="str">
        <f t="array" ref="V446">XLOOKUP(R446,'Dados Funil'!$A:$A,'Dados Funil'!$K:$K,"")</f>
        <v/>
      </c>
      <c r="W446" s="4" t="str">
        <f t="array" ref="W446">XLOOKUP(R446,'Dados Funil'!$A:$A,'Dados Funil'!$L:$L,"")</f>
        <v/>
      </c>
      <c r="X446" s="4"/>
      <c r="Y446" s="4"/>
      <c r="Z446" s="7" t="str">
        <f t="shared" si="5"/>
        <v/>
      </c>
      <c r="AA446" s="4" t="str">
        <f t="shared" si="13"/>
        <v/>
      </c>
      <c r="AB446" s="4" t="str">
        <f t="array" ref="AB446">XLOOKUP(X446,'Dados Funil'!A:A,'Dados Funil'!O:O,"")</f>
        <v/>
      </c>
      <c r="AE446" s="7" t="str">
        <f t="shared" si="6"/>
        <v/>
      </c>
      <c r="AG446" s="4" t="str">
        <f t="array" ref="AG446">XLOOKUP(AC446,'Dados Funil'!A:A,'Dados Funil'!AM:AM,"")</f>
        <v/>
      </c>
      <c r="AH446" s="4" t="str">
        <f t="array" ref="AH446">XLOOKUP(AC446,'Dados Funil'!A:A,'Dados Funil'!AN:AN,"")</f>
        <v/>
      </c>
    </row>
    <row r="447">
      <c r="A447" s="4"/>
      <c r="B447" s="4"/>
      <c r="C447" s="7" t="str">
        <f t="shared" si="1"/>
        <v/>
      </c>
      <c r="D447" s="4" t="str">
        <f t="shared" si="9"/>
        <v/>
      </c>
      <c r="E447" s="4" t="str">
        <f t="array" ref="E447">XLOOKUP(A447,'Dados Funil'!$A:$A,'Dados Funil'!$K:$K,"")</f>
        <v/>
      </c>
      <c r="F447" s="4" t="str">
        <f t="array" ref="F447">XLOOKUP(A447,'Dados Funil'!$A:$A,'Dados Funil'!$L:$L,"")</f>
        <v/>
      </c>
      <c r="G447" s="4"/>
      <c r="H447" s="4"/>
      <c r="I447" s="7" t="str">
        <f t="shared" si="2"/>
        <v/>
      </c>
      <c r="J447" s="4" t="str">
        <f t="shared" si="10"/>
        <v/>
      </c>
      <c r="K447" s="4" t="str">
        <f t="array" ref="K447">XLOOKUP(G447,'Dados Funil'!A:A,'Dados Funil'!O:O,"")</f>
        <v/>
      </c>
      <c r="L447" s="4"/>
      <c r="M447" s="4"/>
      <c r="N447" s="7" t="str">
        <f t="shared" si="3"/>
        <v/>
      </c>
      <c r="O447" s="4" t="str">
        <f t="shared" si="11"/>
        <v/>
      </c>
      <c r="P447" s="4" t="str">
        <f t="array" ref="P447">XLOOKUP(L447,'Dados Funil'!A:A,'Dados Funil'!AM:AM,"")</f>
        <v/>
      </c>
      <c r="Q447" s="4" t="str">
        <f t="array" ref="Q447">XLOOKUP(L447,'Dados Funil'!A:A,'Dados Funil'!AN:AN,"")</f>
        <v/>
      </c>
      <c r="T447" s="7" t="str">
        <f t="shared" si="4"/>
        <v/>
      </c>
      <c r="U447" s="4" t="str">
        <f t="shared" si="12"/>
        <v/>
      </c>
      <c r="V447" s="4" t="str">
        <f t="array" ref="V447">XLOOKUP(R447,'Dados Funil'!$A:$A,'Dados Funil'!$K:$K,"")</f>
        <v/>
      </c>
      <c r="W447" s="4" t="str">
        <f t="array" ref="W447">XLOOKUP(R447,'Dados Funil'!$A:$A,'Dados Funil'!$L:$L,"")</f>
        <v/>
      </c>
      <c r="X447" s="4"/>
      <c r="Y447" s="4"/>
      <c r="Z447" s="7" t="str">
        <f t="shared" si="5"/>
        <v/>
      </c>
      <c r="AA447" s="4" t="str">
        <f t="shared" si="13"/>
        <v/>
      </c>
      <c r="AB447" s="4" t="str">
        <f t="array" ref="AB447">XLOOKUP(X447,'Dados Funil'!A:A,'Dados Funil'!O:O,"")</f>
        <v/>
      </c>
      <c r="AE447" s="7" t="str">
        <f t="shared" si="6"/>
        <v/>
      </c>
      <c r="AG447" s="4" t="str">
        <f t="array" ref="AG447">XLOOKUP(AC447,'Dados Funil'!A:A,'Dados Funil'!AM:AM,"")</f>
        <v/>
      </c>
      <c r="AH447" s="4" t="str">
        <f t="array" ref="AH447">XLOOKUP(AC447,'Dados Funil'!A:A,'Dados Funil'!AN:AN,"")</f>
        <v/>
      </c>
    </row>
    <row r="448">
      <c r="A448" s="4"/>
      <c r="B448" s="4"/>
      <c r="C448" s="7" t="str">
        <f t="shared" si="1"/>
        <v/>
      </c>
      <c r="D448" s="4" t="str">
        <f t="shared" si="9"/>
        <v/>
      </c>
      <c r="E448" s="4" t="str">
        <f t="array" ref="E448">XLOOKUP(A448,'Dados Funil'!$A:$A,'Dados Funil'!$K:$K,"")</f>
        <v/>
      </c>
      <c r="F448" s="4" t="str">
        <f t="array" ref="F448">XLOOKUP(A448,'Dados Funil'!$A:$A,'Dados Funil'!$L:$L,"")</f>
        <v/>
      </c>
      <c r="G448" s="4"/>
      <c r="H448" s="4"/>
      <c r="I448" s="7" t="str">
        <f t="shared" si="2"/>
        <v/>
      </c>
      <c r="J448" s="4" t="str">
        <f t="shared" si="10"/>
        <v/>
      </c>
      <c r="K448" s="4" t="str">
        <f t="array" ref="K448">XLOOKUP(G448,'Dados Funil'!A:A,'Dados Funil'!O:O,"")</f>
        <v/>
      </c>
      <c r="L448" s="4"/>
      <c r="M448" s="4"/>
      <c r="N448" s="7" t="str">
        <f t="shared" si="3"/>
        <v/>
      </c>
      <c r="O448" s="4" t="str">
        <f t="shared" si="11"/>
        <v/>
      </c>
      <c r="P448" s="4" t="str">
        <f t="array" ref="P448">XLOOKUP(L448,'Dados Funil'!A:A,'Dados Funil'!AM:AM,"")</f>
        <v/>
      </c>
      <c r="Q448" s="4" t="str">
        <f t="array" ref="Q448">XLOOKUP(L448,'Dados Funil'!A:A,'Dados Funil'!AN:AN,"")</f>
        <v/>
      </c>
      <c r="T448" s="7" t="str">
        <f t="shared" si="4"/>
        <v/>
      </c>
      <c r="U448" s="4" t="str">
        <f t="shared" si="12"/>
        <v/>
      </c>
      <c r="V448" s="4" t="str">
        <f t="array" ref="V448">XLOOKUP(R448,'Dados Funil'!$A:$A,'Dados Funil'!$K:$K,"")</f>
        <v/>
      </c>
      <c r="W448" s="4" t="str">
        <f t="array" ref="W448">XLOOKUP(R448,'Dados Funil'!$A:$A,'Dados Funil'!$L:$L,"")</f>
        <v/>
      </c>
      <c r="X448" s="4"/>
      <c r="Y448" s="4"/>
      <c r="Z448" s="7" t="str">
        <f t="shared" si="5"/>
        <v/>
      </c>
      <c r="AA448" s="4" t="str">
        <f t="shared" si="13"/>
        <v/>
      </c>
      <c r="AB448" s="4" t="str">
        <f t="array" ref="AB448">XLOOKUP(X448,'Dados Funil'!A:A,'Dados Funil'!O:O,"")</f>
        <v/>
      </c>
      <c r="AE448" s="7" t="str">
        <f t="shared" si="6"/>
        <v/>
      </c>
      <c r="AG448" s="4" t="str">
        <f t="array" ref="AG448">XLOOKUP(AC448,'Dados Funil'!A:A,'Dados Funil'!AM:AM,"")</f>
        <v/>
      </c>
      <c r="AH448" s="4" t="str">
        <f t="array" ref="AH448">XLOOKUP(AC448,'Dados Funil'!A:A,'Dados Funil'!AN:AN,"")</f>
        <v/>
      </c>
    </row>
    <row r="449">
      <c r="A449" s="4"/>
      <c r="B449" s="4"/>
      <c r="C449" s="7" t="str">
        <f t="shared" si="1"/>
        <v/>
      </c>
      <c r="D449" s="4" t="str">
        <f t="shared" si="9"/>
        <v/>
      </c>
      <c r="E449" s="4" t="str">
        <f t="array" ref="E449">XLOOKUP(A449,'Dados Funil'!$A:$A,'Dados Funil'!$K:$K,"")</f>
        <v/>
      </c>
      <c r="F449" s="4" t="str">
        <f t="array" ref="F449">XLOOKUP(A449,'Dados Funil'!$A:$A,'Dados Funil'!$L:$L,"")</f>
        <v/>
      </c>
      <c r="G449" s="4"/>
      <c r="H449" s="4"/>
      <c r="I449" s="7" t="str">
        <f t="shared" si="2"/>
        <v/>
      </c>
      <c r="J449" s="4" t="str">
        <f t="shared" si="10"/>
        <v/>
      </c>
      <c r="K449" s="4" t="str">
        <f t="array" ref="K449">XLOOKUP(G449,'Dados Funil'!A:A,'Dados Funil'!O:O,"")</f>
        <v/>
      </c>
      <c r="L449" s="4"/>
      <c r="M449" s="4"/>
      <c r="N449" s="7" t="str">
        <f t="shared" si="3"/>
        <v/>
      </c>
      <c r="O449" s="4" t="str">
        <f t="shared" si="11"/>
        <v/>
      </c>
      <c r="P449" s="4" t="str">
        <f t="array" ref="P449">XLOOKUP(L449,'Dados Funil'!A:A,'Dados Funil'!AM:AM,"")</f>
        <v/>
      </c>
      <c r="Q449" s="4" t="str">
        <f t="array" ref="Q449">XLOOKUP(L449,'Dados Funil'!A:A,'Dados Funil'!AN:AN,"")</f>
        <v/>
      </c>
      <c r="T449" s="7" t="str">
        <f t="shared" si="4"/>
        <v/>
      </c>
      <c r="U449" s="4" t="str">
        <f t="shared" si="12"/>
        <v/>
      </c>
      <c r="V449" s="4" t="str">
        <f t="array" ref="V449">XLOOKUP(R449,'Dados Funil'!$A:$A,'Dados Funil'!$K:$K,"")</f>
        <v/>
      </c>
      <c r="W449" s="4" t="str">
        <f t="array" ref="W449">XLOOKUP(R449,'Dados Funil'!$A:$A,'Dados Funil'!$L:$L,"")</f>
        <v/>
      </c>
      <c r="X449" s="4"/>
      <c r="Y449" s="4"/>
      <c r="Z449" s="7" t="str">
        <f t="shared" si="5"/>
        <v/>
      </c>
      <c r="AA449" s="4" t="str">
        <f t="shared" si="13"/>
        <v/>
      </c>
      <c r="AB449" s="4" t="str">
        <f t="array" ref="AB449">XLOOKUP(X449,'Dados Funil'!A:A,'Dados Funil'!O:O,"")</f>
        <v/>
      </c>
      <c r="AE449" s="7" t="str">
        <f t="shared" si="6"/>
        <v/>
      </c>
      <c r="AG449" s="4" t="str">
        <f t="array" ref="AG449">XLOOKUP(AC449,'Dados Funil'!A:A,'Dados Funil'!AM:AM,"")</f>
        <v/>
      </c>
      <c r="AH449" s="4" t="str">
        <f t="array" ref="AH449">XLOOKUP(AC449,'Dados Funil'!A:A,'Dados Funil'!AN:AN,"")</f>
        <v/>
      </c>
    </row>
    <row r="450">
      <c r="A450" s="4"/>
      <c r="B450" s="4"/>
      <c r="C450" s="7" t="str">
        <f t="shared" si="1"/>
        <v/>
      </c>
      <c r="D450" s="4" t="str">
        <f t="shared" si="9"/>
        <v/>
      </c>
      <c r="E450" s="4" t="str">
        <f t="array" ref="E450">XLOOKUP(A450,'Dados Funil'!$A:$A,'Dados Funil'!$K:$K,"")</f>
        <v/>
      </c>
      <c r="F450" s="4" t="str">
        <f t="array" ref="F450">XLOOKUP(A450,'Dados Funil'!$A:$A,'Dados Funil'!$L:$L,"")</f>
        <v/>
      </c>
      <c r="G450" s="4"/>
      <c r="H450" s="4"/>
      <c r="I450" s="7" t="str">
        <f t="shared" si="2"/>
        <v/>
      </c>
      <c r="J450" s="4" t="str">
        <f t="shared" si="10"/>
        <v/>
      </c>
      <c r="K450" s="4" t="str">
        <f t="array" ref="K450">XLOOKUP(G450,'Dados Funil'!A:A,'Dados Funil'!O:O,"")</f>
        <v/>
      </c>
      <c r="L450" s="4"/>
      <c r="M450" s="4"/>
      <c r="N450" s="7" t="str">
        <f t="shared" si="3"/>
        <v/>
      </c>
      <c r="O450" s="4" t="str">
        <f t="shared" si="11"/>
        <v/>
      </c>
      <c r="P450" s="4" t="str">
        <f t="array" ref="P450">XLOOKUP(L450,'Dados Funil'!A:A,'Dados Funil'!AM:AM,"")</f>
        <v/>
      </c>
      <c r="Q450" s="4" t="str">
        <f t="array" ref="Q450">XLOOKUP(L450,'Dados Funil'!A:A,'Dados Funil'!AN:AN,"")</f>
        <v/>
      </c>
      <c r="T450" s="7" t="str">
        <f t="shared" si="4"/>
        <v/>
      </c>
      <c r="U450" s="4" t="str">
        <f t="shared" si="12"/>
        <v/>
      </c>
      <c r="V450" s="4" t="str">
        <f t="array" ref="V450">XLOOKUP(R450,'Dados Funil'!$A:$A,'Dados Funil'!$K:$K,"")</f>
        <v/>
      </c>
      <c r="W450" s="4" t="str">
        <f t="array" ref="W450">XLOOKUP(R450,'Dados Funil'!$A:$A,'Dados Funil'!$L:$L,"")</f>
        <v/>
      </c>
      <c r="X450" s="4"/>
      <c r="Y450" s="4"/>
      <c r="Z450" s="7" t="str">
        <f t="shared" si="5"/>
        <v/>
      </c>
      <c r="AA450" s="4" t="str">
        <f t="shared" si="13"/>
        <v/>
      </c>
      <c r="AB450" s="4" t="str">
        <f t="array" ref="AB450">XLOOKUP(X450,'Dados Funil'!A:A,'Dados Funil'!O:O,"")</f>
        <v/>
      </c>
      <c r="AE450" s="7" t="str">
        <f t="shared" si="6"/>
        <v/>
      </c>
      <c r="AG450" s="4" t="str">
        <f t="array" ref="AG450">XLOOKUP(AC450,'Dados Funil'!A:A,'Dados Funil'!AM:AM,"")</f>
        <v/>
      </c>
      <c r="AH450" s="4" t="str">
        <f t="array" ref="AH450">XLOOKUP(AC450,'Dados Funil'!A:A,'Dados Funil'!AN:AN,"")</f>
        <v/>
      </c>
    </row>
    <row r="451">
      <c r="A451" s="4"/>
      <c r="B451" s="4"/>
      <c r="C451" s="7" t="str">
        <f t="shared" si="1"/>
        <v/>
      </c>
      <c r="D451" s="4" t="str">
        <f t="shared" si="9"/>
        <v/>
      </c>
      <c r="E451" s="4" t="str">
        <f t="array" ref="E451">XLOOKUP(A451,'Dados Funil'!$A:$A,'Dados Funil'!$K:$K,"")</f>
        <v/>
      </c>
      <c r="F451" s="4" t="str">
        <f t="array" ref="F451">XLOOKUP(A451,'Dados Funil'!$A:$A,'Dados Funil'!$L:$L,"")</f>
        <v/>
      </c>
      <c r="G451" s="4"/>
      <c r="H451" s="4"/>
      <c r="I451" s="7" t="str">
        <f t="shared" si="2"/>
        <v/>
      </c>
      <c r="J451" s="4" t="str">
        <f t="shared" si="10"/>
        <v/>
      </c>
      <c r="K451" s="4" t="str">
        <f t="array" ref="K451">XLOOKUP(G451,'Dados Funil'!A:A,'Dados Funil'!O:O,"")</f>
        <v/>
      </c>
      <c r="L451" s="4"/>
      <c r="M451" s="4"/>
      <c r="N451" s="7" t="str">
        <f t="shared" si="3"/>
        <v/>
      </c>
      <c r="O451" s="4" t="str">
        <f t="shared" si="11"/>
        <v/>
      </c>
      <c r="P451" s="4" t="str">
        <f t="array" ref="P451">XLOOKUP(L451,'Dados Funil'!A:A,'Dados Funil'!AM:AM,"")</f>
        <v/>
      </c>
      <c r="Q451" s="4" t="str">
        <f t="array" ref="Q451">XLOOKUP(L451,'Dados Funil'!A:A,'Dados Funil'!AN:AN,"")</f>
        <v/>
      </c>
      <c r="T451" s="7" t="str">
        <f t="shared" si="4"/>
        <v/>
      </c>
      <c r="U451" s="4" t="str">
        <f t="shared" si="12"/>
        <v/>
      </c>
      <c r="V451" s="4" t="str">
        <f t="array" ref="V451">XLOOKUP(R451,'Dados Funil'!$A:$A,'Dados Funil'!$K:$K,"")</f>
        <v/>
      </c>
      <c r="W451" s="4" t="str">
        <f t="array" ref="W451">XLOOKUP(R451,'Dados Funil'!$A:$A,'Dados Funil'!$L:$L,"")</f>
        <v/>
      </c>
      <c r="X451" s="4"/>
      <c r="Y451" s="4"/>
      <c r="Z451" s="7" t="str">
        <f t="shared" si="5"/>
        <v/>
      </c>
      <c r="AA451" s="4" t="str">
        <f t="shared" si="13"/>
        <v/>
      </c>
      <c r="AB451" s="4" t="str">
        <f t="array" ref="AB451">XLOOKUP(X451,'Dados Funil'!A:A,'Dados Funil'!O:O,"")</f>
        <v/>
      </c>
      <c r="AE451" s="7" t="str">
        <f t="shared" si="6"/>
        <v/>
      </c>
      <c r="AG451" s="4" t="str">
        <f t="array" ref="AG451">XLOOKUP(AC451,'Dados Funil'!A:A,'Dados Funil'!AM:AM,"")</f>
        <v/>
      </c>
      <c r="AH451" s="4" t="str">
        <f t="array" ref="AH451">XLOOKUP(AC451,'Dados Funil'!A:A,'Dados Funil'!AN:AN,"")</f>
        <v/>
      </c>
    </row>
    <row r="452">
      <c r="A452" s="4"/>
      <c r="B452" s="4"/>
      <c r="C452" s="7" t="str">
        <f t="shared" si="1"/>
        <v/>
      </c>
      <c r="D452" s="4" t="str">
        <f t="shared" si="9"/>
        <v/>
      </c>
      <c r="E452" s="4" t="str">
        <f t="array" ref="E452">XLOOKUP(A452,'Dados Funil'!$A:$A,'Dados Funil'!$K:$K,"")</f>
        <v/>
      </c>
      <c r="F452" s="4" t="str">
        <f t="array" ref="F452">XLOOKUP(A452,'Dados Funil'!$A:$A,'Dados Funil'!$L:$L,"")</f>
        <v/>
      </c>
      <c r="G452" s="4"/>
      <c r="H452" s="4"/>
      <c r="I452" s="7" t="str">
        <f t="shared" si="2"/>
        <v/>
      </c>
      <c r="J452" s="4" t="str">
        <f t="shared" si="10"/>
        <v/>
      </c>
      <c r="K452" s="4" t="str">
        <f t="array" ref="K452">XLOOKUP(G452,'Dados Funil'!A:A,'Dados Funil'!O:O,"")</f>
        <v/>
      </c>
      <c r="L452" s="4"/>
      <c r="M452" s="4"/>
      <c r="N452" s="7" t="str">
        <f t="shared" si="3"/>
        <v/>
      </c>
      <c r="O452" s="4" t="str">
        <f t="shared" si="11"/>
        <v/>
      </c>
      <c r="P452" s="4" t="str">
        <f t="array" ref="P452">XLOOKUP(L452,'Dados Funil'!A:A,'Dados Funil'!AM:AM,"")</f>
        <v/>
      </c>
      <c r="Q452" s="4" t="str">
        <f t="array" ref="Q452">XLOOKUP(L452,'Dados Funil'!A:A,'Dados Funil'!AN:AN,"")</f>
        <v/>
      </c>
      <c r="T452" s="7" t="str">
        <f t="shared" si="4"/>
        <v/>
      </c>
      <c r="U452" s="4" t="str">
        <f t="shared" si="12"/>
        <v/>
      </c>
      <c r="V452" s="4" t="str">
        <f t="array" ref="V452">XLOOKUP(R452,'Dados Funil'!$A:$A,'Dados Funil'!$K:$K,"")</f>
        <v/>
      </c>
      <c r="W452" s="4" t="str">
        <f t="array" ref="W452">XLOOKUP(R452,'Dados Funil'!$A:$A,'Dados Funil'!$L:$L,"")</f>
        <v/>
      </c>
      <c r="X452" s="4"/>
      <c r="Y452" s="4"/>
      <c r="Z452" s="7" t="str">
        <f t="shared" si="5"/>
        <v/>
      </c>
      <c r="AA452" s="4" t="str">
        <f t="shared" si="13"/>
        <v/>
      </c>
      <c r="AB452" s="4" t="str">
        <f t="array" ref="AB452">XLOOKUP(X452,'Dados Funil'!A:A,'Dados Funil'!O:O,"")</f>
        <v/>
      </c>
      <c r="AE452" s="7" t="str">
        <f t="shared" si="6"/>
        <v/>
      </c>
      <c r="AG452" s="4" t="str">
        <f t="array" ref="AG452">XLOOKUP(AC452,'Dados Funil'!A:A,'Dados Funil'!AM:AM,"")</f>
        <v/>
      </c>
      <c r="AH452" s="4" t="str">
        <f t="array" ref="AH452">XLOOKUP(AC452,'Dados Funil'!A:A,'Dados Funil'!AN:AN,"")</f>
        <v/>
      </c>
    </row>
    <row r="453">
      <c r="A453" s="4"/>
      <c r="B453" s="4"/>
      <c r="C453" s="7" t="str">
        <f t="shared" si="1"/>
        <v/>
      </c>
      <c r="D453" s="4" t="str">
        <f t="shared" si="9"/>
        <v/>
      </c>
      <c r="E453" s="4" t="str">
        <f t="array" ref="E453">XLOOKUP(A453,'Dados Funil'!$A:$A,'Dados Funil'!$K:$K,"")</f>
        <v/>
      </c>
      <c r="F453" s="4" t="str">
        <f t="array" ref="F453">XLOOKUP(A453,'Dados Funil'!$A:$A,'Dados Funil'!$L:$L,"")</f>
        <v/>
      </c>
      <c r="G453" s="4"/>
      <c r="H453" s="4"/>
      <c r="I453" s="7" t="str">
        <f t="shared" si="2"/>
        <v/>
      </c>
      <c r="J453" s="4" t="str">
        <f t="shared" si="10"/>
        <v/>
      </c>
      <c r="K453" s="4" t="str">
        <f t="array" ref="K453">XLOOKUP(G453,'Dados Funil'!A:A,'Dados Funil'!O:O,"")</f>
        <v/>
      </c>
      <c r="L453" s="4"/>
      <c r="M453" s="4"/>
      <c r="N453" s="7" t="str">
        <f t="shared" si="3"/>
        <v/>
      </c>
      <c r="O453" s="4" t="str">
        <f t="shared" si="11"/>
        <v/>
      </c>
      <c r="P453" s="4" t="str">
        <f t="array" ref="P453">XLOOKUP(L453,'Dados Funil'!A:A,'Dados Funil'!AM:AM,"")</f>
        <v/>
      </c>
      <c r="Q453" s="4" t="str">
        <f t="array" ref="Q453">XLOOKUP(L453,'Dados Funil'!A:A,'Dados Funil'!AN:AN,"")</f>
        <v/>
      </c>
      <c r="T453" s="7" t="str">
        <f t="shared" si="4"/>
        <v/>
      </c>
      <c r="U453" s="4" t="str">
        <f t="shared" si="12"/>
        <v/>
      </c>
      <c r="V453" s="4" t="str">
        <f t="array" ref="V453">XLOOKUP(R453,'Dados Funil'!$A:$A,'Dados Funil'!$K:$K,"")</f>
        <v/>
      </c>
      <c r="W453" s="4" t="str">
        <f t="array" ref="W453">XLOOKUP(R453,'Dados Funil'!$A:$A,'Dados Funil'!$L:$L,"")</f>
        <v/>
      </c>
      <c r="X453" s="4"/>
      <c r="Y453" s="4"/>
      <c r="Z453" s="7" t="str">
        <f t="shared" si="5"/>
        <v/>
      </c>
      <c r="AA453" s="4" t="str">
        <f t="shared" si="13"/>
        <v/>
      </c>
      <c r="AB453" s="4" t="str">
        <f t="array" ref="AB453">XLOOKUP(X453,'Dados Funil'!A:A,'Dados Funil'!O:O,"")</f>
        <v/>
      </c>
      <c r="AE453" s="7" t="str">
        <f t="shared" si="6"/>
        <v/>
      </c>
      <c r="AG453" s="4" t="str">
        <f t="array" ref="AG453">XLOOKUP(AC453,'Dados Funil'!A:A,'Dados Funil'!AM:AM,"")</f>
        <v/>
      </c>
      <c r="AH453" s="4" t="str">
        <f t="array" ref="AH453">XLOOKUP(AC453,'Dados Funil'!A:A,'Dados Funil'!AN:AN,"")</f>
        <v/>
      </c>
    </row>
    <row r="454">
      <c r="A454" s="4"/>
      <c r="B454" s="4"/>
      <c r="C454" s="7" t="str">
        <f t="shared" si="1"/>
        <v/>
      </c>
      <c r="D454" s="4" t="str">
        <f t="shared" si="9"/>
        <v/>
      </c>
      <c r="E454" s="4" t="str">
        <f t="array" ref="E454">XLOOKUP(A454,'Dados Funil'!$A:$A,'Dados Funil'!$K:$K,"")</f>
        <v/>
      </c>
      <c r="F454" s="4" t="str">
        <f t="array" ref="F454">XLOOKUP(A454,'Dados Funil'!$A:$A,'Dados Funil'!$L:$L,"")</f>
        <v/>
      </c>
      <c r="G454" s="4"/>
      <c r="H454" s="4"/>
      <c r="I454" s="7" t="str">
        <f t="shared" si="2"/>
        <v/>
      </c>
      <c r="J454" s="4" t="str">
        <f t="shared" si="10"/>
        <v/>
      </c>
      <c r="K454" s="4" t="str">
        <f t="array" ref="K454">XLOOKUP(G454,'Dados Funil'!A:A,'Dados Funil'!O:O,"")</f>
        <v/>
      </c>
      <c r="L454" s="4"/>
      <c r="M454" s="4"/>
      <c r="N454" s="7" t="str">
        <f t="shared" si="3"/>
        <v/>
      </c>
      <c r="O454" s="4" t="str">
        <f t="shared" si="11"/>
        <v/>
      </c>
      <c r="P454" s="4" t="str">
        <f t="array" ref="P454">XLOOKUP(L454,'Dados Funil'!A:A,'Dados Funil'!AM:AM,"")</f>
        <v/>
      </c>
      <c r="Q454" s="4" t="str">
        <f t="array" ref="Q454">XLOOKUP(L454,'Dados Funil'!A:A,'Dados Funil'!AN:AN,"")</f>
        <v/>
      </c>
      <c r="T454" s="7" t="str">
        <f t="shared" si="4"/>
        <v/>
      </c>
      <c r="U454" s="4" t="str">
        <f t="shared" si="12"/>
        <v/>
      </c>
      <c r="V454" s="4" t="str">
        <f t="array" ref="V454">XLOOKUP(R454,'Dados Funil'!$A:$A,'Dados Funil'!$K:$K,"")</f>
        <v/>
      </c>
      <c r="W454" s="4" t="str">
        <f t="array" ref="W454">XLOOKUP(R454,'Dados Funil'!$A:$A,'Dados Funil'!$L:$L,"")</f>
        <v/>
      </c>
      <c r="X454" s="4"/>
      <c r="Y454" s="4"/>
      <c r="Z454" s="7" t="str">
        <f t="shared" si="5"/>
        <v/>
      </c>
      <c r="AA454" s="4" t="str">
        <f t="shared" si="13"/>
        <v/>
      </c>
      <c r="AB454" s="4" t="str">
        <f t="array" ref="AB454">XLOOKUP(X454,'Dados Funil'!A:A,'Dados Funil'!O:O,"")</f>
        <v/>
      </c>
      <c r="AE454" s="7" t="str">
        <f t="shared" si="6"/>
        <v/>
      </c>
      <c r="AG454" s="4" t="str">
        <f t="array" ref="AG454">XLOOKUP(AC454,'Dados Funil'!A:A,'Dados Funil'!AM:AM,"")</f>
        <v/>
      </c>
      <c r="AH454" s="4" t="str">
        <f t="array" ref="AH454">XLOOKUP(AC454,'Dados Funil'!A:A,'Dados Funil'!AN:AN,"")</f>
        <v/>
      </c>
    </row>
    <row r="455">
      <c r="A455" s="4"/>
      <c r="B455" s="4"/>
      <c r="C455" s="7" t="str">
        <f t="shared" si="1"/>
        <v/>
      </c>
      <c r="D455" s="4" t="str">
        <f t="shared" si="9"/>
        <v/>
      </c>
      <c r="E455" s="4" t="str">
        <f t="array" ref="E455">XLOOKUP(A455,'Dados Funil'!$A:$A,'Dados Funil'!$K:$K,"")</f>
        <v/>
      </c>
      <c r="F455" s="4" t="str">
        <f t="array" ref="F455">XLOOKUP(A455,'Dados Funil'!$A:$A,'Dados Funil'!$L:$L,"")</f>
        <v/>
      </c>
      <c r="G455" s="4"/>
      <c r="H455" s="4"/>
      <c r="I455" s="7" t="str">
        <f t="shared" si="2"/>
        <v/>
      </c>
      <c r="J455" s="4" t="str">
        <f t="shared" si="10"/>
        <v/>
      </c>
      <c r="K455" s="4" t="str">
        <f t="array" ref="K455">XLOOKUP(G455,'Dados Funil'!A:A,'Dados Funil'!O:O,"")</f>
        <v/>
      </c>
      <c r="L455" s="4"/>
      <c r="M455" s="4"/>
      <c r="N455" s="7" t="str">
        <f t="shared" si="3"/>
        <v/>
      </c>
      <c r="O455" s="4" t="str">
        <f t="shared" si="11"/>
        <v/>
      </c>
      <c r="P455" s="4" t="str">
        <f t="array" ref="P455">XLOOKUP(L455,'Dados Funil'!A:A,'Dados Funil'!AM:AM,"")</f>
        <v/>
      </c>
      <c r="Q455" s="4" t="str">
        <f t="array" ref="Q455">XLOOKUP(L455,'Dados Funil'!A:A,'Dados Funil'!AN:AN,"")</f>
        <v/>
      </c>
      <c r="T455" s="7" t="str">
        <f t="shared" si="4"/>
        <v/>
      </c>
      <c r="U455" s="4" t="str">
        <f t="shared" si="12"/>
        <v/>
      </c>
      <c r="V455" s="4" t="str">
        <f t="array" ref="V455">XLOOKUP(R455,'Dados Funil'!$A:$A,'Dados Funil'!$K:$K,"")</f>
        <v/>
      </c>
      <c r="W455" s="4" t="str">
        <f t="array" ref="W455">XLOOKUP(R455,'Dados Funil'!$A:$A,'Dados Funil'!$L:$L,"")</f>
        <v/>
      </c>
      <c r="X455" s="4"/>
      <c r="Y455" s="4"/>
      <c r="Z455" s="7" t="str">
        <f t="shared" si="5"/>
        <v/>
      </c>
      <c r="AA455" s="4" t="str">
        <f t="shared" si="13"/>
        <v/>
      </c>
      <c r="AB455" s="4" t="str">
        <f t="array" ref="AB455">XLOOKUP(X455,'Dados Funil'!A:A,'Dados Funil'!O:O,"")</f>
        <v/>
      </c>
      <c r="AE455" s="7" t="str">
        <f t="shared" si="6"/>
        <v/>
      </c>
      <c r="AG455" s="4" t="str">
        <f t="array" ref="AG455">XLOOKUP(AC455,'Dados Funil'!A:A,'Dados Funil'!AM:AM,"")</f>
        <v/>
      </c>
      <c r="AH455" s="4" t="str">
        <f t="array" ref="AH455">XLOOKUP(AC455,'Dados Funil'!A:A,'Dados Funil'!AN:AN,"")</f>
        <v/>
      </c>
    </row>
    <row r="456">
      <c r="A456" s="4"/>
      <c r="B456" s="4"/>
      <c r="C456" s="7" t="str">
        <f t="shared" si="1"/>
        <v/>
      </c>
      <c r="D456" s="4" t="str">
        <f t="shared" si="9"/>
        <v/>
      </c>
      <c r="E456" s="4" t="str">
        <f t="array" ref="E456">XLOOKUP(A456,'Dados Funil'!$A:$A,'Dados Funil'!$K:$K,"")</f>
        <v/>
      </c>
      <c r="F456" s="4" t="str">
        <f t="array" ref="F456">XLOOKUP(A456,'Dados Funil'!$A:$A,'Dados Funil'!$L:$L,"")</f>
        <v/>
      </c>
      <c r="G456" s="4"/>
      <c r="H456" s="4"/>
      <c r="I456" s="7" t="str">
        <f t="shared" si="2"/>
        <v/>
      </c>
      <c r="J456" s="4" t="str">
        <f t="shared" si="10"/>
        <v/>
      </c>
      <c r="K456" s="4" t="str">
        <f t="array" ref="K456">XLOOKUP(G456,'Dados Funil'!A:A,'Dados Funil'!O:O,"")</f>
        <v/>
      </c>
      <c r="L456" s="4"/>
      <c r="M456" s="4"/>
      <c r="N456" s="7" t="str">
        <f t="shared" si="3"/>
        <v/>
      </c>
      <c r="O456" s="4" t="str">
        <f t="shared" si="11"/>
        <v/>
      </c>
      <c r="P456" s="4" t="str">
        <f t="array" ref="P456">XLOOKUP(L456,'Dados Funil'!A:A,'Dados Funil'!AM:AM,"")</f>
        <v/>
      </c>
      <c r="Q456" s="4" t="str">
        <f t="array" ref="Q456">XLOOKUP(L456,'Dados Funil'!A:A,'Dados Funil'!AN:AN,"")</f>
        <v/>
      </c>
      <c r="T456" s="7" t="str">
        <f t="shared" si="4"/>
        <v/>
      </c>
      <c r="U456" s="4" t="str">
        <f t="shared" si="12"/>
        <v/>
      </c>
      <c r="V456" s="4" t="str">
        <f t="array" ref="V456">XLOOKUP(R456,'Dados Funil'!$A:$A,'Dados Funil'!$K:$K,"")</f>
        <v/>
      </c>
      <c r="W456" s="4" t="str">
        <f t="array" ref="W456">XLOOKUP(R456,'Dados Funil'!$A:$A,'Dados Funil'!$L:$L,"")</f>
        <v/>
      </c>
      <c r="X456" s="4"/>
      <c r="Y456" s="4"/>
      <c r="Z456" s="7" t="str">
        <f t="shared" si="5"/>
        <v/>
      </c>
      <c r="AA456" s="4" t="str">
        <f t="shared" si="13"/>
        <v/>
      </c>
      <c r="AB456" s="4" t="str">
        <f t="array" ref="AB456">XLOOKUP(X456,'Dados Funil'!A:A,'Dados Funil'!O:O,"")</f>
        <v/>
      </c>
      <c r="AE456" s="7" t="str">
        <f t="shared" si="6"/>
        <v/>
      </c>
      <c r="AG456" s="4" t="str">
        <f t="array" ref="AG456">XLOOKUP(AC456,'Dados Funil'!A:A,'Dados Funil'!AM:AM,"")</f>
        <v/>
      </c>
      <c r="AH456" s="4" t="str">
        <f t="array" ref="AH456">XLOOKUP(AC456,'Dados Funil'!A:A,'Dados Funil'!AN:AN,"")</f>
        <v/>
      </c>
    </row>
    <row r="457">
      <c r="A457" s="4"/>
      <c r="B457" s="4"/>
      <c r="C457" s="7" t="str">
        <f t="shared" si="1"/>
        <v/>
      </c>
      <c r="D457" s="4" t="str">
        <f t="shared" si="9"/>
        <v/>
      </c>
      <c r="E457" s="4" t="str">
        <f t="array" ref="E457">XLOOKUP(A457,'Dados Funil'!$A:$A,'Dados Funil'!$K:$K,"")</f>
        <v/>
      </c>
      <c r="F457" s="4" t="str">
        <f t="array" ref="F457">XLOOKUP(A457,'Dados Funil'!$A:$A,'Dados Funil'!$L:$L,"")</f>
        <v/>
      </c>
      <c r="G457" s="4"/>
      <c r="H457" s="4"/>
      <c r="I457" s="7" t="str">
        <f t="shared" si="2"/>
        <v/>
      </c>
      <c r="J457" s="4" t="str">
        <f t="shared" si="10"/>
        <v/>
      </c>
      <c r="K457" s="4" t="str">
        <f t="array" ref="K457">XLOOKUP(G457,'Dados Funil'!A:A,'Dados Funil'!O:O,"")</f>
        <v/>
      </c>
      <c r="L457" s="4"/>
      <c r="M457" s="4"/>
      <c r="N457" s="7" t="str">
        <f t="shared" si="3"/>
        <v/>
      </c>
      <c r="O457" s="4" t="str">
        <f t="shared" si="11"/>
        <v/>
      </c>
      <c r="P457" s="4" t="str">
        <f t="array" ref="P457">XLOOKUP(L457,'Dados Funil'!A:A,'Dados Funil'!AM:AM,"")</f>
        <v/>
      </c>
      <c r="Q457" s="4" t="str">
        <f t="array" ref="Q457">XLOOKUP(L457,'Dados Funil'!A:A,'Dados Funil'!AN:AN,"")</f>
        <v/>
      </c>
      <c r="T457" s="7" t="str">
        <f t="shared" si="4"/>
        <v/>
      </c>
      <c r="U457" s="4" t="str">
        <f t="shared" si="12"/>
        <v/>
      </c>
      <c r="V457" s="4" t="str">
        <f t="array" ref="V457">XLOOKUP(R457,'Dados Funil'!$A:$A,'Dados Funil'!$K:$K,"")</f>
        <v/>
      </c>
      <c r="W457" s="4" t="str">
        <f t="array" ref="W457">XLOOKUP(R457,'Dados Funil'!$A:$A,'Dados Funil'!$L:$L,"")</f>
        <v/>
      </c>
      <c r="X457" s="4"/>
      <c r="Y457" s="4"/>
      <c r="Z457" s="7" t="str">
        <f t="shared" si="5"/>
        <v/>
      </c>
      <c r="AA457" s="4" t="str">
        <f t="shared" si="13"/>
        <v/>
      </c>
      <c r="AB457" s="4" t="str">
        <f t="array" ref="AB457">XLOOKUP(X457,'Dados Funil'!A:A,'Dados Funil'!O:O,"")</f>
        <v/>
      </c>
      <c r="AE457" s="7" t="str">
        <f t="shared" si="6"/>
        <v/>
      </c>
      <c r="AG457" s="4" t="str">
        <f t="array" ref="AG457">XLOOKUP(AC457,'Dados Funil'!A:A,'Dados Funil'!AM:AM,"")</f>
        <v/>
      </c>
      <c r="AH457" s="4" t="str">
        <f t="array" ref="AH457">XLOOKUP(AC457,'Dados Funil'!A:A,'Dados Funil'!AN:AN,"")</f>
        <v/>
      </c>
    </row>
    <row r="458">
      <c r="A458" s="4"/>
      <c r="B458" s="4"/>
      <c r="C458" s="7" t="str">
        <f t="shared" si="1"/>
        <v/>
      </c>
      <c r="D458" s="4" t="str">
        <f t="shared" si="9"/>
        <v/>
      </c>
      <c r="E458" s="4" t="str">
        <f t="array" ref="E458">XLOOKUP(A458,'Dados Funil'!$A:$A,'Dados Funil'!$K:$K,"")</f>
        <v/>
      </c>
      <c r="F458" s="4" t="str">
        <f t="array" ref="F458">XLOOKUP(A458,'Dados Funil'!$A:$A,'Dados Funil'!$L:$L,"")</f>
        <v/>
      </c>
      <c r="G458" s="4"/>
      <c r="H458" s="4"/>
      <c r="I458" s="7" t="str">
        <f t="shared" si="2"/>
        <v/>
      </c>
      <c r="J458" s="4" t="str">
        <f t="shared" si="10"/>
        <v/>
      </c>
      <c r="K458" s="4" t="str">
        <f t="array" ref="K458">XLOOKUP(G458,'Dados Funil'!A:A,'Dados Funil'!O:O,"")</f>
        <v/>
      </c>
      <c r="L458" s="4"/>
      <c r="M458" s="4"/>
      <c r="N458" s="7" t="str">
        <f t="shared" si="3"/>
        <v/>
      </c>
      <c r="O458" s="4" t="str">
        <f t="shared" si="11"/>
        <v/>
      </c>
      <c r="P458" s="4" t="str">
        <f t="array" ref="P458">XLOOKUP(L458,'Dados Funil'!A:A,'Dados Funil'!AM:AM,"")</f>
        <v/>
      </c>
      <c r="Q458" s="4" t="str">
        <f t="array" ref="Q458">XLOOKUP(L458,'Dados Funil'!A:A,'Dados Funil'!AN:AN,"")</f>
        <v/>
      </c>
      <c r="T458" s="7" t="str">
        <f t="shared" si="4"/>
        <v/>
      </c>
      <c r="U458" s="4" t="str">
        <f t="shared" si="12"/>
        <v/>
      </c>
      <c r="V458" s="4" t="str">
        <f t="array" ref="V458">XLOOKUP(R458,'Dados Funil'!$A:$A,'Dados Funil'!$K:$K,"")</f>
        <v/>
      </c>
      <c r="W458" s="4" t="str">
        <f t="array" ref="W458">XLOOKUP(R458,'Dados Funil'!$A:$A,'Dados Funil'!$L:$L,"")</f>
        <v/>
      </c>
      <c r="X458" s="4"/>
      <c r="Y458" s="4"/>
      <c r="Z458" s="7" t="str">
        <f t="shared" si="5"/>
        <v/>
      </c>
      <c r="AA458" s="4" t="str">
        <f t="shared" si="13"/>
        <v/>
      </c>
      <c r="AB458" s="4" t="str">
        <f t="array" ref="AB458">XLOOKUP(X458,'Dados Funil'!A:A,'Dados Funil'!O:O,"")</f>
        <v/>
      </c>
      <c r="AE458" s="7" t="str">
        <f t="shared" si="6"/>
        <v/>
      </c>
      <c r="AG458" s="4" t="str">
        <f t="array" ref="AG458">XLOOKUP(AC458,'Dados Funil'!A:A,'Dados Funil'!AM:AM,"")</f>
        <v/>
      </c>
      <c r="AH458" s="4" t="str">
        <f t="array" ref="AH458">XLOOKUP(AC458,'Dados Funil'!A:A,'Dados Funil'!AN:AN,"")</f>
        <v/>
      </c>
    </row>
    <row r="459">
      <c r="A459" s="4"/>
      <c r="B459" s="4"/>
      <c r="C459" s="7" t="str">
        <f t="shared" si="1"/>
        <v/>
      </c>
      <c r="D459" s="4" t="str">
        <f t="shared" si="9"/>
        <v/>
      </c>
      <c r="E459" s="4" t="str">
        <f t="array" ref="E459">XLOOKUP(A459,'Dados Funil'!$A:$A,'Dados Funil'!$K:$K,"")</f>
        <v/>
      </c>
      <c r="F459" s="4" t="str">
        <f t="array" ref="F459">XLOOKUP(A459,'Dados Funil'!$A:$A,'Dados Funil'!$L:$L,"")</f>
        <v/>
      </c>
      <c r="G459" s="4"/>
      <c r="H459" s="4"/>
      <c r="I459" s="7" t="str">
        <f t="shared" si="2"/>
        <v/>
      </c>
      <c r="J459" s="4" t="str">
        <f t="shared" si="10"/>
        <v/>
      </c>
      <c r="K459" s="4" t="str">
        <f t="array" ref="K459">XLOOKUP(G459,'Dados Funil'!A:A,'Dados Funil'!O:O,"")</f>
        <v/>
      </c>
      <c r="L459" s="4"/>
      <c r="M459" s="4"/>
      <c r="N459" s="7" t="str">
        <f t="shared" si="3"/>
        <v/>
      </c>
      <c r="O459" s="4" t="str">
        <f t="shared" si="11"/>
        <v/>
      </c>
      <c r="P459" s="4" t="str">
        <f t="array" ref="P459">XLOOKUP(L459,'Dados Funil'!A:A,'Dados Funil'!AM:AM,"")</f>
        <v/>
      </c>
      <c r="Q459" s="4" t="str">
        <f t="array" ref="Q459">XLOOKUP(L459,'Dados Funil'!A:A,'Dados Funil'!AN:AN,"")</f>
        <v/>
      </c>
      <c r="T459" s="7" t="str">
        <f t="shared" si="4"/>
        <v/>
      </c>
      <c r="U459" s="4" t="str">
        <f t="shared" si="12"/>
        <v/>
      </c>
      <c r="V459" s="4" t="str">
        <f t="array" ref="V459">XLOOKUP(R459,'Dados Funil'!$A:$A,'Dados Funil'!$K:$K,"")</f>
        <v/>
      </c>
      <c r="W459" s="4" t="str">
        <f t="array" ref="W459">XLOOKUP(R459,'Dados Funil'!$A:$A,'Dados Funil'!$L:$L,"")</f>
        <v/>
      </c>
      <c r="X459" s="4"/>
      <c r="Y459" s="4"/>
      <c r="Z459" s="7" t="str">
        <f t="shared" si="5"/>
        <v/>
      </c>
      <c r="AA459" s="4" t="str">
        <f t="shared" si="13"/>
        <v/>
      </c>
      <c r="AB459" s="4" t="str">
        <f t="array" ref="AB459">XLOOKUP(X459,'Dados Funil'!A:A,'Dados Funil'!O:O,"")</f>
        <v/>
      </c>
      <c r="AE459" s="7" t="str">
        <f t="shared" si="6"/>
        <v/>
      </c>
      <c r="AG459" s="4" t="str">
        <f t="array" ref="AG459">XLOOKUP(AC459,'Dados Funil'!A:A,'Dados Funil'!AM:AM,"")</f>
        <v/>
      </c>
      <c r="AH459" s="4" t="str">
        <f t="array" ref="AH459">XLOOKUP(AC459,'Dados Funil'!A:A,'Dados Funil'!AN:AN,"")</f>
        <v/>
      </c>
    </row>
    <row r="460">
      <c r="A460" s="4"/>
      <c r="B460" s="4"/>
      <c r="C460" s="7" t="str">
        <f t="shared" si="1"/>
        <v/>
      </c>
      <c r="D460" s="4" t="str">
        <f t="shared" si="9"/>
        <v/>
      </c>
      <c r="E460" s="4" t="str">
        <f t="array" ref="E460">XLOOKUP(A460,'Dados Funil'!$A:$A,'Dados Funil'!$K:$K,"")</f>
        <v/>
      </c>
      <c r="F460" s="4" t="str">
        <f t="array" ref="F460">XLOOKUP(A460,'Dados Funil'!$A:$A,'Dados Funil'!$L:$L,"")</f>
        <v/>
      </c>
      <c r="G460" s="4"/>
      <c r="H460" s="4"/>
      <c r="I460" s="7" t="str">
        <f t="shared" si="2"/>
        <v/>
      </c>
      <c r="J460" s="4" t="str">
        <f t="shared" si="10"/>
        <v/>
      </c>
      <c r="K460" s="4" t="str">
        <f t="array" ref="K460">XLOOKUP(G460,'Dados Funil'!A:A,'Dados Funil'!O:O,"")</f>
        <v/>
      </c>
      <c r="L460" s="4"/>
      <c r="M460" s="4"/>
      <c r="N460" s="7" t="str">
        <f t="shared" si="3"/>
        <v/>
      </c>
      <c r="O460" s="4" t="str">
        <f t="shared" si="11"/>
        <v/>
      </c>
      <c r="P460" s="4" t="str">
        <f t="array" ref="P460">XLOOKUP(L460,'Dados Funil'!A:A,'Dados Funil'!AM:AM,"")</f>
        <v/>
      </c>
      <c r="Q460" s="4" t="str">
        <f t="array" ref="Q460">XLOOKUP(L460,'Dados Funil'!A:A,'Dados Funil'!AN:AN,"")</f>
        <v/>
      </c>
      <c r="T460" s="7" t="str">
        <f t="shared" si="4"/>
        <v/>
      </c>
      <c r="U460" s="4" t="str">
        <f t="shared" si="12"/>
        <v/>
      </c>
      <c r="V460" s="4" t="str">
        <f t="array" ref="V460">XLOOKUP(R460,'Dados Funil'!$A:$A,'Dados Funil'!$K:$K,"")</f>
        <v/>
      </c>
      <c r="W460" s="4" t="str">
        <f t="array" ref="W460">XLOOKUP(R460,'Dados Funil'!$A:$A,'Dados Funil'!$L:$L,"")</f>
        <v/>
      </c>
      <c r="X460" s="4"/>
      <c r="Y460" s="4"/>
      <c r="Z460" s="7" t="str">
        <f t="shared" si="5"/>
        <v/>
      </c>
      <c r="AA460" s="4" t="str">
        <f t="shared" si="13"/>
        <v/>
      </c>
      <c r="AB460" s="4" t="str">
        <f t="array" ref="AB460">XLOOKUP(X460,'Dados Funil'!A:A,'Dados Funil'!O:O,"")</f>
        <v/>
      </c>
      <c r="AE460" s="7" t="str">
        <f t="shared" si="6"/>
        <v/>
      </c>
      <c r="AG460" s="4" t="str">
        <f t="array" ref="AG460">XLOOKUP(AC460,'Dados Funil'!A:A,'Dados Funil'!AM:AM,"")</f>
        <v/>
      </c>
      <c r="AH460" s="4" t="str">
        <f t="array" ref="AH460">XLOOKUP(AC460,'Dados Funil'!A:A,'Dados Funil'!AN:AN,"")</f>
        <v/>
      </c>
    </row>
    <row r="461">
      <c r="A461" s="4"/>
      <c r="B461" s="4"/>
      <c r="C461" s="7" t="str">
        <f t="shared" si="1"/>
        <v/>
      </c>
      <c r="D461" s="4" t="str">
        <f t="shared" si="9"/>
        <v/>
      </c>
      <c r="E461" s="4" t="str">
        <f t="array" ref="E461">XLOOKUP(A461,'Dados Funil'!$A:$A,'Dados Funil'!$K:$K,"")</f>
        <v/>
      </c>
      <c r="F461" s="4" t="str">
        <f t="array" ref="F461">XLOOKUP(A461,'Dados Funil'!$A:$A,'Dados Funil'!$L:$L,"")</f>
        <v/>
      </c>
      <c r="G461" s="4"/>
      <c r="H461" s="4"/>
      <c r="I461" s="7" t="str">
        <f t="shared" si="2"/>
        <v/>
      </c>
      <c r="J461" s="4" t="str">
        <f t="shared" si="10"/>
        <v/>
      </c>
      <c r="K461" s="4" t="str">
        <f t="array" ref="K461">XLOOKUP(G461,'Dados Funil'!A:A,'Dados Funil'!O:O,"")</f>
        <v/>
      </c>
      <c r="L461" s="4"/>
      <c r="M461" s="4"/>
      <c r="N461" s="7" t="str">
        <f t="shared" si="3"/>
        <v/>
      </c>
      <c r="O461" s="4" t="str">
        <f t="shared" si="11"/>
        <v/>
      </c>
      <c r="P461" s="4" t="str">
        <f t="array" ref="P461">XLOOKUP(L461,'Dados Funil'!A:A,'Dados Funil'!AM:AM,"")</f>
        <v/>
      </c>
      <c r="Q461" s="4" t="str">
        <f t="array" ref="Q461">XLOOKUP(L461,'Dados Funil'!A:A,'Dados Funil'!AN:AN,"")</f>
        <v/>
      </c>
      <c r="T461" s="7" t="str">
        <f t="shared" si="4"/>
        <v/>
      </c>
      <c r="U461" s="4" t="str">
        <f t="shared" si="12"/>
        <v/>
      </c>
      <c r="V461" s="4" t="str">
        <f t="array" ref="V461">XLOOKUP(R461,'Dados Funil'!$A:$A,'Dados Funil'!$K:$K,"")</f>
        <v/>
      </c>
      <c r="W461" s="4" t="str">
        <f t="array" ref="W461">XLOOKUP(R461,'Dados Funil'!$A:$A,'Dados Funil'!$L:$L,"")</f>
        <v/>
      </c>
      <c r="X461" s="4"/>
      <c r="Y461" s="4"/>
      <c r="Z461" s="7" t="str">
        <f t="shared" si="5"/>
        <v/>
      </c>
      <c r="AA461" s="4" t="str">
        <f t="shared" si="13"/>
        <v/>
      </c>
      <c r="AB461" s="4" t="str">
        <f t="array" ref="AB461">XLOOKUP(X461,'Dados Funil'!A:A,'Dados Funil'!O:O,"")</f>
        <v/>
      </c>
      <c r="AE461" s="7" t="str">
        <f t="shared" si="6"/>
        <v/>
      </c>
      <c r="AG461" s="4" t="str">
        <f t="array" ref="AG461">XLOOKUP(AC461,'Dados Funil'!A:A,'Dados Funil'!AM:AM,"")</f>
        <v/>
      </c>
      <c r="AH461" s="4" t="str">
        <f t="array" ref="AH461">XLOOKUP(AC461,'Dados Funil'!A:A,'Dados Funil'!AN:AN,"")</f>
        <v/>
      </c>
    </row>
    <row r="462">
      <c r="A462" s="4"/>
      <c r="B462" s="4"/>
      <c r="C462" s="7" t="str">
        <f t="shared" si="1"/>
        <v/>
      </c>
      <c r="D462" s="4" t="str">
        <f t="shared" si="9"/>
        <v/>
      </c>
      <c r="E462" s="4" t="str">
        <f t="array" ref="E462">XLOOKUP(A462,'Dados Funil'!$A:$A,'Dados Funil'!$K:$K,"")</f>
        <v/>
      </c>
      <c r="F462" s="4" t="str">
        <f t="array" ref="F462">XLOOKUP(A462,'Dados Funil'!$A:$A,'Dados Funil'!$L:$L,"")</f>
        <v/>
      </c>
      <c r="G462" s="4"/>
      <c r="H462" s="4"/>
      <c r="I462" s="7" t="str">
        <f t="shared" si="2"/>
        <v/>
      </c>
      <c r="J462" s="4" t="str">
        <f t="shared" si="10"/>
        <v/>
      </c>
      <c r="K462" s="4" t="str">
        <f t="array" ref="K462">XLOOKUP(G462,'Dados Funil'!A:A,'Dados Funil'!O:O,"")</f>
        <v/>
      </c>
      <c r="L462" s="4"/>
      <c r="M462" s="4"/>
      <c r="N462" s="7" t="str">
        <f t="shared" si="3"/>
        <v/>
      </c>
      <c r="O462" s="4" t="str">
        <f t="shared" si="11"/>
        <v/>
      </c>
      <c r="P462" s="4" t="str">
        <f t="array" ref="P462">XLOOKUP(L462,'Dados Funil'!A:A,'Dados Funil'!AM:AM,"")</f>
        <v/>
      </c>
      <c r="Q462" s="4" t="str">
        <f t="array" ref="Q462">XLOOKUP(L462,'Dados Funil'!A:A,'Dados Funil'!AN:AN,"")</f>
        <v/>
      </c>
      <c r="T462" s="7" t="str">
        <f t="shared" si="4"/>
        <v/>
      </c>
      <c r="U462" s="4" t="str">
        <f t="shared" si="12"/>
        <v/>
      </c>
      <c r="V462" s="4" t="str">
        <f t="array" ref="V462">XLOOKUP(R462,'Dados Funil'!$A:$A,'Dados Funil'!$K:$K,"")</f>
        <v/>
      </c>
      <c r="W462" s="4" t="str">
        <f t="array" ref="W462">XLOOKUP(R462,'Dados Funil'!$A:$A,'Dados Funil'!$L:$L,"")</f>
        <v/>
      </c>
      <c r="X462" s="4"/>
      <c r="Y462" s="4"/>
      <c r="Z462" s="7" t="str">
        <f t="shared" si="5"/>
        <v/>
      </c>
      <c r="AA462" s="4" t="str">
        <f t="shared" si="13"/>
        <v/>
      </c>
      <c r="AB462" s="4" t="str">
        <f t="array" ref="AB462">XLOOKUP(X462,'Dados Funil'!A:A,'Dados Funil'!O:O,"")</f>
        <v/>
      </c>
      <c r="AE462" s="7" t="str">
        <f t="shared" si="6"/>
        <v/>
      </c>
      <c r="AG462" s="4" t="str">
        <f t="array" ref="AG462">XLOOKUP(AC462,'Dados Funil'!A:A,'Dados Funil'!AM:AM,"")</f>
        <v/>
      </c>
      <c r="AH462" s="4" t="str">
        <f t="array" ref="AH462">XLOOKUP(AC462,'Dados Funil'!A:A,'Dados Funil'!AN:AN,"")</f>
        <v/>
      </c>
    </row>
    <row r="463">
      <c r="A463" s="4"/>
      <c r="B463" s="4"/>
      <c r="C463" s="7" t="str">
        <f t="shared" si="1"/>
        <v/>
      </c>
      <c r="D463" s="4" t="str">
        <f t="shared" si="9"/>
        <v/>
      </c>
      <c r="E463" s="4" t="str">
        <f t="array" ref="E463">XLOOKUP(A463,'Dados Funil'!$A:$A,'Dados Funil'!$K:$K,"")</f>
        <v/>
      </c>
      <c r="F463" s="4" t="str">
        <f t="array" ref="F463">XLOOKUP(A463,'Dados Funil'!$A:$A,'Dados Funil'!$L:$L,"")</f>
        <v/>
      </c>
      <c r="G463" s="4"/>
      <c r="H463" s="4"/>
      <c r="I463" s="7" t="str">
        <f t="shared" si="2"/>
        <v/>
      </c>
      <c r="J463" s="4" t="str">
        <f t="shared" si="10"/>
        <v/>
      </c>
      <c r="K463" s="4" t="str">
        <f t="array" ref="K463">XLOOKUP(G463,'Dados Funil'!A:A,'Dados Funil'!O:O,"")</f>
        <v/>
      </c>
      <c r="L463" s="4"/>
      <c r="M463" s="4"/>
      <c r="N463" s="7" t="str">
        <f t="shared" si="3"/>
        <v/>
      </c>
      <c r="O463" s="4" t="str">
        <f t="shared" si="11"/>
        <v/>
      </c>
      <c r="P463" s="4" t="str">
        <f t="array" ref="P463">XLOOKUP(L463,'Dados Funil'!A:A,'Dados Funil'!AM:AM,"")</f>
        <v/>
      </c>
      <c r="Q463" s="4" t="str">
        <f t="array" ref="Q463">XLOOKUP(L463,'Dados Funil'!A:A,'Dados Funil'!AN:AN,"")</f>
        <v/>
      </c>
      <c r="T463" s="7" t="str">
        <f t="shared" si="4"/>
        <v/>
      </c>
      <c r="U463" s="4" t="str">
        <f t="shared" si="12"/>
        <v/>
      </c>
      <c r="V463" s="4" t="str">
        <f t="array" ref="V463">XLOOKUP(R463,'Dados Funil'!$A:$A,'Dados Funil'!$K:$K,"")</f>
        <v/>
      </c>
      <c r="W463" s="4" t="str">
        <f t="array" ref="W463">XLOOKUP(R463,'Dados Funil'!$A:$A,'Dados Funil'!$L:$L,"")</f>
        <v/>
      </c>
      <c r="X463" s="4"/>
      <c r="Y463" s="4"/>
      <c r="Z463" s="7" t="str">
        <f t="shared" si="5"/>
        <v/>
      </c>
      <c r="AA463" s="4" t="str">
        <f t="shared" si="13"/>
        <v/>
      </c>
      <c r="AB463" s="4" t="str">
        <f t="array" ref="AB463">XLOOKUP(X463,'Dados Funil'!A:A,'Dados Funil'!O:O,"")</f>
        <v/>
      </c>
      <c r="AE463" s="7" t="str">
        <f t="shared" si="6"/>
        <v/>
      </c>
      <c r="AG463" s="4" t="str">
        <f t="array" ref="AG463">XLOOKUP(AC463,'Dados Funil'!A:A,'Dados Funil'!AM:AM,"")</f>
        <v/>
      </c>
      <c r="AH463" s="4" t="str">
        <f t="array" ref="AH463">XLOOKUP(AC463,'Dados Funil'!A:A,'Dados Funil'!AN:AN,"")</f>
        <v/>
      </c>
    </row>
    <row r="464">
      <c r="A464" s="4"/>
      <c r="B464" s="4"/>
      <c r="C464" s="7" t="str">
        <f t="shared" si="1"/>
        <v/>
      </c>
      <c r="D464" s="4" t="str">
        <f t="shared" si="9"/>
        <v/>
      </c>
      <c r="E464" s="4" t="str">
        <f t="array" ref="E464">XLOOKUP(A464,'Dados Funil'!$A:$A,'Dados Funil'!$K:$K,"")</f>
        <v/>
      </c>
      <c r="F464" s="4" t="str">
        <f t="array" ref="F464">XLOOKUP(A464,'Dados Funil'!$A:$A,'Dados Funil'!$L:$L,"")</f>
        <v/>
      </c>
      <c r="G464" s="4"/>
      <c r="H464" s="4"/>
      <c r="I464" s="7" t="str">
        <f t="shared" si="2"/>
        <v/>
      </c>
      <c r="J464" s="4" t="str">
        <f t="shared" si="10"/>
        <v/>
      </c>
      <c r="K464" s="4" t="str">
        <f t="array" ref="K464">XLOOKUP(G464,'Dados Funil'!A:A,'Dados Funil'!O:O,"")</f>
        <v/>
      </c>
      <c r="L464" s="4"/>
      <c r="M464" s="4"/>
      <c r="N464" s="7" t="str">
        <f t="shared" si="3"/>
        <v/>
      </c>
      <c r="O464" s="4" t="str">
        <f t="shared" si="11"/>
        <v/>
      </c>
      <c r="P464" s="4" t="str">
        <f t="array" ref="P464">XLOOKUP(L464,'Dados Funil'!A:A,'Dados Funil'!AM:AM,"")</f>
        <v/>
      </c>
      <c r="Q464" s="4" t="str">
        <f t="array" ref="Q464">XLOOKUP(L464,'Dados Funil'!A:A,'Dados Funil'!AN:AN,"")</f>
        <v/>
      </c>
      <c r="T464" s="7" t="str">
        <f t="shared" si="4"/>
        <v/>
      </c>
      <c r="U464" s="4" t="str">
        <f t="shared" si="12"/>
        <v/>
      </c>
      <c r="V464" s="4" t="str">
        <f t="array" ref="V464">XLOOKUP(R464,'Dados Funil'!$A:$A,'Dados Funil'!$K:$K,"")</f>
        <v/>
      </c>
      <c r="W464" s="4" t="str">
        <f t="array" ref="W464">XLOOKUP(R464,'Dados Funil'!$A:$A,'Dados Funil'!$L:$L,"")</f>
        <v/>
      </c>
      <c r="X464" s="4"/>
      <c r="Y464" s="4"/>
      <c r="Z464" s="7" t="str">
        <f t="shared" si="5"/>
        <v/>
      </c>
      <c r="AA464" s="4" t="str">
        <f t="shared" si="13"/>
        <v/>
      </c>
      <c r="AB464" s="4" t="str">
        <f t="array" ref="AB464">XLOOKUP(X464,'Dados Funil'!A:A,'Dados Funil'!O:O,"")</f>
        <v/>
      </c>
      <c r="AE464" s="7" t="str">
        <f t="shared" si="6"/>
        <v/>
      </c>
      <c r="AG464" s="4" t="str">
        <f t="array" ref="AG464">XLOOKUP(AC464,'Dados Funil'!A:A,'Dados Funil'!AM:AM,"")</f>
        <v/>
      </c>
      <c r="AH464" s="4" t="str">
        <f t="array" ref="AH464">XLOOKUP(AC464,'Dados Funil'!A:A,'Dados Funil'!AN:AN,"")</f>
        <v/>
      </c>
    </row>
    <row r="465">
      <c r="A465" s="4"/>
      <c r="B465" s="4"/>
      <c r="C465" s="7" t="str">
        <f t="shared" si="1"/>
        <v/>
      </c>
      <c r="D465" s="4" t="str">
        <f t="shared" si="9"/>
        <v/>
      </c>
      <c r="E465" s="4" t="str">
        <f t="array" ref="E465">XLOOKUP(A465,'Dados Funil'!$A:$A,'Dados Funil'!$K:$K,"")</f>
        <v/>
      </c>
      <c r="F465" s="4" t="str">
        <f t="array" ref="F465">XLOOKUP(A465,'Dados Funil'!$A:$A,'Dados Funil'!$L:$L,"")</f>
        <v/>
      </c>
      <c r="G465" s="4"/>
      <c r="H465" s="4"/>
      <c r="I465" s="7" t="str">
        <f t="shared" si="2"/>
        <v/>
      </c>
      <c r="J465" s="4" t="str">
        <f t="shared" si="10"/>
        <v/>
      </c>
      <c r="K465" s="4" t="str">
        <f t="array" ref="K465">XLOOKUP(G465,'Dados Funil'!A:A,'Dados Funil'!O:O,"")</f>
        <v/>
      </c>
      <c r="L465" s="4"/>
      <c r="M465" s="4"/>
      <c r="N465" s="7" t="str">
        <f t="shared" si="3"/>
        <v/>
      </c>
      <c r="O465" s="4" t="str">
        <f t="shared" si="11"/>
        <v/>
      </c>
      <c r="P465" s="4" t="str">
        <f t="array" ref="P465">XLOOKUP(L465,'Dados Funil'!A:A,'Dados Funil'!AM:AM,"")</f>
        <v/>
      </c>
      <c r="Q465" s="4" t="str">
        <f t="array" ref="Q465">XLOOKUP(L465,'Dados Funil'!A:A,'Dados Funil'!AN:AN,"")</f>
        <v/>
      </c>
      <c r="T465" s="7" t="str">
        <f t="shared" si="4"/>
        <v/>
      </c>
      <c r="U465" s="4" t="str">
        <f t="shared" si="12"/>
        <v/>
      </c>
      <c r="V465" s="4" t="str">
        <f t="array" ref="V465">XLOOKUP(R465,'Dados Funil'!$A:$A,'Dados Funil'!$K:$K,"")</f>
        <v/>
      </c>
      <c r="W465" s="4" t="str">
        <f t="array" ref="W465">XLOOKUP(R465,'Dados Funil'!$A:$A,'Dados Funil'!$L:$L,"")</f>
        <v/>
      </c>
      <c r="X465" s="4"/>
      <c r="Y465" s="4"/>
      <c r="Z465" s="7" t="str">
        <f t="shared" si="5"/>
        <v/>
      </c>
      <c r="AA465" s="4" t="str">
        <f t="shared" si="13"/>
        <v/>
      </c>
      <c r="AB465" s="4" t="str">
        <f t="array" ref="AB465">XLOOKUP(X465,'Dados Funil'!A:A,'Dados Funil'!O:O,"")</f>
        <v/>
      </c>
      <c r="AE465" s="7" t="str">
        <f t="shared" si="6"/>
        <v/>
      </c>
      <c r="AG465" s="4" t="str">
        <f t="array" ref="AG465">XLOOKUP(AC465,'Dados Funil'!A:A,'Dados Funil'!AM:AM,"")</f>
        <v/>
      </c>
      <c r="AH465" s="4" t="str">
        <f t="array" ref="AH465">XLOOKUP(AC465,'Dados Funil'!A:A,'Dados Funil'!AN:AN,"")</f>
        <v/>
      </c>
    </row>
    <row r="466">
      <c r="A466" s="4"/>
      <c r="B466" s="4"/>
      <c r="C466" s="7" t="str">
        <f t="shared" si="1"/>
        <v/>
      </c>
      <c r="D466" s="4" t="str">
        <f t="shared" si="9"/>
        <v/>
      </c>
      <c r="E466" s="4" t="str">
        <f t="array" ref="E466">XLOOKUP(A466,'Dados Funil'!$A:$A,'Dados Funil'!$K:$K,"")</f>
        <v/>
      </c>
      <c r="F466" s="4" t="str">
        <f t="array" ref="F466">XLOOKUP(A466,'Dados Funil'!$A:$A,'Dados Funil'!$L:$L,"")</f>
        <v/>
      </c>
      <c r="G466" s="4"/>
      <c r="H466" s="4"/>
      <c r="I466" s="7" t="str">
        <f t="shared" si="2"/>
        <v/>
      </c>
      <c r="J466" s="4" t="str">
        <f t="shared" si="10"/>
        <v/>
      </c>
      <c r="K466" s="4" t="str">
        <f t="array" ref="K466">XLOOKUP(G466,'Dados Funil'!A:A,'Dados Funil'!O:O,"")</f>
        <v/>
      </c>
      <c r="L466" s="4"/>
      <c r="M466" s="4"/>
      <c r="N466" s="7" t="str">
        <f t="shared" si="3"/>
        <v/>
      </c>
      <c r="O466" s="4" t="str">
        <f t="shared" si="11"/>
        <v/>
      </c>
      <c r="P466" s="4" t="str">
        <f t="array" ref="P466">XLOOKUP(L466,'Dados Funil'!A:A,'Dados Funil'!AM:AM,"")</f>
        <v/>
      </c>
      <c r="Q466" s="4" t="str">
        <f t="array" ref="Q466">XLOOKUP(L466,'Dados Funil'!A:A,'Dados Funil'!AN:AN,"")</f>
        <v/>
      </c>
      <c r="T466" s="7" t="str">
        <f t="shared" si="4"/>
        <v/>
      </c>
      <c r="U466" s="4" t="str">
        <f t="shared" si="12"/>
        <v/>
      </c>
      <c r="V466" s="4" t="str">
        <f t="array" ref="V466">XLOOKUP(R466,'Dados Funil'!$A:$A,'Dados Funil'!$K:$K,"")</f>
        <v/>
      </c>
      <c r="W466" s="4" t="str">
        <f t="array" ref="W466">XLOOKUP(R466,'Dados Funil'!$A:$A,'Dados Funil'!$L:$L,"")</f>
        <v/>
      </c>
      <c r="X466" s="4"/>
      <c r="Y466" s="4"/>
      <c r="Z466" s="7" t="str">
        <f t="shared" si="5"/>
        <v/>
      </c>
      <c r="AA466" s="4" t="str">
        <f t="shared" si="13"/>
        <v/>
      </c>
      <c r="AB466" s="4" t="str">
        <f t="array" ref="AB466">XLOOKUP(X466,'Dados Funil'!A:A,'Dados Funil'!O:O,"")</f>
        <v/>
      </c>
      <c r="AE466" s="7" t="str">
        <f t="shared" si="6"/>
        <v/>
      </c>
      <c r="AG466" s="4" t="str">
        <f t="array" ref="AG466">XLOOKUP(AC466,'Dados Funil'!A:A,'Dados Funil'!AM:AM,"")</f>
        <v/>
      </c>
      <c r="AH466" s="4" t="str">
        <f t="array" ref="AH466">XLOOKUP(AC466,'Dados Funil'!A:A,'Dados Funil'!AN:AN,"")</f>
        <v/>
      </c>
    </row>
    <row r="467">
      <c r="A467" s="4"/>
      <c r="B467" s="4"/>
      <c r="C467" s="7" t="str">
        <f t="shared" si="1"/>
        <v/>
      </c>
      <c r="D467" s="4" t="str">
        <f t="shared" si="9"/>
        <v/>
      </c>
      <c r="E467" s="4" t="str">
        <f t="array" ref="E467">XLOOKUP(A467,'Dados Funil'!$A:$A,'Dados Funil'!$K:$K,"")</f>
        <v/>
      </c>
      <c r="F467" s="4" t="str">
        <f t="array" ref="F467">XLOOKUP(A467,'Dados Funil'!$A:$A,'Dados Funil'!$L:$L,"")</f>
        <v/>
      </c>
      <c r="G467" s="4"/>
      <c r="H467" s="4"/>
      <c r="I467" s="7" t="str">
        <f t="shared" si="2"/>
        <v/>
      </c>
      <c r="J467" s="4" t="str">
        <f t="shared" si="10"/>
        <v/>
      </c>
      <c r="K467" s="4" t="str">
        <f t="array" ref="K467">XLOOKUP(G467,'Dados Funil'!A:A,'Dados Funil'!O:O,"")</f>
        <v/>
      </c>
      <c r="L467" s="4"/>
      <c r="M467" s="4"/>
      <c r="N467" s="7" t="str">
        <f t="shared" si="3"/>
        <v/>
      </c>
      <c r="O467" s="4" t="str">
        <f t="shared" si="11"/>
        <v/>
      </c>
      <c r="P467" s="4" t="str">
        <f t="array" ref="P467">XLOOKUP(L467,'Dados Funil'!A:A,'Dados Funil'!AM:AM,"")</f>
        <v/>
      </c>
      <c r="Q467" s="4" t="str">
        <f t="array" ref="Q467">XLOOKUP(L467,'Dados Funil'!A:A,'Dados Funil'!AN:AN,"")</f>
        <v/>
      </c>
      <c r="T467" s="7" t="str">
        <f t="shared" si="4"/>
        <v/>
      </c>
      <c r="U467" s="4" t="str">
        <f t="shared" si="12"/>
        <v/>
      </c>
      <c r="V467" s="4" t="str">
        <f t="array" ref="V467">XLOOKUP(R467,'Dados Funil'!$A:$A,'Dados Funil'!$K:$K,"")</f>
        <v/>
      </c>
      <c r="W467" s="4" t="str">
        <f t="array" ref="W467">XLOOKUP(R467,'Dados Funil'!$A:$A,'Dados Funil'!$L:$L,"")</f>
        <v/>
      </c>
      <c r="X467" s="4"/>
      <c r="Y467" s="4"/>
      <c r="Z467" s="7" t="str">
        <f t="shared" si="5"/>
        <v/>
      </c>
      <c r="AA467" s="4" t="str">
        <f t="shared" si="13"/>
        <v/>
      </c>
      <c r="AB467" s="4" t="str">
        <f t="array" ref="AB467">XLOOKUP(X467,'Dados Funil'!A:A,'Dados Funil'!O:O,"")</f>
        <v/>
      </c>
      <c r="AE467" s="7" t="str">
        <f t="shared" si="6"/>
        <v/>
      </c>
      <c r="AG467" s="4" t="str">
        <f t="array" ref="AG467">XLOOKUP(AC467,'Dados Funil'!A:A,'Dados Funil'!AM:AM,"")</f>
        <v/>
      </c>
      <c r="AH467" s="4" t="str">
        <f t="array" ref="AH467">XLOOKUP(AC467,'Dados Funil'!A:A,'Dados Funil'!AN:AN,"")</f>
        <v/>
      </c>
    </row>
    <row r="468">
      <c r="A468" s="4"/>
      <c r="B468" s="4"/>
      <c r="C468" s="7" t="str">
        <f t="shared" si="1"/>
        <v/>
      </c>
      <c r="D468" s="4" t="str">
        <f t="shared" si="9"/>
        <v/>
      </c>
      <c r="E468" s="4" t="str">
        <f t="array" ref="E468">XLOOKUP(A468,'Dados Funil'!$A:$A,'Dados Funil'!$K:$K,"")</f>
        <v/>
      </c>
      <c r="F468" s="4" t="str">
        <f t="array" ref="F468">XLOOKUP(A468,'Dados Funil'!$A:$A,'Dados Funil'!$L:$L,"")</f>
        <v/>
      </c>
      <c r="G468" s="4"/>
      <c r="H468" s="4"/>
      <c r="I468" s="7" t="str">
        <f t="shared" si="2"/>
        <v/>
      </c>
      <c r="J468" s="4" t="str">
        <f t="shared" si="10"/>
        <v/>
      </c>
      <c r="K468" s="4" t="str">
        <f t="array" ref="K468">XLOOKUP(G468,'Dados Funil'!A:A,'Dados Funil'!O:O,"")</f>
        <v/>
      </c>
      <c r="L468" s="4"/>
      <c r="M468" s="4"/>
      <c r="N468" s="7" t="str">
        <f t="shared" si="3"/>
        <v/>
      </c>
      <c r="O468" s="4" t="str">
        <f t="shared" si="11"/>
        <v/>
      </c>
      <c r="P468" s="4" t="str">
        <f t="array" ref="P468">XLOOKUP(L468,'Dados Funil'!A:A,'Dados Funil'!AM:AM,"")</f>
        <v/>
      </c>
      <c r="Q468" s="4" t="str">
        <f t="array" ref="Q468">XLOOKUP(L468,'Dados Funil'!A:A,'Dados Funil'!AN:AN,"")</f>
        <v/>
      </c>
      <c r="T468" s="7" t="str">
        <f t="shared" si="4"/>
        <v/>
      </c>
      <c r="U468" s="4" t="str">
        <f t="shared" si="12"/>
        <v/>
      </c>
      <c r="V468" s="4" t="str">
        <f t="array" ref="V468">XLOOKUP(R468,'Dados Funil'!$A:$A,'Dados Funil'!$K:$K,"")</f>
        <v/>
      </c>
      <c r="W468" s="4" t="str">
        <f t="array" ref="W468">XLOOKUP(R468,'Dados Funil'!$A:$A,'Dados Funil'!$L:$L,"")</f>
        <v/>
      </c>
      <c r="X468" s="4"/>
      <c r="Y468" s="4"/>
      <c r="Z468" s="7" t="str">
        <f t="shared" si="5"/>
        <v/>
      </c>
      <c r="AA468" s="4" t="str">
        <f t="shared" si="13"/>
        <v/>
      </c>
      <c r="AB468" s="4" t="str">
        <f t="array" ref="AB468">XLOOKUP(X468,'Dados Funil'!A:A,'Dados Funil'!O:O,"")</f>
        <v/>
      </c>
      <c r="AE468" s="7" t="str">
        <f t="shared" si="6"/>
        <v/>
      </c>
      <c r="AG468" s="4" t="str">
        <f t="array" ref="AG468">XLOOKUP(AC468,'Dados Funil'!A:A,'Dados Funil'!AM:AM,"")</f>
        <v/>
      </c>
      <c r="AH468" s="4" t="str">
        <f t="array" ref="AH468">XLOOKUP(AC468,'Dados Funil'!A:A,'Dados Funil'!AN:AN,"")</f>
        <v/>
      </c>
    </row>
    <row r="469">
      <c r="A469" s="4"/>
      <c r="B469" s="4"/>
      <c r="C469" s="7" t="str">
        <f t="shared" si="1"/>
        <v/>
      </c>
      <c r="D469" s="4" t="str">
        <f t="shared" si="9"/>
        <v/>
      </c>
      <c r="E469" s="4" t="str">
        <f t="array" ref="E469">XLOOKUP(A469,'Dados Funil'!$A:$A,'Dados Funil'!$K:$K,"")</f>
        <v/>
      </c>
      <c r="F469" s="4" t="str">
        <f t="array" ref="F469">XLOOKUP(A469,'Dados Funil'!$A:$A,'Dados Funil'!$L:$L,"")</f>
        <v/>
      </c>
      <c r="G469" s="4"/>
      <c r="H469" s="4"/>
      <c r="I469" s="7" t="str">
        <f t="shared" si="2"/>
        <v/>
      </c>
      <c r="J469" s="4" t="str">
        <f t="shared" si="10"/>
        <v/>
      </c>
      <c r="K469" s="4" t="str">
        <f t="array" ref="K469">XLOOKUP(G469,'Dados Funil'!A:A,'Dados Funil'!O:O,"")</f>
        <v/>
      </c>
      <c r="L469" s="4"/>
      <c r="M469" s="4"/>
      <c r="N469" s="7" t="str">
        <f t="shared" si="3"/>
        <v/>
      </c>
      <c r="O469" s="4" t="str">
        <f t="shared" si="11"/>
        <v/>
      </c>
      <c r="P469" s="4" t="str">
        <f t="array" ref="P469">XLOOKUP(L469,'Dados Funil'!A:A,'Dados Funil'!AM:AM,"")</f>
        <v/>
      </c>
      <c r="Q469" s="4" t="str">
        <f t="array" ref="Q469">XLOOKUP(L469,'Dados Funil'!A:A,'Dados Funil'!AN:AN,"")</f>
        <v/>
      </c>
      <c r="T469" s="7" t="str">
        <f t="shared" si="4"/>
        <v/>
      </c>
      <c r="U469" s="4" t="str">
        <f t="shared" si="12"/>
        <v/>
      </c>
      <c r="V469" s="4" t="str">
        <f t="array" ref="V469">XLOOKUP(R469,'Dados Funil'!$A:$A,'Dados Funil'!$K:$K,"")</f>
        <v/>
      </c>
      <c r="W469" s="4" t="str">
        <f t="array" ref="W469">XLOOKUP(R469,'Dados Funil'!$A:$A,'Dados Funil'!$L:$L,"")</f>
        <v/>
      </c>
      <c r="X469" s="4"/>
      <c r="Y469" s="4"/>
      <c r="Z469" s="7" t="str">
        <f t="shared" si="5"/>
        <v/>
      </c>
      <c r="AA469" s="4" t="str">
        <f t="shared" si="13"/>
        <v/>
      </c>
      <c r="AB469" s="4" t="str">
        <f t="array" ref="AB469">XLOOKUP(X469,'Dados Funil'!A:A,'Dados Funil'!O:O,"")</f>
        <v/>
      </c>
      <c r="AE469" s="7" t="str">
        <f t="shared" si="6"/>
        <v/>
      </c>
      <c r="AG469" s="4" t="str">
        <f t="array" ref="AG469">XLOOKUP(AC469,'Dados Funil'!A:A,'Dados Funil'!AM:AM,"")</f>
        <v/>
      </c>
      <c r="AH469" s="4" t="str">
        <f t="array" ref="AH469">XLOOKUP(AC469,'Dados Funil'!A:A,'Dados Funil'!AN:AN,"")</f>
        <v/>
      </c>
    </row>
    <row r="470">
      <c r="A470" s="4"/>
      <c r="B470" s="4"/>
      <c r="C470" s="7" t="str">
        <f t="shared" si="1"/>
        <v/>
      </c>
      <c r="D470" s="4" t="str">
        <f t="shared" si="9"/>
        <v/>
      </c>
      <c r="E470" s="4" t="str">
        <f t="array" ref="E470">XLOOKUP(A470,'Dados Funil'!$A:$A,'Dados Funil'!$K:$K,"")</f>
        <v/>
      </c>
      <c r="F470" s="4" t="str">
        <f t="array" ref="F470">XLOOKUP(A470,'Dados Funil'!$A:$A,'Dados Funil'!$L:$L,"")</f>
        <v/>
      </c>
      <c r="G470" s="4"/>
      <c r="H470" s="4"/>
      <c r="I470" s="7" t="str">
        <f t="shared" si="2"/>
        <v/>
      </c>
      <c r="J470" s="4" t="str">
        <f t="shared" si="10"/>
        <v/>
      </c>
      <c r="K470" s="4" t="str">
        <f t="array" ref="K470">XLOOKUP(G470,'Dados Funil'!A:A,'Dados Funil'!O:O,"")</f>
        <v/>
      </c>
      <c r="L470" s="4"/>
      <c r="M470" s="4"/>
      <c r="N470" s="7" t="str">
        <f t="shared" si="3"/>
        <v/>
      </c>
      <c r="O470" s="4" t="str">
        <f t="shared" si="11"/>
        <v/>
      </c>
      <c r="P470" s="4" t="str">
        <f t="array" ref="P470">XLOOKUP(L470,'Dados Funil'!A:A,'Dados Funil'!AM:AM,"")</f>
        <v/>
      </c>
      <c r="Q470" s="4" t="str">
        <f t="array" ref="Q470">XLOOKUP(L470,'Dados Funil'!A:A,'Dados Funil'!AN:AN,"")</f>
        <v/>
      </c>
      <c r="T470" s="7" t="str">
        <f t="shared" si="4"/>
        <v/>
      </c>
      <c r="U470" s="4" t="str">
        <f t="shared" si="12"/>
        <v/>
      </c>
      <c r="V470" s="4" t="str">
        <f t="array" ref="V470">XLOOKUP(R470,'Dados Funil'!$A:$A,'Dados Funil'!$K:$K,"")</f>
        <v/>
      </c>
      <c r="W470" s="4" t="str">
        <f t="array" ref="W470">XLOOKUP(R470,'Dados Funil'!$A:$A,'Dados Funil'!$L:$L,"")</f>
        <v/>
      </c>
      <c r="X470" s="4"/>
      <c r="Y470" s="4"/>
      <c r="Z470" s="7" t="str">
        <f t="shared" si="5"/>
        <v/>
      </c>
      <c r="AA470" s="4" t="str">
        <f t="shared" si="13"/>
        <v/>
      </c>
      <c r="AB470" s="4" t="str">
        <f t="array" ref="AB470">XLOOKUP(X470,'Dados Funil'!A:A,'Dados Funil'!O:O,"")</f>
        <v/>
      </c>
      <c r="AE470" s="7" t="str">
        <f t="shared" si="6"/>
        <v/>
      </c>
      <c r="AG470" s="4" t="str">
        <f t="array" ref="AG470">XLOOKUP(AC470,'Dados Funil'!A:A,'Dados Funil'!AM:AM,"")</f>
        <v/>
      </c>
      <c r="AH470" s="4" t="str">
        <f t="array" ref="AH470">XLOOKUP(AC470,'Dados Funil'!A:A,'Dados Funil'!AN:AN,"")</f>
        <v/>
      </c>
    </row>
    <row r="471">
      <c r="A471" s="4"/>
      <c r="B471" s="4"/>
      <c r="C471" s="7" t="str">
        <f t="shared" si="1"/>
        <v/>
      </c>
      <c r="D471" s="4" t="str">
        <f t="shared" si="9"/>
        <v/>
      </c>
      <c r="E471" s="4" t="str">
        <f t="array" ref="E471">XLOOKUP(A471,'Dados Funil'!$A:$A,'Dados Funil'!$K:$K,"")</f>
        <v/>
      </c>
      <c r="F471" s="4" t="str">
        <f t="array" ref="F471">XLOOKUP(A471,'Dados Funil'!$A:$A,'Dados Funil'!$L:$L,"")</f>
        <v/>
      </c>
      <c r="G471" s="4"/>
      <c r="H471" s="4"/>
      <c r="I471" s="7" t="str">
        <f t="shared" si="2"/>
        <v/>
      </c>
      <c r="J471" s="4" t="str">
        <f t="shared" si="10"/>
        <v/>
      </c>
      <c r="K471" s="4" t="str">
        <f t="array" ref="K471">XLOOKUP(G471,'Dados Funil'!A:A,'Dados Funil'!O:O,"")</f>
        <v/>
      </c>
      <c r="L471" s="4"/>
      <c r="M471" s="4"/>
      <c r="N471" s="7" t="str">
        <f t="shared" si="3"/>
        <v/>
      </c>
      <c r="O471" s="4" t="str">
        <f t="shared" si="11"/>
        <v/>
      </c>
      <c r="P471" s="4" t="str">
        <f t="array" ref="P471">XLOOKUP(L471,'Dados Funil'!A:A,'Dados Funil'!AM:AM,"")</f>
        <v/>
      </c>
      <c r="Q471" s="4" t="str">
        <f t="array" ref="Q471">XLOOKUP(L471,'Dados Funil'!A:A,'Dados Funil'!AN:AN,"")</f>
        <v/>
      </c>
      <c r="T471" s="7" t="str">
        <f t="shared" si="4"/>
        <v/>
      </c>
      <c r="U471" s="4" t="str">
        <f t="shared" si="12"/>
        <v/>
      </c>
      <c r="V471" s="4" t="str">
        <f t="array" ref="V471">XLOOKUP(R471,'Dados Funil'!$A:$A,'Dados Funil'!$K:$K,"")</f>
        <v/>
      </c>
      <c r="W471" s="4" t="str">
        <f t="array" ref="W471">XLOOKUP(R471,'Dados Funil'!$A:$A,'Dados Funil'!$L:$L,"")</f>
        <v/>
      </c>
      <c r="X471" s="4"/>
      <c r="Y471" s="4"/>
      <c r="Z471" s="7" t="str">
        <f t="shared" si="5"/>
        <v/>
      </c>
      <c r="AA471" s="4" t="str">
        <f t="shared" si="13"/>
        <v/>
      </c>
      <c r="AB471" s="4" t="str">
        <f t="array" ref="AB471">XLOOKUP(X471,'Dados Funil'!A:A,'Dados Funil'!O:O,"")</f>
        <v/>
      </c>
      <c r="AE471" s="7" t="str">
        <f t="shared" si="6"/>
        <v/>
      </c>
      <c r="AG471" s="4" t="str">
        <f t="array" ref="AG471">XLOOKUP(AC471,'Dados Funil'!A:A,'Dados Funil'!AM:AM,"")</f>
        <v/>
      </c>
      <c r="AH471" s="4" t="str">
        <f t="array" ref="AH471">XLOOKUP(AC471,'Dados Funil'!A:A,'Dados Funil'!AN:AN,"")</f>
        <v/>
      </c>
    </row>
    <row r="472">
      <c r="A472" s="4"/>
      <c r="B472" s="4"/>
      <c r="C472" s="7" t="str">
        <f t="shared" si="1"/>
        <v/>
      </c>
      <c r="D472" s="4" t="str">
        <f t="shared" si="9"/>
        <v/>
      </c>
      <c r="E472" s="4" t="str">
        <f t="array" ref="E472">XLOOKUP(A472,'Dados Funil'!$A:$A,'Dados Funil'!$K:$K,"")</f>
        <v/>
      </c>
      <c r="F472" s="4" t="str">
        <f t="array" ref="F472">XLOOKUP(A472,'Dados Funil'!$A:$A,'Dados Funil'!$L:$L,"")</f>
        <v/>
      </c>
      <c r="G472" s="4"/>
      <c r="H472" s="4"/>
      <c r="I472" s="7" t="str">
        <f t="shared" si="2"/>
        <v/>
      </c>
      <c r="J472" s="4" t="str">
        <f t="shared" si="10"/>
        <v/>
      </c>
      <c r="K472" s="4" t="str">
        <f t="array" ref="K472">XLOOKUP(G472,'Dados Funil'!A:A,'Dados Funil'!O:O,"")</f>
        <v/>
      </c>
      <c r="L472" s="4"/>
      <c r="M472" s="4"/>
      <c r="N472" s="7" t="str">
        <f t="shared" si="3"/>
        <v/>
      </c>
      <c r="O472" s="4" t="str">
        <f t="shared" si="11"/>
        <v/>
      </c>
      <c r="P472" s="4" t="str">
        <f t="array" ref="P472">XLOOKUP(L472,'Dados Funil'!A:A,'Dados Funil'!AM:AM,"")</f>
        <v/>
      </c>
      <c r="Q472" s="4" t="str">
        <f t="array" ref="Q472">XLOOKUP(L472,'Dados Funil'!A:A,'Dados Funil'!AN:AN,"")</f>
        <v/>
      </c>
      <c r="T472" s="7" t="str">
        <f t="shared" si="4"/>
        <v/>
      </c>
      <c r="U472" s="4" t="str">
        <f t="shared" si="12"/>
        <v/>
      </c>
      <c r="V472" s="4" t="str">
        <f t="array" ref="V472">XLOOKUP(R472,'Dados Funil'!$A:$A,'Dados Funil'!$K:$K,"")</f>
        <v/>
      </c>
      <c r="W472" s="4" t="str">
        <f t="array" ref="W472">XLOOKUP(R472,'Dados Funil'!$A:$A,'Dados Funil'!$L:$L,"")</f>
        <v/>
      </c>
      <c r="X472" s="4"/>
      <c r="Y472" s="4"/>
      <c r="Z472" s="7" t="str">
        <f t="shared" si="5"/>
        <v/>
      </c>
      <c r="AA472" s="4" t="str">
        <f t="shared" si="13"/>
        <v/>
      </c>
      <c r="AB472" s="4" t="str">
        <f t="array" ref="AB472">XLOOKUP(X472,'Dados Funil'!A:A,'Dados Funil'!O:O,"")</f>
        <v/>
      </c>
      <c r="AE472" s="7" t="str">
        <f t="shared" si="6"/>
        <v/>
      </c>
      <c r="AG472" s="4" t="str">
        <f t="array" ref="AG472">XLOOKUP(AC472,'Dados Funil'!A:A,'Dados Funil'!AM:AM,"")</f>
        <v/>
      </c>
      <c r="AH472" s="4" t="str">
        <f t="array" ref="AH472">XLOOKUP(AC472,'Dados Funil'!A:A,'Dados Funil'!AN:AN,"")</f>
        <v/>
      </c>
    </row>
    <row r="473">
      <c r="A473" s="4"/>
      <c r="B473" s="4"/>
      <c r="C473" s="7" t="str">
        <f t="shared" si="1"/>
        <v/>
      </c>
      <c r="D473" s="4" t="str">
        <f t="shared" si="9"/>
        <v/>
      </c>
      <c r="E473" s="4" t="str">
        <f t="array" ref="E473">XLOOKUP(A473,'Dados Funil'!$A:$A,'Dados Funil'!$K:$K,"")</f>
        <v/>
      </c>
      <c r="F473" s="4" t="str">
        <f t="array" ref="F473">XLOOKUP(A473,'Dados Funil'!$A:$A,'Dados Funil'!$L:$L,"")</f>
        <v/>
      </c>
      <c r="G473" s="4"/>
      <c r="H473" s="4"/>
      <c r="I473" s="7" t="str">
        <f t="shared" si="2"/>
        <v/>
      </c>
      <c r="J473" s="4" t="str">
        <f t="shared" si="10"/>
        <v/>
      </c>
      <c r="K473" s="4" t="str">
        <f t="array" ref="K473">XLOOKUP(G473,'Dados Funil'!A:A,'Dados Funil'!O:O,"")</f>
        <v/>
      </c>
      <c r="L473" s="4"/>
      <c r="M473" s="4"/>
      <c r="N473" s="7" t="str">
        <f t="shared" si="3"/>
        <v/>
      </c>
      <c r="O473" s="4" t="str">
        <f t="shared" si="11"/>
        <v/>
      </c>
      <c r="P473" s="4" t="str">
        <f t="array" ref="P473">XLOOKUP(L473,'Dados Funil'!A:A,'Dados Funil'!AM:AM,"")</f>
        <v/>
      </c>
      <c r="Q473" s="4" t="str">
        <f t="array" ref="Q473">XLOOKUP(L473,'Dados Funil'!A:A,'Dados Funil'!AN:AN,"")</f>
        <v/>
      </c>
      <c r="T473" s="7" t="str">
        <f t="shared" si="4"/>
        <v/>
      </c>
      <c r="U473" s="4" t="str">
        <f t="shared" si="12"/>
        <v/>
      </c>
      <c r="V473" s="4" t="str">
        <f t="array" ref="V473">XLOOKUP(R473,'Dados Funil'!$A:$A,'Dados Funil'!$K:$K,"")</f>
        <v/>
      </c>
      <c r="W473" s="4" t="str">
        <f t="array" ref="W473">XLOOKUP(R473,'Dados Funil'!$A:$A,'Dados Funil'!$L:$L,"")</f>
        <v/>
      </c>
      <c r="X473" s="4"/>
      <c r="Y473" s="4"/>
      <c r="Z473" s="7" t="str">
        <f t="shared" si="5"/>
        <v/>
      </c>
      <c r="AA473" s="4" t="str">
        <f t="shared" si="13"/>
        <v/>
      </c>
      <c r="AB473" s="4" t="str">
        <f t="array" ref="AB473">XLOOKUP(X473,'Dados Funil'!A:A,'Dados Funil'!O:O,"")</f>
        <v/>
      </c>
      <c r="AE473" s="7" t="str">
        <f t="shared" si="6"/>
        <v/>
      </c>
      <c r="AG473" s="4" t="str">
        <f t="array" ref="AG473">XLOOKUP(AC473,'Dados Funil'!A:A,'Dados Funil'!AM:AM,"")</f>
        <v/>
      </c>
      <c r="AH473" s="4" t="str">
        <f t="array" ref="AH473">XLOOKUP(AC473,'Dados Funil'!A:A,'Dados Funil'!AN:AN,"")</f>
        <v/>
      </c>
    </row>
    <row r="474">
      <c r="A474" s="4"/>
      <c r="B474" s="4"/>
      <c r="C474" s="7" t="str">
        <f t="shared" si="1"/>
        <v/>
      </c>
      <c r="D474" s="4" t="str">
        <f t="shared" si="9"/>
        <v/>
      </c>
      <c r="E474" s="4" t="str">
        <f t="array" ref="E474">XLOOKUP(A474,'Dados Funil'!$A:$A,'Dados Funil'!$K:$K,"")</f>
        <v/>
      </c>
      <c r="F474" s="4" t="str">
        <f t="array" ref="F474">XLOOKUP(A474,'Dados Funil'!$A:$A,'Dados Funil'!$L:$L,"")</f>
        <v/>
      </c>
      <c r="G474" s="4"/>
      <c r="H474" s="4"/>
      <c r="I474" s="7" t="str">
        <f t="shared" si="2"/>
        <v/>
      </c>
      <c r="J474" s="4" t="str">
        <f t="shared" si="10"/>
        <v/>
      </c>
      <c r="K474" s="4" t="str">
        <f t="array" ref="K474">XLOOKUP(G474,'Dados Funil'!A:A,'Dados Funil'!O:O,"")</f>
        <v/>
      </c>
      <c r="L474" s="4"/>
      <c r="M474" s="4"/>
      <c r="N474" s="7" t="str">
        <f t="shared" si="3"/>
        <v/>
      </c>
      <c r="O474" s="4" t="str">
        <f t="shared" si="11"/>
        <v/>
      </c>
      <c r="P474" s="4" t="str">
        <f t="array" ref="P474">XLOOKUP(L474,'Dados Funil'!A:A,'Dados Funil'!AM:AM,"")</f>
        <v/>
      </c>
      <c r="Q474" s="4" t="str">
        <f t="array" ref="Q474">XLOOKUP(L474,'Dados Funil'!A:A,'Dados Funil'!AN:AN,"")</f>
        <v/>
      </c>
      <c r="T474" s="7" t="str">
        <f t="shared" si="4"/>
        <v/>
      </c>
      <c r="U474" s="4" t="str">
        <f t="shared" si="12"/>
        <v/>
      </c>
      <c r="V474" s="4" t="str">
        <f t="array" ref="V474">XLOOKUP(R474,'Dados Funil'!$A:$A,'Dados Funil'!$K:$K,"")</f>
        <v/>
      </c>
      <c r="W474" s="4" t="str">
        <f t="array" ref="W474">XLOOKUP(R474,'Dados Funil'!$A:$A,'Dados Funil'!$L:$L,"")</f>
        <v/>
      </c>
      <c r="X474" s="4"/>
      <c r="Y474" s="4"/>
      <c r="Z474" s="7" t="str">
        <f t="shared" si="5"/>
        <v/>
      </c>
      <c r="AA474" s="4" t="str">
        <f t="shared" si="13"/>
        <v/>
      </c>
      <c r="AB474" s="4" t="str">
        <f t="array" ref="AB474">XLOOKUP(X474,'Dados Funil'!A:A,'Dados Funil'!O:O,"")</f>
        <v/>
      </c>
      <c r="AE474" s="7" t="str">
        <f t="shared" si="6"/>
        <v/>
      </c>
      <c r="AG474" s="4" t="str">
        <f t="array" ref="AG474">XLOOKUP(AC474,'Dados Funil'!A:A,'Dados Funil'!AM:AM,"")</f>
        <v/>
      </c>
      <c r="AH474" s="4" t="str">
        <f t="array" ref="AH474">XLOOKUP(AC474,'Dados Funil'!A:A,'Dados Funil'!AN:AN,"")</f>
        <v/>
      </c>
    </row>
    <row r="475">
      <c r="A475" s="4"/>
      <c r="B475" s="4"/>
      <c r="C475" s="7" t="str">
        <f t="shared" si="1"/>
        <v/>
      </c>
      <c r="D475" s="4" t="str">
        <f t="shared" si="9"/>
        <v/>
      </c>
      <c r="E475" s="4" t="str">
        <f t="array" ref="E475">XLOOKUP(A475,'Dados Funil'!$A:$A,'Dados Funil'!$K:$K,"")</f>
        <v/>
      </c>
      <c r="F475" s="4" t="str">
        <f t="array" ref="F475">XLOOKUP(A475,'Dados Funil'!$A:$A,'Dados Funil'!$L:$L,"")</f>
        <v/>
      </c>
      <c r="G475" s="4"/>
      <c r="H475" s="4"/>
      <c r="I475" s="7" t="str">
        <f t="shared" si="2"/>
        <v/>
      </c>
      <c r="J475" s="4" t="str">
        <f t="shared" si="10"/>
        <v/>
      </c>
      <c r="K475" s="4" t="str">
        <f t="array" ref="K475">XLOOKUP(G475,'Dados Funil'!A:A,'Dados Funil'!O:O,"")</f>
        <v/>
      </c>
      <c r="L475" s="4"/>
      <c r="M475" s="4"/>
      <c r="N475" s="7" t="str">
        <f t="shared" si="3"/>
        <v/>
      </c>
      <c r="O475" s="4" t="str">
        <f t="shared" si="11"/>
        <v/>
      </c>
      <c r="P475" s="4" t="str">
        <f t="array" ref="P475">XLOOKUP(L475,'Dados Funil'!A:A,'Dados Funil'!AM:AM,"")</f>
        <v/>
      </c>
      <c r="Q475" s="4" t="str">
        <f t="array" ref="Q475">XLOOKUP(L475,'Dados Funil'!A:A,'Dados Funil'!AN:AN,"")</f>
        <v/>
      </c>
      <c r="T475" s="7" t="str">
        <f t="shared" si="4"/>
        <v/>
      </c>
      <c r="U475" s="4" t="str">
        <f t="shared" si="12"/>
        <v/>
      </c>
      <c r="V475" s="4" t="str">
        <f t="array" ref="V475">XLOOKUP(R475,'Dados Funil'!$A:$A,'Dados Funil'!$K:$K,"")</f>
        <v/>
      </c>
      <c r="W475" s="4" t="str">
        <f t="array" ref="W475">XLOOKUP(R475,'Dados Funil'!$A:$A,'Dados Funil'!$L:$L,"")</f>
        <v/>
      </c>
      <c r="X475" s="4"/>
      <c r="Y475" s="4"/>
      <c r="Z475" s="7" t="str">
        <f t="shared" si="5"/>
        <v/>
      </c>
      <c r="AA475" s="4" t="str">
        <f t="shared" si="13"/>
        <v/>
      </c>
      <c r="AB475" s="4" t="str">
        <f t="array" ref="AB475">XLOOKUP(X475,'Dados Funil'!A:A,'Dados Funil'!O:O,"")</f>
        <v/>
      </c>
      <c r="AE475" s="7" t="str">
        <f t="shared" si="6"/>
        <v/>
      </c>
      <c r="AG475" s="4" t="str">
        <f t="array" ref="AG475">XLOOKUP(AC475,'Dados Funil'!A:A,'Dados Funil'!AM:AM,"")</f>
        <v/>
      </c>
      <c r="AH475" s="4" t="str">
        <f t="array" ref="AH475">XLOOKUP(AC475,'Dados Funil'!A:A,'Dados Funil'!AN:AN,"")</f>
        <v/>
      </c>
    </row>
    <row r="476">
      <c r="A476" s="4"/>
      <c r="B476" s="4"/>
      <c r="C476" s="7" t="str">
        <f t="shared" si="1"/>
        <v/>
      </c>
      <c r="D476" s="4" t="str">
        <f t="shared" si="9"/>
        <v/>
      </c>
      <c r="E476" s="4" t="str">
        <f t="array" ref="E476">XLOOKUP(A476,'Dados Funil'!$A:$A,'Dados Funil'!$K:$K,"")</f>
        <v/>
      </c>
      <c r="F476" s="4" t="str">
        <f t="array" ref="F476">XLOOKUP(A476,'Dados Funil'!$A:$A,'Dados Funil'!$L:$L,"")</f>
        <v/>
      </c>
      <c r="G476" s="4"/>
      <c r="H476" s="4"/>
      <c r="I476" s="7" t="str">
        <f t="shared" si="2"/>
        <v/>
      </c>
      <c r="J476" s="4" t="str">
        <f t="shared" si="10"/>
        <v/>
      </c>
      <c r="K476" s="4" t="str">
        <f t="array" ref="K476">XLOOKUP(G476,'Dados Funil'!A:A,'Dados Funil'!O:O,"")</f>
        <v/>
      </c>
      <c r="L476" s="4"/>
      <c r="M476" s="4"/>
      <c r="N476" s="7" t="str">
        <f t="shared" si="3"/>
        <v/>
      </c>
      <c r="O476" s="4" t="str">
        <f t="shared" si="11"/>
        <v/>
      </c>
      <c r="P476" s="4" t="str">
        <f t="array" ref="P476">XLOOKUP(L476,'Dados Funil'!A:A,'Dados Funil'!AM:AM,"")</f>
        <v/>
      </c>
      <c r="Q476" s="4" t="str">
        <f t="array" ref="Q476">XLOOKUP(L476,'Dados Funil'!A:A,'Dados Funil'!AN:AN,"")</f>
        <v/>
      </c>
      <c r="T476" s="7" t="str">
        <f t="shared" si="4"/>
        <v/>
      </c>
      <c r="U476" s="4" t="str">
        <f t="shared" si="12"/>
        <v/>
      </c>
      <c r="V476" s="4" t="str">
        <f t="array" ref="V476">XLOOKUP(R476,'Dados Funil'!$A:$A,'Dados Funil'!$K:$K,"")</f>
        <v/>
      </c>
      <c r="W476" s="4" t="str">
        <f t="array" ref="W476">XLOOKUP(R476,'Dados Funil'!$A:$A,'Dados Funil'!$L:$L,"")</f>
        <v/>
      </c>
      <c r="X476" s="4"/>
      <c r="Y476" s="4"/>
      <c r="Z476" s="7" t="str">
        <f t="shared" si="5"/>
        <v/>
      </c>
      <c r="AA476" s="4" t="str">
        <f t="shared" si="13"/>
        <v/>
      </c>
      <c r="AB476" s="4" t="str">
        <f t="array" ref="AB476">XLOOKUP(X476,'Dados Funil'!A:A,'Dados Funil'!O:O,"")</f>
        <v/>
      </c>
      <c r="AE476" s="7" t="str">
        <f t="shared" si="6"/>
        <v/>
      </c>
      <c r="AG476" s="4" t="str">
        <f t="array" ref="AG476">XLOOKUP(AC476,'Dados Funil'!A:A,'Dados Funil'!AM:AM,"")</f>
        <v/>
      </c>
      <c r="AH476" s="4" t="str">
        <f t="array" ref="AH476">XLOOKUP(AC476,'Dados Funil'!A:A,'Dados Funil'!AN:AN,"")</f>
        <v/>
      </c>
    </row>
    <row r="477">
      <c r="A477" s="4"/>
      <c r="B477" s="4"/>
      <c r="C477" s="7" t="str">
        <f t="shared" si="1"/>
        <v/>
      </c>
      <c r="D477" s="4" t="str">
        <f t="shared" si="9"/>
        <v/>
      </c>
      <c r="E477" s="4" t="str">
        <f t="array" ref="E477">XLOOKUP(A477,'Dados Funil'!$A:$A,'Dados Funil'!$K:$K,"")</f>
        <v/>
      </c>
      <c r="F477" s="4" t="str">
        <f t="array" ref="F477">XLOOKUP(A477,'Dados Funil'!$A:$A,'Dados Funil'!$L:$L,"")</f>
        <v/>
      </c>
      <c r="G477" s="4"/>
      <c r="H477" s="4"/>
      <c r="I477" s="7" t="str">
        <f t="shared" si="2"/>
        <v/>
      </c>
      <c r="J477" s="4" t="str">
        <f t="shared" si="10"/>
        <v/>
      </c>
      <c r="K477" s="4" t="str">
        <f t="array" ref="K477">XLOOKUP(G477,'Dados Funil'!A:A,'Dados Funil'!O:O,"")</f>
        <v/>
      </c>
      <c r="L477" s="4"/>
      <c r="M477" s="4"/>
      <c r="N477" s="7" t="str">
        <f t="shared" si="3"/>
        <v/>
      </c>
      <c r="O477" s="4" t="str">
        <f t="shared" si="11"/>
        <v/>
      </c>
      <c r="P477" s="4" t="str">
        <f t="array" ref="P477">XLOOKUP(L477,'Dados Funil'!A:A,'Dados Funil'!AM:AM,"")</f>
        <v/>
      </c>
      <c r="Q477" s="4" t="str">
        <f t="array" ref="Q477">XLOOKUP(L477,'Dados Funil'!A:A,'Dados Funil'!AN:AN,"")</f>
        <v/>
      </c>
      <c r="T477" s="7" t="str">
        <f t="shared" si="4"/>
        <v/>
      </c>
      <c r="U477" s="4" t="str">
        <f t="shared" si="12"/>
        <v/>
      </c>
      <c r="V477" s="4" t="str">
        <f t="array" ref="V477">XLOOKUP(R477,'Dados Funil'!$A:$A,'Dados Funil'!$K:$K,"")</f>
        <v/>
      </c>
      <c r="W477" s="4" t="str">
        <f t="array" ref="W477">XLOOKUP(R477,'Dados Funil'!$A:$A,'Dados Funil'!$L:$L,"")</f>
        <v/>
      </c>
      <c r="X477" s="4"/>
      <c r="Y477" s="4"/>
      <c r="Z477" s="7" t="str">
        <f t="shared" si="5"/>
        <v/>
      </c>
      <c r="AA477" s="4" t="str">
        <f t="shared" si="13"/>
        <v/>
      </c>
      <c r="AB477" s="4" t="str">
        <f t="array" ref="AB477">XLOOKUP(X477,'Dados Funil'!A:A,'Dados Funil'!O:O,"")</f>
        <v/>
      </c>
      <c r="AE477" s="7" t="str">
        <f t="shared" si="6"/>
        <v/>
      </c>
      <c r="AG477" s="4" t="str">
        <f t="array" ref="AG477">XLOOKUP(AC477,'Dados Funil'!A:A,'Dados Funil'!AM:AM,"")</f>
        <v/>
      </c>
      <c r="AH477" s="4" t="str">
        <f t="array" ref="AH477">XLOOKUP(AC477,'Dados Funil'!A:A,'Dados Funil'!AN:AN,"")</f>
        <v/>
      </c>
    </row>
    <row r="478">
      <c r="A478" s="4"/>
      <c r="B478" s="4"/>
      <c r="C478" s="7" t="str">
        <f t="shared" si="1"/>
        <v/>
      </c>
      <c r="D478" s="4" t="str">
        <f t="shared" si="9"/>
        <v/>
      </c>
      <c r="E478" s="4" t="str">
        <f t="array" ref="E478">XLOOKUP(A478,'Dados Funil'!$A:$A,'Dados Funil'!$K:$K,"")</f>
        <v/>
      </c>
      <c r="F478" s="4" t="str">
        <f t="array" ref="F478">XLOOKUP(A478,'Dados Funil'!$A:$A,'Dados Funil'!$L:$L,"")</f>
        <v/>
      </c>
      <c r="G478" s="4"/>
      <c r="H478" s="4"/>
      <c r="I478" s="7" t="str">
        <f t="shared" si="2"/>
        <v/>
      </c>
      <c r="J478" s="4" t="str">
        <f t="shared" si="10"/>
        <v/>
      </c>
      <c r="K478" s="4" t="str">
        <f t="array" ref="K478">XLOOKUP(G478,'Dados Funil'!A:A,'Dados Funil'!O:O,"")</f>
        <v/>
      </c>
      <c r="L478" s="4"/>
      <c r="M478" s="4"/>
      <c r="N478" s="7" t="str">
        <f t="shared" si="3"/>
        <v/>
      </c>
      <c r="O478" s="4" t="str">
        <f t="shared" si="11"/>
        <v/>
      </c>
      <c r="P478" s="4" t="str">
        <f t="array" ref="P478">XLOOKUP(L478,'Dados Funil'!A:A,'Dados Funil'!AM:AM,"")</f>
        <v/>
      </c>
      <c r="Q478" s="4" t="str">
        <f t="array" ref="Q478">XLOOKUP(L478,'Dados Funil'!A:A,'Dados Funil'!AN:AN,"")</f>
        <v/>
      </c>
      <c r="T478" s="7" t="str">
        <f t="shared" si="4"/>
        <v/>
      </c>
      <c r="U478" s="4" t="str">
        <f t="shared" si="12"/>
        <v/>
      </c>
      <c r="V478" s="4" t="str">
        <f t="array" ref="V478">XLOOKUP(R478,'Dados Funil'!$A:$A,'Dados Funil'!$K:$K,"")</f>
        <v/>
      </c>
      <c r="W478" s="4" t="str">
        <f t="array" ref="W478">XLOOKUP(R478,'Dados Funil'!$A:$A,'Dados Funil'!$L:$L,"")</f>
        <v/>
      </c>
      <c r="X478" s="4"/>
      <c r="Y478" s="4"/>
      <c r="Z478" s="7" t="str">
        <f t="shared" si="5"/>
        <v/>
      </c>
      <c r="AA478" s="4" t="str">
        <f t="shared" si="13"/>
        <v/>
      </c>
      <c r="AB478" s="4" t="str">
        <f t="array" ref="AB478">XLOOKUP(X478,'Dados Funil'!A:A,'Dados Funil'!O:O,"")</f>
        <v/>
      </c>
      <c r="AE478" s="7" t="str">
        <f t="shared" si="6"/>
        <v/>
      </c>
      <c r="AG478" s="4" t="str">
        <f t="array" ref="AG478">XLOOKUP(AC478,'Dados Funil'!A:A,'Dados Funil'!AM:AM,"")</f>
        <v/>
      </c>
      <c r="AH478" s="4" t="str">
        <f t="array" ref="AH478">XLOOKUP(AC478,'Dados Funil'!A:A,'Dados Funil'!AN:AN,"")</f>
        <v/>
      </c>
    </row>
    <row r="479">
      <c r="A479" s="4"/>
      <c r="B479" s="4"/>
      <c r="C479" s="7" t="str">
        <f t="shared" si="1"/>
        <v/>
      </c>
      <c r="D479" s="4" t="str">
        <f t="shared" si="9"/>
        <v/>
      </c>
      <c r="E479" s="4" t="str">
        <f t="array" ref="E479">XLOOKUP(A479,'Dados Funil'!$A:$A,'Dados Funil'!$K:$K,"")</f>
        <v/>
      </c>
      <c r="F479" s="4" t="str">
        <f t="array" ref="F479">XLOOKUP(A479,'Dados Funil'!$A:$A,'Dados Funil'!$L:$L,"")</f>
        <v/>
      </c>
      <c r="G479" s="4"/>
      <c r="H479" s="4"/>
      <c r="I479" s="7" t="str">
        <f t="shared" si="2"/>
        <v/>
      </c>
      <c r="J479" s="4" t="str">
        <f t="shared" si="10"/>
        <v/>
      </c>
      <c r="K479" s="4" t="str">
        <f t="array" ref="K479">XLOOKUP(G479,'Dados Funil'!A:A,'Dados Funil'!O:O,"")</f>
        <v/>
      </c>
      <c r="L479" s="4"/>
      <c r="M479" s="4"/>
      <c r="N479" s="7" t="str">
        <f t="shared" si="3"/>
        <v/>
      </c>
      <c r="O479" s="4" t="str">
        <f t="shared" si="11"/>
        <v/>
      </c>
      <c r="P479" s="4" t="str">
        <f t="array" ref="P479">XLOOKUP(L479,'Dados Funil'!A:A,'Dados Funil'!AM:AM,"")</f>
        <v/>
      </c>
      <c r="Q479" s="4" t="str">
        <f t="array" ref="Q479">XLOOKUP(L479,'Dados Funil'!A:A,'Dados Funil'!AN:AN,"")</f>
        <v/>
      </c>
      <c r="T479" s="7" t="str">
        <f t="shared" si="4"/>
        <v/>
      </c>
      <c r="U479" s="4" t="str">
        <f t="shared" si="12"/>
        <v/>
      </c>
      <c r="V479" s="4" t="str">
        <f t="array" ref="V479">XLOOKUP(R479,'Dados Funil'!$A:$A,'Dados Funil'!$K:$K,"")</f>
        <v/>
      </c>
      <c r="W479" s="4" t="str">
        <f t="array" ref="W479">XLOOKUP(R479,'Dados Funil'!$A:$A,'Dados Funil'!$L:$L,"")</f>
        <v/>
      </c>
      <c r="X479" s="4"/>
      <c r="Y479" s="4"/>
      <c r="Z479" s="7" t="str">
        <f t="shared" si="5"/>
        <v/>
      </c>
      <c r="AA479" s="4" t="str">
        <f t="shared" si="13"/>
        <v/>
      </c>
      <c r="AB479" s="4" t="str">
        <f t="array" ref="AB479">XLOOKUP(X479,'Dados Funil'!A:A,'Dados Funil'!O:O,"")</f>
        <v/>
      </c>
      <c r="AE479" s="7" t="str">
        <f t="shared" si="6"/>
        <v/>
      </c>
      <c r="AG479" s="4" t="str">
        <f t="array" ref="AG479">XLOOKUP(AC479,'Dados Funil'!A:A,'Dados Funil'!AM:AM,"")</f>
        <v/>
      </c>
      <c r="AH479" s="4" t="str">
        <f t="array" ref="AH479">XLOOKUP(AC479,'Dados Funil'!A:A,'Dados Funil'!AN:AN,"")</f>
        <v/>
      </c>
    </row>
    <row r="480">
      <c r="A480" s="4"/>
      <c r="B480" s="4"/>
      <c r="C480" s="7" t="str">
        <f t="shared" si="1"/>
        <v/>
      </c>
      <c r="D480" s="4" t="str">
        <f t="shared" si="9"/>
        <v/>
      </c>
      <c r="E480" s="4" t="str">
        <f t="array" ref="E480">XLOOKUP(A480,'Dados Funil'!$A:$A,'Dados Funil'!$K:$K,"")</f>
        <v/>
      </c>
      <c r="F480" s="4" t="str">
        <f t="array" ref="F480">XLOOKUP(A480,'Dados Funil'!$A:$A,'Dados Funil'!$L:$L,"")</f>
        <v/>
      </c>
      <c r="G480" s="4"/>
      <c r="H480" s="4"/>
      <c r="I480" s="7" t="str">
        <f t="shared" si="2"/>
        <v/>
      </c>
      <c r="J480" s="4" t="str">
        <f t="shared" si="10"/>
        <v/>
      </c>
      <c r="K480" s="4" t="str">
        <f t="array" ref="K480">XLOOKUP(G480,'Dados Funil'!A:A,'Dados Funil'!O:O,"")</f>
        <v/>
      </c>
      <c r="L480" s="4"/>
      <c r="M480" s="4"/>
      <c r="N480" s="7" t="str">
        <f t="shared" si="3"/>
        <v/>
      </c>
      <c r="O480" s="4" t="str">
        <f t="shared" si="11"/>
        <v/>
      </c>
      <c r="P480" s="4" t="str">
        <f t="array" ref="P480">XLOOKUP(L480,'Dados Funil'!A:A,'Dados Funil'!AM:AM,"")</f>
        <v/>
      </c>
      <c r="Q480" s="4" t="str">
        <f t="array" ref="Q480">XLOOKUP(L480,'Dados Funil'!A:A,'Dados Funil'!AN:AN,"")</f>
        <v/>
      </c>
      <c r="T480" s="7" t="str">
        <f t="shared" si="4"/>
        <v/>
      </c>
      <c r="U480" s="4" t="str">
        <f t="shared" si="12"/>
        <v/>
      </c>
      <c r="V480" s="4" t="str">
        <f t="array" ref="V480">XLOOKUP(R480,'Dados Funil'!$A:$A,'Dados Funil'!$K:$K,"")</f>
        <v/>
      </c>
      <c r="W480" s="4" t="str">
        <f t="array" ref="W480">XLOOKUP(R480,'Dados Funil'!$A:$A,'Dados Funil'!$L:$L,"")</f>
        <v/>
      </c>
      <c r="X480" s="4"/>
      <c r="Y480" s="4"/>
      <c r="Z480" s="7" t="str">
        <f t="shared" si="5"/>
        <v/>
      </c>
      <c r="AA480" s="4" t="str">
        <f t="shared" si="13"/>
        <v/>
      </c>
      <c r="AB480" s="4" t="str">
        <f t="array" ref="AB480">XLOOKUP(X480,'Dados Funil'!A:A,'Dados Funil'!O:O,"")</f>
        <v/>
      </c>
      <c r="AE480" s="7" t="str">
        <f t="shared" si="6"/>
        <v/>
      </c>
      <c r="AG480" s="4" t="str">
        <f t="array" ref="AG480">XLOOKUP(AC480,'Dados Funil'!A:A,'Dados Funil'!AM:AM,"")</f>
        <v/>
      </c>
      <c r="AH480" s="4" t="str">
        <f t="array" ref="AH480">XLOOKUP(AC480,'Dados Funil'!A:A,'Dados Funil'!AN:AN,"")</f>
        <v/>
      </c>
    </row>
    <row r="481">
      <c r="A481" s="4"/>
      <c r="B481" s="4"/>
      <c r="C481" s="7" t="str">
        <f t="shared" si="1"/>
        <v/>
      </c>
      <c r="D481" s="4" t="str">
        <f t="shared" si="9"/>
        <v/>
      </c>
      <c r="E481" s="4" t="str">
        <f t="array" ref="E481">XLOOKUP(A481,'Dados Funil'!$A:$A,'Dados Funil'!$K:$K,"")</f>
        <v/>
      </c>
      <c r="F481" s="4" t="str">
        <f t="array" ref="F481">XLOOKUP(A481,'Dados Funil'!$A:$A,'Dados Funil'!$L:$L,"")</f>
        <v/>
      </c>
      <c r="G481" s="4"/>
      <c r="H481" s="4"/>
      <c r="I481" s="7" t="str">
        <f t="shared" si="2"/>
        <v/>
      </c>
      <c r="J481" s="4" t="str">
        <f t="shared" si="10"/>
        <v/>
      </c>
      <c r="K481" s="4" t="str">
        <f t="array" ref="K481">XLOOKUP(G481,'Dados Funil'!A:A,'Dados Funil'!O:O,"")</f>
        <v/>
      </c>
      <c r="L481" s="4"/>
      <c r="M481" s="4"/>
      <c r="N481" s="7" t="str">
        <f t="shared" si="3"/>
        <v/>
      </c>
      <c r="O481" s="4" t="str">
        <f t="shared" si="11"/>
        <v/>
      </c>
      <c r="P481" s="4" t="str">
        <f t="array" ref="P481">XLOOKUP(L481,'Dados Funil'!A:A,'Dados Funil'!AM:AM,"")</f>
        <v/>
      </c>
      <c r="Q481" s="4" t="str">
        <f t="array" ref="Q481">XLOOKUP(L481,'Dados Funil'!A:A,'Dados Funil'!AN:AN,"")</f>
        <v/>
      </c>
      <c r="T481" s="7" t="str">
        <f t="shared" si="4"/>
        <v/>
      </c>
      <c r="U481" s="4" t="str">
        <f t="shared" si="12"/>
        <v/>
      </c>
      <c r="V481" s="4" t="str">
        <f t="array" ref="V481">XLOOKUP(R481,'Dados Funil'!$A:$A,'Dados Funil'!$K:$K,"")</f>
        <v/>
      </c>
      <c r="W481" s="4" t="str">
        <f t="array" ref="W481">XLOOKUP(R481,'Dados Funil'!$A:$A,'Dados Funil'!$L:$L,"")</f>
        <v/>
      </c>
      <c r="X481" s="4"/>
      <c r="Y481" s="4"/>
      <c r="Z481" s="7" t="str">
        <f t="shared" si="5"/>
        <v/>
      </c>
      <c r="AA481" s="4" t="str">
        <f t="shared" si="13"/>
        <v/>
      </c>
      <c r="AB481" s="4" t="str">
        <f t="array" ref="AB481">XLOOKUP(X481,'Dados Funil'!A:A,'Dados Funil'!O:O,"")</f>
        <v/>
      </c>
      <c r="AE481" s="7" t="str">
        <f t="shared" si="6"/>
        <v/>
      </c>
      <c r="AG481" s="4" t="str">
        <f t="array" ref="AG481">XLOOKUP(AC481,'Dados Funil'!A:A,'Dados Funil'!AM:AM,"")</f>
        <v/>
      </c>
      <c r="AH481" s="4" t="str">
        <f t="array" ref="AH481">XLOOKUP(AC481,'Dados Funil'!A:A,'Dados Funil'!AN:AN,"")</f>
        <v/>
      </c>
    </row>
    <row r="482">
      <c r="A482" s="4"/>
      <c r="B482" s="4"/>
      <c r="C482" s="7" t="str">
        <f t="shared" si="1"/>
        <v/>
      </c>
      <c r="D482" s="4" t="str">
        <f t="shared" si="9"/>
        <v/>
      </c>
      <c r="E482" s="4" t="str">
        <f t="array" ref="E482">XLOOKUP(A482,'Dados Funil'!$A:$A,'Dados Funil'!$K:$K,"")</f>
        <v/>
      </c>
      <c r="F482" s="4" t="str">
        <f t="array" ref="F482">XLOOKUP(A482,'Dados Funil'!$A:$A,'Dados Funil'!$L:$L,"")</f>
        <v/>
      </c>
      <c r="G482" s="4"/>
      <c r="H482" s="4"/>
      <c r="I482" s="7" t="str">
        <f t="shared" si="2"/>
        <v/>
      </c>
      <c r="J482" s="4" t="str">
        <f t="shared" si="10"/>
        <v/>
      </c>
      <c r="K482" s="4" t="str">
        <f t="array" ref="K482">XLOOKUP(G482,'Dados Funil'!A:A,'Dados Funil'!O:O,"")</f>
        <v/>
      </c>
      <c r="L482" s="4"/>
      <c r="M482" s="4"/>
      <c r="N482" s="7" t="str">
        <f t="shared" si="3"/>
        <v/>
      </c>
      <c r="O482" s="4" t="str">
        <f t="shared" si="11"/>
        <v/>
      </c>
      <c r="P482" s="4" t="str">
        <f t="array" ref="P482">XLOOKUP(L482,'Dados Funil'!A:A,'Dados Funil'!AM:AM,"")</f>
        <v/>
      </c>
      <c r="Q482" s="4" t="str">
        <f t="array" ref="Q482">XLOOKUP(L482,'Dados Funil'!A:A,'Dados Funil'!AN:AN,"")</f>
        <v/>
      </c>
      <c r="T482" s="7" t="str">
        <f t="shared" si="4"/>
        <v/>
      </c>
      <c r="U482" s="4" t="str">
        <f t="shared" si="12"/>
        <v/>
      </c>
      <c r="V482" s="4" t="str">
        <f t="array" ref="V482">XLOOKUP(R482,'Dados Funil'!$A:$A,'Dados Funil'!$K:$K,"")</f>
        <v/>
      </c>
      <c r="W482" s="4" t="str">
        <f t="array" ref="W482">XLOOKUP(R482,'Dados Funil'!$A:$A,'Dados Funil'!$L:$L,"")</f>
        <v/>
      </c>
      <c r="X482" s="4"/>
      <c r="Y482" s="4"/>
      <c r="Z482" s="7" t="str">
        <f t="shared" si="5"/>
        <v/>
      </c>
      <c r="AA482" s="4" t="str">
        <f t="shared" si="13"/>
        <v/>
      </c>
      <c r="AB482" s="4" t="str">
        <f t="array" ref="AB482">XLOOKUP(X482,'Dados Funil'!A:A,'Dados Funil'!O:O,"")</f>
        <v/>
      </c>
      <c r="AE482" s="7" t="str">
        <f t="shared" si="6"/>
        <v/>
      </c>
      <c r="AG482" s="4" t="str">
        <f t="array" ref="AG482">XLOOKUP(AC482,'Dados Funil'!A:A,'Dados Funil'!AM:AM,"")</f>
        <v/>
      </c>
      <c r="AH482" s="4" t="str">
        <f t="array" ref="AH482">XLOOKUP(AC482,'Dados Funil'!A:A,'Dados Funil'!AN:AN,"")</f>
        <v/>
      </c>
    </row>
    <row r="483">
      <c r="A483" s="4"/>
      <c r="B483" s="4"/>
      <c r="C483" s="7" t="str">
        <f t="shared" si="1"/>
        <v/>
      </c>
      <c r="D483" s="4" t="str">
        <f t="shared" si="9"/>
        <v/>
      </c>
      <c r="E483" s="4" t="str">
        <f t="array" ref="E483">XLOOKUP(A483,'Dados Funil'!$A:$A,'Dados Funil'!$K:$K,"")</f>
        <v/>
      </c>
      <c r="F483" s="4" t="str">
        <f t="array" ref="F483">XLOOKUP(A483,'Dados Funil'!$A:$A,'Dados Funil'!$L:$L,"")</f>
        <v/>
      </c>
      <c r="G483" s="4"/>
      <c r="H483" s="4"/>
      <c r="I483" s="7" t="str">
        <f t="shared" si="2"/>
        <v/>
      </c>
      <c r="J483" s="4" t="str">
        <f t="shared" si="10"/>
        <v/>
      </c>
      <c r="K483" s="4" t="str">
        <f t="array" ref="K483">XLOOKUP(G483,'Dados Funil'!A:A,'Dados Funil'!O:O,"")</f>
        <v/>
      </c>
      <c r="L483" s="4"/>
      <c r="M483" s="4"/>
      <c r="N483" s="7" t="str">
        <f t="shared" si="3"/>
        <v/>
      </c>
      <c r="O483" s="4" t="str">
        <f t="shared" si="11"/>
        <v/>
      </c>
      <c r="P483" s="4" t="str">
        <f t="array" ref="P483">XLOOKUP(L483,'Dados Funil'!A:A,'Dados Funil'!AM:AM,"")</f>
        <v/>
      </c>
      <c r="Q483" s="4" t="str">
        <f t="array" ref="Q483">XLOOKUP(L483,'Dados Funil'!A:A,'Dados Funil'!AN:AN,"")</f>
        <v/>
      </c>
      <c r="T483" s="7" t="str">
        <f t="shared" si="4"/>
        <v/>
      </c>
      <c r="U483" s="4" t="str">
        <f t="shared" si="12"/>
        <v/>
      </c>
      <c r="V483" s="4" t="str">
        <f t="array" ref="V483">XLOOKUP(R483,'Dados Funil'!$A:$A,'Dados Funil'!$K:$K,"")</f>
        <v/>
      </c>
      <c r="W483" s="4" t="str">
        <f t="array" ref="W483">XLOOKUP(R483,'Dados Funil'!$A:$A,'Dados Funil'!$L:$L,"")</f>
        <v/>
      </c>
      <c r="X483" s="4"/>
      <c r="Y483" s="4"/>
      <c r="Z483" s="7" t="str">
        <f t="shared" si="5"/>
        <v/>
      </c>
      <c r="AA483" s="4" t="str">
        <f t="shared" si="13"/>
        <v/>
      </c>
      <c r="AB483" s="4" t="str">
        <f t="array" ref="AB483">XLOOKUP(X483,'Dados Funil'!A:A,'Dados Funil'!O:O,"")</f>
        <v/>
      </c>
      <c r="AE483" s="7" t="str">
        <f t="shared" si="6"/>
        <v/>
      </c>
      <c r="AG483" s="4" t="str">
        <f t="array" ref="AG483">XLOOKUP(AC483,'Dados Funil'!A:A,'Dados Funil'!AM:AM,"")</f>
        <v/>
      </c>
      <c r="AH483" s="4" t="str">
        <f t="array" ref="AH483">XLOOKUP(AC483,'Dados Funil'!A:A,'Dados Funil'!AN:AN,"")</f>
        <v/>
      </c>
    </row>
    <row r="484">
      <c r="A484" s="4"/>
      <c r="B484" s="4"/>
      <c r="C484" s="7" t="str">
        <f t="shared" si="1"/>
        <v/>
      </c>
      <c r="D484" s="4" t="str">
        <f t="shared" si="9"/>
        <v/>
      </c>
      <c r="E484" s="4" t="str">
        <f t="array" ref="E484">XLOOKUP(A484,'Dados Funil'!$A:$A,'Dados Funil'!$K:$K,"")</f>
        <v/>
      </c>
      <c r="F484" s="4" t="str">
        <f t="array" ref="F484">XLOOKUP(A484,'Dados Funil'!$A:$A,'Dados Funil'!$L:$L,"")</f>
        <v/>
      </c>
      <c r="G484" s="4"/>
      <c r="H484" s="4"/>
      <c r="I484" s="7" t="str">
        <f t="shared" si="2"/>
        <v/>
      </c>
      <c r="J484" s="4" t="str">
        <f t="shared" si="10"/>
        <v/>
      </c>
      <c r="K484" s="4" t="str">
        <f t="array" ref="K484">XLOOKUP(G484,'Dados Funil'!A:A,'Dados Funil'!O:O,"")</f>
        <v/>
      </c>
      <c r="L484" s="4"/>
      <c r="M484" s="4"/>
      <c r="N484" s="7" t="str">
        <f t="shared" si="3"/>
        <v/>
      </c>
      <c r="O484" s="4" t="str">
        <f t="shared" si="11"/>
        <v/>
      </c>
      <c r="P484" s="4" t="str">
        <f t="array" ref="P484">XLOOKUP(L484,'Dados Funil'!A:A,'Dados Funil'!AM:AM,"")</f>
        <v/>
      </c>
      <c r="Q484" s="4" t="str">
        <f t="array" ref="Q484">XLOOKUP(L484,'Dados Funil'!A:A,'Dados Funil'!AN:AN,"")</f>
        <v/>
      </c>
      <c r="T484" s="7" t="str">
        <f t="shared" si="4"/>
        <v/>
      </c>
      <c r="U484" s="4" t="str">
        <f t="shared" si="12"/>
        <v/>
      </c>
      <c r="V484" s="4" t="str">
        <f t="array" ref="V484">XLOOKUP(R484,'Dados Funil'!$A:$A,'Dados Funil'!$K:$K,"")</f>
        <v/>
      </c>
      <c r="W484" s="4" t="str">
        <f t="array" ref="W484">XLOOKUP(R484,'Dados Funil'!$A:$A,'Dados Funil'!$L:$L,"")</f>
        <v/>
      </c>
      <c r="X484" s="4"/>
      <c r="Y484" s="4"/>
      <c r="Z484" s="7" t="str">
        <f t="shared" si="5"/>
        <v/>
      </c>
      <c r="AA484" s="4" t="str">
        <f t="shared" si="13"/>
        <v/>
      </c>
      <c r="AB484" s="4" t="str">
        <f t="array" ref="AB484">XLOOKUP(X484,'Dados Funil'!A:A,'Dados Funil'!O:O,"")</f>
        <v/>
      </c>
      <c r="AE484" s="7" t="str">
        <f t="shared" si="6"/>
        <v/>
      </c>
      <c r="AG484" s="4" t="str">
        <f t="array" ref="AG484">XLOOKUP(AC484,'Dados Funil'!A:A,'Dados Funil'!AM:AM,"")</f>
        <v/>
      </c>
      <c r="AH484" s="4" t="str">
        <f t="array" ref="AH484">XLOOKUP(AC484,'Dados Funil'!A:A,'Dados Funil'!AN:AN,"")</f>
        <v/>
      </c>
    </row>
    <row r="485">
      <c r="A485" s="4"/>
      <c r="B485" s="4"/>
      <c r="C485" s="7" t="str">
        <f t="shared" si="1"/>
        <v/>
      </c>
      <c r="D485" s="4" t="str">
        <f t="shared" si="9"/>
        <v/>
      </c>
      <c r="E485" s="4" t="str">
        <f t="array" ref="E485">XLOOKUP(A485,'Dados Funil'!$A:$A,'Dados Funil'!$K:$K,"")</f>
        <v/>
      </c>
      <c r="F485" s="4" t="str">
        <f t="array" ref="F485">XLOOKUP(A485,'Dados Funil'!$A:$A,'Dados Funil'!$L:$L,"")</f>
        <v/>
      </c>
      <c r="G485" s="4"/>
      <c r="H485" s="4"/>
      <c r="I485" s="7" t="str">
        <f t="shared" si="2"/>
        <v/>
      </c>
      <c r="J485" s="4" t="str">
        <f t="shared" si="10"/>
        <v/>
      </c>
      <c r="K485" s="4" t="str">
        <f t="array" ref="K485">XLOOKUP(G485,'Dados Funil'!A:A,'Dados Funil'!O:O,"")</f>
        <v/>
      </c>
      <c r="L485" s="4"/>
      <c r="M485" s="4"/>
      <c r="N485" s="7" t="str">
        <f t="shared" si="3"/>
        <v/>
      </c>
      <c r="O485" s="4" t="str">
        <f t="shared" si="11"/>
        <v/>
      </c>
      <c r="P485" s="4" t="str">
        <f t="array" ref="P485">XLOOKUP(L485,'Dados Funil'!A:A,'Dados Funil'!AM:AM,"")</f>
        <v/>
      </c>
      <c r="Q485" s="4" t="str">
        <f t="array" ref="Q485">XLOOKUP(L485,'Dados Funil'!A:A,'Dados Funil'!AN:AN,"")</f>
        <v/>
      </c>
      <c r="T485" s="7" t="str">
        <f t="shared" si="4"/>
        <v/>
      </c>
      <c r="U485" s="4" t="str">
        <f t="shared" si="12"/>
        <v/>
      </c>
      <c r="V485" s="4" t="str">
        <f t="array" ref="V485">XLOOKUP(R485,'Dados Funil'!$A:$A,'Dados Funil'!$K:$K,"")</f>
        <v/>
      </c>
      <c r="W485" s="4" t="str">
        <f t="array" ref="W485">XLOOKUP(R485,'Dados Funil'!$A:$A,'Dados Funil'!$L:$L,"")</f>
        <v/>
      </c>
      <c r="X485" s="4"/>
      <c r="Y485" s="4"/>
      <c r="Z485" s="7" t="str">
        <f t="shared" si="5"/>
        <v/>
      </c>
      <c r="AA485" s="4" t="str">
        <f t="shared" si="13"/>
        <v/>
      </c>
      <c r="AB485" s="4" t="str">
        <f t="array" ref="AB485">XLOOKUP(X485,'Dados Funil'!A:A,'Dados Funil'!O:O,"")</f>
        <v/>
      </c>
      <c r="AE485" s="7" t="str">
        <f t="shared" si="6"/>
        <v/>
      </c>
      <c r="AG485" s="4" t="str">
        <f t="array" ref="AG485">XLOOKUP(AC485,'Dados Funil'!A:A,'Dados Funil'!AM:AM,"")</f>
        <v/>
      </c>
      <c r="AH485" s="4" t="str">
        <f t="array" ref="AH485">XLOOKUP(AC485,'Dados Funil'!A:A,'Dados Funil'!AN:AN,"")</f>
        <v/>
      </c>
    </row>
    <row r="486">
      <c r="A486" s="4"/>
      <c r="B486" s="4"/>
      <c r="C486" s="7" t="str">
        <f t="shared" si="1"/>
        <v/>
      </c>
      <c r="D486" s="4" t="str">
        <f t="shared" si="9"/>
        <v/>
      </c>
      <c r="E486" s="4" t="str">
        <f t="array" ref="E486">XLOOKUP(A486,'Dados Funil'!$A:$A,'Dados Funil'!$K:$K,"")</f>
        <v/>
      </c>
      <c r="F486" s="4" t="str">
        <f t="array" ref="F486">XLOOKUP(A486,'Dados Funil'!$A:$A,'Dados Funil'!$L:$L,"")</f>
        <v/>
      </c>
      <c r="G486" s="4"/>
      <c r="H486" s="4"/>
      <c r="I486" s="7" t="str">
        <f t="shared" si="2"/>
        <v/>
      </c>
      <c r="J486" s="4" t="str">
        <f t="shared" si="10"/>
        <v/>
      </c>
      <c r="K486" s="4" t="str">
        <f t="array" ref="K486">XLOOKUP(G486,'Dados Funil'!A:A,'Dados Funil'!O:O,"")</f>
        <v/>
      </c>
      <c r="L486" s="4"/>
      <c r="M486" s="4"/>
      <c r="N486" s="7" t="str">
        <f t="shared" si="3"/>
        <v/>
      </c>
      <c r="O486" s="4" t="str">
        <f t="shared" si="11"/>
        <v/>
      </c>
      <c r="P486" s="4" t="str">
        <f t="array" ref="P486">XLOOKUP(L486,'Dados Funil'!A:A,'Dados Funil'!AM:AM,"")</f>
        <v/>
      </c>
      <c r="Q486" s="4" t="str">
        <f t="array" ref="Q486">XLOOKUP(L486,'Dados Funil'!A:A,'Dados Funil'!AN:AN,"")</f>
        <v/>
      </c>
      <c r="T486" s="7" t="str">
        <f t="shared" si="4"/>
        <v/>
      </c>
      <c r="U486" s="4" t="str">
        <f t="shared" si="12"/>
        <v/>
      </c>
      <c r="V486" s="4" t="str">
        <f t="array" ref="V486">XLOOKUP(R486,'Dados Funil'!$A:$A,'Dados Funil'!$K:$K,"")</f>
        <v/>
      </c>
      <c r="W486" s="4" t="str">
        <f t="array" ref="W486">XLOOKUP(R486,'Dados Funil'!$A:$A,'Dados Funil'!$L:$L,"")</f>
        <v/>
      </c>
      <c r="X486" s="4"/>
      <c r="Y486" s="4"/>
      <c r="Z486" s="7" t="str">
        <f t="shared" si="5"/>
        <v/>
      </c>
      <c r="AA486" s="4" t="str">
        <f t="shared" si="13"/>
        <v/>
      </c>
      <c r="AB486" s="4" t="str">
        <f t="array" ref="AB486">XLOOKUP(X486,'Dados Funil'!A:A,'Dados Funil'!O:O,"")</f>
        <v/>
      </c>
      <c r="AE486" s="7" t="str">
        <f t="shared" si="6"/>
        <v/>
      </c>
      <c r="AG486" s="4" t="str">
        <f t="array" ref="AG486">XLOOKUP(AC486,'Dados Funil'!A:A,'Dados Funil'!AM:AM,"")</f>
        <v/>
      </c>
      <c r="AH486" s="4" t="str">
        <f t="array" ref="AH486">XLOOKUP(AC486,'Dados Funil'!A:A,'Dados Funil'!AN:AN,"")</f>
        <v/>
      </c>
    </row>
    <row r="487">
      <c r="A487" s="4"/>
      <c r="B487" s="4"/>
      <c r="C487" s="7" t="str">
        <f t="shared" si="1"/>
        <v/>
      </c>
      <c r="D487" s="4" t="str">
        <f t="shared" si="9"/>
        <v/>
      </c>
      <c r="E487" s="4" t="str">
        <f t="array" ref="E487">XLOOKUP(A487,'Dados Funil'!$A:$A,'Dados Funil'!$K:$K,"")</f>
        <v/>
      </c>
      <c r="F487" s="4" t="str">
        <f t="array" ref="F487">XLOOKUP(A487,'Dados Funil'!$A:$A,'Dados Funil'!$L:$L,"")</f>
        <v/>
      </c>
      <c r="G487" s="4"/>
      <c r="H487" s="4"/>
      <c r="I487" s="7" t="str">
        <f t="shared" si="2"/>
        <v/>
      </c>
      <c r="J487" s="4" t="str">
        <f t="shared" si="10"/>
        <v/>
      </c>
      <c r="K487" s="4" t="str">
        <f t="array" ref="K487">XLOOKUP(G487,'Dados Funil'!A:A,'Dados Funil'!O:O,"")</f>
        <v/>
      </c>
      <c r="L487" s="4"/>
      <c r="M487" s="4"/>
      <c r="N487" s="7" t="str">
        <f t="shared" si="3"/>
        <v/>
      </c>
      <c r="O487" s="4" t="str">
        <f t="shared" si="11"/>
        <v/>
      </c>
      <c r="P487" s="4" t="str">
        <f t="array" ref="P487">XLOOKUP(L487,'Dados Funil'!A:A,'Dados Funil'!AM:AM,"")</f>
        <v/>
      </c>
      <c r="Q487" s="4" t="str">
        <f t="array" ref="Q487">XLOOKUP(L487,'Dados Funil'!A:A,'Dados Funil'!AN:AN,"")</f>
        <v/>
      </c>
      <c r="T487" s="7" t="str">
        <f t="shared" si="4"/>
        <v/>
      </c>
      <c r="U487" s="4" t="str">
        <f t="shared" si="12"/>
        <v/>
      </c>
      <c r="V487" s="4" t="str">
        <f t="array" ref="V487">XLOOKUP(R487,'Dados Funil'!$A:$A,'Dados Funil'!$K:$K,"")</f>
        <v/>
      </c>
      <c r="W487" s="4" t="str">
        <f t="array" ref="W487">XLOOKUP(R487,'Dados Funil'!$A:$A,'Dados Funil'!$L:$L,"")</f>
        <v/>
      </c>
      <c r="X487" s="4"/>
      <c r="Y487" s="4"/>
      <c r="Z487" s="7" t="str">
        <f t="shared" si="5"/>
        <v/>
      </c>
      <c r="AA487" s="4" t="str">
        <f t="shared" si="13"/>
        <v/>
      </c>
      <c r="AB487" s="4" t="str">
        <f t="array" ref="AB487">XLOOKUP(X487,'Dados Funil'!A:A,'Dados Funil'!O:O,"")</f>
        <v/>
      </c>
      <c r="AE487" s="7" t="str">
        <f t="shared" si="6"/>
        <v/>
      </c>
      <c r="AG487" s="4" t="str">
        <f t="array" ref="AG487">XLOOKUP(AC487,'Dados Funil'!A:A,'Dados Funil'!AM:AM,"")</f>
        <v/>
      </c>
      <c r="AH487" s="4" t="str">
        <f t="array" ref="AH487">XLOOKUP(AC487,'Dados Funil'!A:A,'Dados Funil'!AN:AN,"")</f>
        <v/>
      </c>
    </row>
    <row r="488">
      <c r="A488" s="4"/>
      <c r="B488" s="4"/>
      <c r="C488" s="7" t="str">
        <f t="shared" si="1"/>
        <v/>
      </c>
      <c r="D488" s="4" t="str">
        <f t="shared" si="9"/>
        <v/>
      </c>
      <c r="E488" s="4" t="str">
        <f t="array" ref="E488">XLOOKUP(A488,'Dados Funil'!$A:$A,'Dados Funil'!$K:$K,"")</f>
        <v/>
      </c>
      <c r="F488" s="4" t="str">
        <f t="array" ref="F488">XLOOKUP(A488,'Dados Funil'!$A:$A,'Dados Funil'!$L:$L,"")</f>
        <v/>
      </c>
      <c r="G488" s="4"/>
      <c r="H488" s="4"/>
      <c r="I488" s="7" t="str">
        <f t="shared" si="2"/>
        <v/>
      </c>
      <c r="J488" s="4" t="str">
        <f t="shared" si="10"/>
        <v/>
      </c>
      <c r="K488" s="4" t="str">
        <f t="array" ref="K488">XLOOKUP(G488,'Dados Funil'!A:A,'Dados Funil'!O:O,"")</f>
        <v/>
      </c>
      <c r="L488" s="4"/>
      <c r="M488" s="4"/>
      <c r="N488" s="7" t="str">
        <f t="shared" si="3"/>
        <v/>
      </c>
      <c r="O488" s="4" t="str">
        <f t="shared" si="11"/>
        <v/>
      </c>
      <c r="P488" s="4" t="str">
        <f t="array" ref="P488">XLOOKUP(L488,'Dados Funil'!A:A,'Dados Funil'!AM:AM,"")</f>
        <v/>
      </c>
      <c r="Q488" s="4" t="str">
        <f t="array" ref="Q488">XLOOKUP(L488,'Dados Funil'!A:A,'Dados Funil'!AN:AN,"")</f>
        <v/>
      </c>
      <c r="T488" s="7" t="str">
        <f t="shared" si="4"/>
        <v/>
      </c>
      <c r="U488" s="4" t="str">
        <f t="shared" si="12"/>
        <v/>
      </c>
      <c r="V488" s="4" t="str">
        <f t="array" ref="V488">XLOOKUP(R488,'Dados Funil'!$A:$A,'Dados Funil'!$K:$K,"")</f>
        <v/>
      </c>
      <c r="W488" s="4" t="str">
        <f t="array" ref="W488">XLOOKUP(R488,'Dados Funil'!$A:$A,'Dados Funil'!$L:$L,"")</f>
        <v/>
      </c>
      <c r="X488" s="4"/>
      <c r="Y488" s="4"/>
      <c r="Z488" s="7" t="str">
        <f t="shared" si="5"/>
        <v/>
      </c>
      <c r="AA488" s="4" t="str">
        <f t="shared" si="13"/>
        <v/>
      </c>
      <c r="AB488" s="4" t="str">
        <f t="array" ref="AB488">XLOOKUP(X488,'Dados Funil'!A:A,'Dados Funil'!O:O,"")</f>
        <v/>
      </c>
      <c r="AE488" s="7" t="str">
        <f t="shared" si="6"/>
        <v/>
      </c>
      <c r="AG488" s="4" t="str">
        <f t="array" ref="AG488">XLOOKUP(AC488,'Dados Funil'!A:A,'Dados Funil'!AM:AM,"")</f>
        <v/>
      </c>
      <c r="AH488" s="4" t="str">
        <f t="array" ref="AH488">XLOOKUP(AC488,'Dados Funil'!A:A,'Dados Funil'!AN:AN,"")</f>
        <v/>
      </c>
    </row>
    <row r="489">
      <c r="A489" s="4"/>
      <c r="B489" s="4"/>
      <c r="C489" s="7" t="str">
        <f t="shared" si="1"/>
        <v/>
      </c>
      <c r="D489" s="4" t="str">
        <f t="shared" si="9"/>
        <v/>
      </c>
      <c r="E489" s="4" t="str">
        <f t="array" ref="E489">XLOOKUP(A489,'Dados Funil'!$A:$A,'Dados Funil'!$K:$K,"")</f>
        <v/>
      </c>
      <c r="F489" s="4" t="str">
        <f t="array" ref="F489">XLOOKUP(A489,'Dados Funil'!$A:$A,'Dados Funil'!$L:$L,"")</f>
        <v/>
      </c>
      <c r="G489" s="4"/>
      <c r="H489" s="4"/>
      <c r="I489" s="7" t="str">
        <f t="shared" si="2"/>
        <v/>
      </c>
      <c r="J489" s="4" t="str">
        <f t="shared" si="10"/>
        <v/>
      </c>
      <c r="K489" s="4" t="str">
        <f t="array" ref="K489">XLOOKUP(G489,'Dados Funil'!A:A,'Dados Funil'!O:O,"")</f>
        <v/>
      </c>
      <c r="L489" s="4"/>
      <c r="M489" s="4"/>
      <c r="N489" s="7" t="str">
        <f t="shared" si="3"/>
        <v/>
      </c>
      <c r="O489" s="4" t="str">
        <f t="shared" si="11"/>
        <v/>
      </c>
      <c r="P489" s="4" t="str">
        <f t="array" ref="P489">XLOOKUP(L489,'Dados Funil'!A:A,'Dados Funil'!AM:AM,"")</f>
        <v/>
      </c>
      <c r="Q489" s="4" t="str">
        <f t="array" ref="Q489">XLOOKUP(L489,'Dados Funil'!A:A,'Dados Funil'!AN:AN,"")</f>
        <v/>
      </c>
      <c r="T489" s="7" t="str">
        <f t="shared" si="4"/>
        <v/>
      </c>
      <c r="U489" s="4" t="str">
        <f t="shared" si="12"/>
        <v/>
      </c>
      <c r="V489" s="4" t="str">
        <f t="array" ref="V489">XLOOKUP(R489,'Dados Funil'!$A:$A,'Dados Funil'!$K:$K,"")</f>
        <v/>
      </c>
      <c r="W489" s="4" t="str">
        <f t="array" ref="W489">XLOOKUP(R489,'Dados Funil'!$A:$A,'Dados Funil'!$L:$L,"")</f>
        <v/>
      </c>
      <c r="X489" s="4"/>
      <c r="Y489" s="4"/>
      <c r="Z489" s="7" t="str">
        <f t="shared" si="5"/>
        <v/>
      </c>
      <c r="AA489" s="4" t="str">
        <f t="shared" si="13"/>
        <v/>
      </c>
      <c r="AB489" s="4" t="str">
        <f t="array" ref="AB489">XLOOKUP(X489,'Dados Funil'!A:A,'Dados Funil'!O:O,"")</f>
        <v/>
      </c>
      <c r="AE489" s="7" t="str">
        <f t="shared" si="6"/>
        <v/>
      </c>
      <c r="AG489" s="4" t="str">
        <f t="array" ref="AG489">XLOOKUP(AC489,'Dados Funil'!A:A,'Dados Funil'!AM:AM,"")</f>
        <v/>
      </c>
      <c r="AH489" s="4" t="str">
        <f t="array" ref="AH489">XLOOKUP(AC489,'Dados Funil'!A:A,'Dados Funil'!AN:AN,"")</f>
        <v/>
      </c>
    </row>
    <row r="490">
      <c r="A490" s="4"/>
      <c r="B490" s="4"/>
      <c r="C490" s="7" t="str">
        <f t="shared" si="1"/>
        <v/>
      </c>
      <c r="D490" s="4" t="str">
        <f t="shared" si="9"/>
        <v/>
      </c>
      <c r="E490" s="4" t="str">
        <f t="array" ref="E490">XLOOKUP(A490,'Dados Funil'!$A:$A,'Dados Funil'!$K:$K,"")</f>
        <v/>
      </c>
      <c r="F490" s="4" t="str">
        <f t="array" ref="F490">XLOOKUP(A490,'Dados Funil'!$A:$A,'Dados Funil'!$L:$L,"")</f>
        <v/>
      </c>
      <c r="G490" s="4"/>
      <c r="H490" s="4"/>
      <c r="I490" s="7" t="str">
        <f t="shared" si="2"/>
        <v/>
      </c>
      <c r="J490" s="4" t="str">
        <f t="shared" si="10"/>
        <v/>
      </c>
      <c r="K490" s="4" t="str">
        <f t="array" ref="K490">XLOOKUP(G490,'Dados Funil'!A:A,'Dados Funil'!O:O,"")</f>
        <v/>
      </c>
      <c r="L490" s="4"/>
      <c r="M490" s="4"/>
      <c r="N490" s="7" t="str">
        <f t="shared" si="3"/>
        <v/>
      </c>
      <c r="O490" s="4" t="str">
        <f t="shared" si="11"/>
        <v/>
      </c>
      <c r="P490" s="4" t="str">
        <f t="array" ref="P490">XLOOKUP(L490,'Dados Funil'!A:A,'Dados Funil'!AM:AM,"")</f>
        <v/>
      </c>
      <c r="Q490" s="4" t="str">
        <f t="array" ref="Q490">XLOOKUP(L490,'Dados Funil'!A:A,'Dados Funil'!AN:AN,"")</f>
        <v/>
      </c>
      <c r="T490" s="7" t="str">
        <f t="shared" si="4"/>
        <v/>
      </c>
      <c r="U490" s="4" t="str">
        <f t="shared" si="12"/>
        <v/>
      </c>
      <c r="V490" s="4" t="str">
        <f t="array" ref="V490">XLOOKUP(R490,'Dados Funil'!$A:$A,'Dados Funil'!$K:$K,"")</f>
        <v/>
      </c>
      <c r="W490" s="4" t="str">
        <f t="array" ref="W490">XLOOKUP(R490,'Dados Funil'!$A:$A,'Dados Funil'!$L:$L,"")</f>
        <v/>
      </c>
      <c r="X490" s="4"/>
      <c r="Y490" s="4"/>
      <c r="Z490" s="7" t="str">
        <f t="shared" si="5"/>
        <v/>
      </c>
      <c r="AA490" s="4" t="str">
        <f t="shared" si="13"/>
        <v/>
      </c>
      <c r="AB490" s="4" t="str">
        <f t="array" ref="AB490">XLOOKUP(X490,'Dados Funil'!A:A,'Dados Funil'!O:O,"")</f>
        <v/>
      </c>
      <c r="AE490" s="7" t="str">
        <f t="shared" si="6"/>
        <v/>
      </c>
      <c r="AG490" s="4" t="str">
        <f t="array" ref="AG490">XLOOKUP(AC490,'Dados Funil'!A:A,'Dados Funil'!AM:AM,"")</f>
        <v/>
      </c>
      <c r="AH490" s="4" t="str">
        <f t="array" ref="AH490">XLOOKUP(AC490,'Dados Funil'!A:A,'Dados Funil'!AN:AN,"")</f>
        <v/>
      </c>
    </row>
    <row r="491">
      <c r="A491" s="4"/>
      <c r="B491" s="4"/>
      <c r="C491" s="7" t="str">
        <f t="shared" si="1"/>
        <v/>
      </c>
      <c r="D491" s="4" t="str">
        <f t="shared" si="9"/>
        <v/>
      </c>
      <c r="E491" s="4" t="str">
        <f t="array" ref="E491">XLOOKUP(A491,'Dados Funil'!$A:$A,'Dados Funil'!$K:$K,"")</f>
        <v/>
      </c>
      <c r="F491" s="4" t="str">
        <f t="array" ref="F491">XLOOKUP(A491,'Dados Funil'!$A:$A,'Dados Funil'!$L:$L,"")</f>
        <v/>
      </c>
      <c r="G491" s="4"/>
      <c r="H491" s="4"/>
      <c r="I491" s="7" t="str">
        <f t="shared" si="2"/>
        <v/>
      </c>
      <c r="J491" s="4" t="str">
        <f t="shared" si="10"/>
        <v/>
      </c>
      <c r="K491" s="4" t="str">
        <f t="array" ref="K491">XLOOKUP(G491,'Dados Funil'!A:A,'Dados Funil'!O:O,"")</f>
        <v/>
      </c>
      <c r="L491" s="4"/>
      <c r="M491" s="4"/>
      <c r="N491" s="7" t="str">
        <f t="shared" si="3"/>
        <v/>
      </c>
      <c r="O491" s="4" t="str">
        <f t="shared" si="11"/>
        <v/>
      </c>
      <c r="P491" s="4" t="str">
        <f t="array" ref="P491">XLOOKUP(L491,'Dados Funil'!A:A,'Dados Funil'!AM:AM,"")</f>
        <v/>
      </c>
      <c r="Q491" s="4" t="str">
        <f t="array" ref="Q491">XLOOKUP(L491,'Dados Funil'!A:A,'Dados Funil'!AN:AN,"")</f>
        <v/>
      </c>
      <c r="T491" s="7" t="str">
        <f t="shared" si="4"/>
        <v/>
      </c>
      <c r="U491" s="4" t="str">
        <f t="shared" si="12"/>
        <v/>
      </c>
      <c r="V491" s="4" t="str">
        <f t="array" ref="V491">XLOOKUP(R491,'Dados Funil'!$A:$A,'Dados Funil'!$K:$K,"")</f>
        <v/>
      </c>
      <c r="W491" s="4" t="str">
        <f t="array" ref="W491">XLOOKUP(R491,'Dados Funil'!$A:$A,'Dados Funil'!$L:$L,"")</f>
        <v/>
      </c>
      <c r="X491" s="4"/>
      <c r="Y491" s="4"/>
      <c r="Z491" s="7" t="str">
        <f t="shared" si="5"/>
        <v/>
      </c>
      <c r="AA491" s="4" t="str">
        <f t="shared" si="13"/>
        <v/>
      </c>
      <c r="AB491" s="4" t="str">
        <f t="array" ref="AB491">XLOOKUP(X491,'Dados Funil'!A:A,'Dados Funil'!O:O,"")</f>
        <v/>
      </c>
      <c r="AE491" s="7" t="str">
        <f t="shared" si="6"/>
        <v/>
      </c>
      <c r="AG491" s="4" t="str">
        <f t="array" ref="AG491">XLOOKUP(AC491,'Dados Funil'!A:A,'Dados Funil'!AM:AM,"")</f>
        <v/>
      </c>
      <c r="AH491" s="4" t="str">
        <f t="array" ref="AH491">XLOOKUP(AC491,'Dados Funil'!A:A,'Dados Funil'!AN:AN,"")</f>
        <v/>
      </c>
    </row>
    <row r="492">
      <c r="A492" s="4"/>
      <c r="B492" s="4"/>
      <c r="C492" s="7" t="str">
        <f t="shared" si="1"/>
        <v/>
      </c>
      <c r="D492" s="4" t="str">
        <f t="shared" si="9"/>
        <v/>
      </c>
      <c r="E492" s="4" t="str">
        <f t="array" ref="E492">XLOOKUP(A492,'Dados Funil'!$A:$A,'Dados Funil'!$K:$K,"")</f>
        <v/>
      </c>
      <c r="F492" s="4" t="str">
        <f t="array" ref="F492">XLOOKUP(A492,'Dados Funil'!$A:$A,'Dados Funil'!$L:$L,"")</f>
        <v/>
      </c>
      <c r="G492" s="4"/>
      <c r="H492" s="4"/>
      <c r="I492" s="7" t="str">
        <f t="shared" si="2"/>
        <v/>
      </c>
      <c r="J492" s="4" t="str">
        <f t="shared" si="10"/>
        <v/>
      </c>
      <c r="K492" s="4" t="str">
        <f t="array" ref="K492">XLOOKUP(G492,'Dados Funil'!A:A,'Dados Funil'!O:O,"")</f>
        <v/>
      </c>
      <c r="L492" s="4"/>
      <c r="M492" s="4"/>
      <c r="N492" s="7" t="str">
        <f t="shared" si="3"/>
        <v/>
      </c>
      <c r="O492" s="4" t="str">
        <f t="shared" si="11"/>
        <v/>
      </c>
      <c r="P492" s="4" t="str">
        <f t="array" ref="P492">XLOOKUP(L492,'Dados Funil'!A:A,'Dados Funil'!AM:AM,"")</f>
        <v/>
      </c>
      <c r="Q492" s="4" t="str">
        <f t="array" ref="Q492">XLOOKUP(L492,'Dados Funil'!A:A,'Dados Funil'!AN:AN,"")</f>
        <v/>
      </c>
      <c r="T492" s="7" t="str">
        <f t="shared" si="4"/>
        <v/>
      </c>
      <c r="U492" s="4" t="str">
        <f t="shared" si="12"/>
        <v/>
      </c>
      <c r="V492" s="4" t="str">
        <f t="array" ref="V492">XLOOKUP(R492,'Dados Funil'!$A:$A,'Dados Funil'!$K:$K,"")</f>
        <v/>
      </c>
      <c r="W492" s="4" t="str">
        <f t="array" ref="W492">XLOOKUP(R492,'Dados Funil'!$A:$A,'Dados Funil'!$L:$L,"")</f>
        <v/>
      </c>
      <c r="X492" s="4"/>
      <c r="Y492" s="4"/>
      <c r="Z492" s="7" t="str">
        <f t="shared" si="5"/>
        <v/>
      </c>
      <c r="AA492" s="4" t="str">
        <f t="shared" si="13"/>
        <v/>
      </c>
      <c r="AB492" s="4" t="str">
        <f t="array" ref="AB492">XLOOKUP(X492,'Dados Funil'!A:A,'Dados Funil'!O:O,"")</f>
        <v/>
      </c>
      <c r="AE492" s="7" t="str">
        <f t="shared" si="6"/>
        <v/>
      </c>
      <c r="AG492" s="4" t="str">
        <f t="array" ref="AG492">XLOOKUP(AC492,'Dados Funil'!A:A,'Dados Funil'!AM:AM,"")</f>
        <v/>
      </c>
      <c r="AH492" s="4" t="str">
        <f t="array" ref="AH492">XLOOKUP(AC492,'Dados Funil'!A:A,'Dados Funil'!AN:AN,"")</f>
        <v/>
      </c>
    </row>
    <row r="493">
      <c r="A493" s="4"/>
      <c r="B493" s="4"/>
      <c r="C493" s="7" t="str">
        <f t="shared" si="1"/>
        <v/>
      </c>
      <c r="D493" s="4" t="str">
        <f t="shared" si="9"/>
        <v/>
      </c>
      <c r="E493" s="4" t="str">
        <f t="array" ref="E493">XLOOKUP(A493,'Dados Funil'!$A:$A,'Dados Funil'!$K:$K,"")</f>
        <v/>
      </c>
      <c r="F493" s="4" t="str">
        <f t="array" ref="F493">XLOOKUP(A493,'Dados Funil'!$A:$A,'Dados Funil'!$L:$L,"")</f>
        <v/>
      </c>
      <c r="G493" s="4"/>
      <c r="H493" s="4"/>
      <c r="I493" s="7" t="str">
        <f t="shared" si="2"/>
        <v/>
      </c>
      <c r="J493" s="4" t="str">
        <f t="shared" si="10"/>
        <v/>
      </c>
      <c r="K493" s="4" t="str">
        <f t="array" ref="K493">XLOOKUP(G493,'Dados Funil'!A:A,'Dados Funil'!O:O,"")</f>
        <v/>
      </c>
      <c r="L493" s="4"/>
      <c r="M493" s="4"/>
      <c r="N493" s="7" t="str">
        <f t="shared" si="3"/>
        <v/>
      </c>
      <c r="O493" s="4" t="str">
        <f t="shared" si="11"/>
        <v/>
      </c>
      <c r="P493" s="4" t="str">
        <f t="array" ref="P493">XLOOKUP(L493,'Dados Funil'!A:A,'Dados Funil'!AM:AM,"")</f>
        <v/>
      </c>
      <c r="Q493" s="4" t="str">
        <f t="array" ref="Q493">XLOOKUP(L493,'Dados Funil'!A:A,'Dados Funil'!AN:AN,"")</f>
        <v/>
      </c>
      <c r="T493" s="7" t="str">
        <f t="shared" si="4"/>
        <v/>
      </c>
      <c r="U493" s="4" t="str">
        <f t="shared" si="12"/>
        <v/>
      </c>
      <c r="V493" s="4" t="str">
        <f t="array" ref="V493">XLOOKUP(R493,'Dados Funil'!$A:$A,'Dados Funil'!$K:$K,"")</f>
        <v/>
      </c>
      <c r="W493" s="4" t="str">
        <f t="array" ref="W493">XLOOKUP(R493,'Dados Funil'!$A:$A,'Dados Funil'!$L:$L,"")</f>
        <v/>
      </c>
      <c r="X493" s="4"/>
      <c r="Y493" s="4"/>
      <c r="Z493" s="7" t="str">
        <f t="shared" si="5"/>
        <v/>
      </c>
      <c r="AA493" s="4" t="str">
        <f t="shared" si="13"/>
        <v/>
      </c>
      <c r="AB493" s="4" t="str">
        <f t="array" ref="AB493">XLOOKUP(X493,'Dados Funil'!A:A,'Dados Funil'!O:O,"")</f>
        <v/>
      </c>
      <c r="AE493" s="7" t="str">
        <f t="shared" si="6"/>
        <v/>
      </c>
      <c r="AG493" s="4" t="str">
        <f t="array" ref="AG493">XLOOKUP(AC493,'Dados Funil'!A:A,'Dados Funil'!AM:AM,"")</f>
        <v/>
      </c>
      <c r="AH493" s="4" t="str">
        <f t="array" ref="AH493">XLOOKUP(AC493,'Dados Funil'!A:A,'Dados Funil'!AN:AN,"")</f>
        <v/>
      </c>
    </row>
    <row r="494">
      <c r="A494" s="4"/>
      <c r="B494" s="4"/>
      <c r="C494" s="7" t="str">
        <f t="shared" si="1"/>
        <v/>
      </c>
      <c r="D494" s="4" t="str">
        <f t="shared" si="9"/>
        <v/>
      </c>
      <c r="E494" s="4" t="str">
        <f t="array" ref="E494">XLOOKUP(A494,'Dados Funil'!$A:$A,'Dados Funil'!$K:$K,"")</f>
        <v/>
      </c>
      <c r="F494" s="4" t="str">
        <f t="array" ref="F494">XLOOKUP(A494,'Dados Funil'!$A:$A,'Dados Funil'!$L:$L,"")</f>
        <v/>
      </c>
      <c r="G494" s="4"/>
      <c r="H494" s="4"/>
      <c r="I494" s="7" t="str">
        <f t="shared" si="2"/>
        <v/>
      </c>
      <c r="J494" s="4" t="str">
        <f t="shared" si="10"/>
        <v/>
      </c>
      <c r="K494" s="4" t="str">
        <f t="array" ref="K494">XLOOKUP(G494,'Dados Funil'!A:A,'Dados Funil'!O:O,"")</f>
        <v/>
      </c>
      <c r="L494" s="4"/>
      <c r="M494" s="4"/>
      <c r="N494" s="7" t="str">
        <f t="shared" si="3"/>
        <v/>
      </c>
      <c r="O494" s="4" t="str">
        <f t="shared" si="11"/>
        <v/>
      </c>
      <c r="P494" s="4" t="str">
        <f t="array" ref="P494">XLOOKUP(L494,'Dados Funil'!A:A,'Dados Funil'!AM:AM,"")</f>
        <v/>
      </c>
      <c r="Q494" s="4" t="str">
        <f t="array" ref="Q494">XLOOKUP(L494,'Dados Funil'!A:A,'Dados Funil'!AN:AN,"")</f>
        <v/>
      </c>
      <c r="T494" s="7" t="str">
        <f t="shared" si="4"/>
        <v/>
      </c>
      <c r="U494" s="4" t="str">
        <f t="shared" si="12"/>
        <v/>
      </c>
      <c r="V494" s="4" t="str">
        <f t="array" ref="V494">XLOOKUP(R494,'Dados Funil'!$A:$A,'Dados Funil'!$K:$K,"")</f>
        <v/>
      </c>
      <c r="W494" s="4" t="str">
        <f t="array" ref="W494">XLOOKUP(R494,'Dados Funil'!$A:$A,'Dados Funil'!$L:$L,"")</f>
        <v/>
      </c>
      <c r="X494" s="4"/>
      <c r="Y494" s="4"/>
      <c r="Z494" s="7" t="str">
        <f t="shared" si="5"/>
        <v/>
      </c>
      <c r="AA494" s="4" t="str">
        <f t="shared" si="13"/>
        <v/>
      </c>
      <c r="AB494" s="4" t="str">
        <f t="array" ref="AB494">XLOOKUP(X494,'Dados Funil'!A:A,'Dados Funil'!O:O,"")</f>
        <v/>
      </c>
      <c r="AE494" s="7" t="str">
        <f t="shared" si="6"/>
        <v/>
      </c>
      <c r="AG494" s="4" t="str">
        <f t="array" ref="AG494">XLOOKUP(AC494,'Dados Funil'!A:A,'Dados Funil'!AM:AM,"")</f>
        <v/>
      </c>
      <c r="AH494" s="4" t="str">
        <f t="array" ref="AH494">XLOOKUP(AC494,'Dados Funil'!A:A,'Dados Funil'!AN:AN,"")</f>
        <v/>
      </c>
    </row>
    <row r="495">
      <c r="A495" s="4"/>
      <c r="B495" s="4"/>
      <c r="C495" s="7" t="str">
        <f t="shared" si="1"/>
        <v/>
      </c>
      <c r="D495" s="4" t="str">
        <f t="shared" si="9"/>
        <v/>
      </c>
      <c r="E495" s="4" t="str">
        <f t="array" ref="E495">XLOOKUP(A495,'Dados Funil'!$A:$A,'Dados Funil'!$K:$K,"")</f>
        <v/>
      </c>
      <c r="F495" s="4" t="str">
        <f t="array" ref="F495">XLOOKUP(A495,'Dados Funil'!$A:$A,'Dados Funil'!$L:$L,"")</f>
        <v/>
      </c>
      <c r="G495" s="4"/>
      <c r="H495" s="4"/>
      <c r="I495" s="7" t="str">
        <f t="shared" si="2"/>
        <v/>
      </c>
      <c r="J495" s="4" t="str">
        <f t="shared" si="10"/>
        <v/>
      </c>
      <c r="K495" s="4" t="str">
        <f t="array" ref="K495">XLOOKUP(G495,'Dados Funil'!A:A,'Dados Funil'!O:O,"")</f>
        <v/>
      </c>
      <c r="L495" s="4"/>
      <c r="M495" s="4"/>
      <c r="N495" s="7" t="str">
        <f t="shared" si="3"/>
        <v/>
      </c>
      <c r="O495" s="4" t="str">
        <f t="shared" si="11"/>
        <v/>
      </c>
      <c r="P495" s="4" t="str">
        <f t="array" ref="P495">XLOOKUP(L495,'Dados Funil'!A:A,'Dados Funil'!AM:AM,"")</f>
        <v/>
      </c>
      <c r="Q495" s="4" t="str">
        <f t="array" ref="Q495">XLOOKUP(L495,'Dados Funil'!A:A,'Dados Funil'!AN:AN,"")</f>
        <v/>
      </c>
      <c r="T495" s="7" t="str">
        <f t="shared" si="4"/>
        <v/>
      </c>
      <c r="U495" s="4" t="str">
        <f t="shared" si="12"/>
        <v/>
      </c>
      <c r="V495" s="4" t="str">
        <f t="array" ref="V495">XLOOKUP(R495,'Dados Funil'!$A:$A,'Dados Funil'!$K:$K,"")</f>
        <v/>
      </c>
      <c r="W495" s="4" t="str">
        <f t="array" ref="W495">XLOOKUP(R495,'Dados Funil'!$A:$A,'Dados Funil'!$L:$L,"")</f>
        <v/>
      </c>
      <c r="X495" s="4"/>
      <c r="Y495" s="4"/>
      <c r="Z495" s="7" t="str">
        <f t="shared" si="5"/>
        <v/>
      </c>
      <c r="AA495" s="4" t="str">
        <f t="shared" si="13"/>
        <v/>
      </c>
      <c r="AB495" s="4" t="str">
        <f t="array" ref="AB495">XLOOKUP(X495,'Dados Funil'!A:A,'Dados Funil'!O:O,"")</f>
        <v/>
      </c>
      <c r="AE495" s="7" t="str">
        <f t="shared" si="6"/>
        <v/>
      </c>
      <c r="AG495" s="4" t="str">
        <f t="array" ref="AG495">XLOOKUP(AC495,'Dados Funil'!A:A,'Dados Funil'!AM:AM,"")</f>
        <v/>
      </c>
      <c r="AH495" s="4" t="str">
        <f t="array" ref="AH495">XLOOKUP(AC495,'Dados Funil'!A:A,'Dados Funil'!AN:AN,"")</f>
        <v/>
      </c>
    </row>
    <row r="496">
      <c r="A496" s="4"/>
      <c r="B496" s="4"/>
      <c r="C496" s="7" t="str">
        <f t="shared" si="1"/>
        <v/>
      </c>
      <c r="D496" s="4" t="str">
        <f t="shared" si="9"/>
        <v/>
      </c>
      <c r="E496" s="4" t="str">
        <f t="array" ref="E496">XLOOKUP(A496,'Dados Funil'!$A:$A,'Dados Funil'!$K:$K,"")</f>
        <v/>
      </c>
      <c r="F496" s="4" t="str">
        <f t="array" ref="F496">XLOOKUP(A496,'Dados Funil'!$A:$A,'Dados Funil'!$L:$L,"")</f>
        <v/>
      </c>
      <c r="G496" s="4"/>
      <c r="H496" s="4"/>
      <c r="I496" s="7" t="str">
        <f t="shared" si="2"/>
        <v/>
      </c>
      <c r="J496" s="4" t="str">
        <f t="shared" si="10"/>
        <v/>
      </c>
      <c r="K496" s="4" t="str">
        <f t="array" ref="K496">XLOOKUP(G496,'Dados Funil'!A:A,'Dados Funil'!O:O,"")</f>
        <v/>
      </c>
      <c r="L496" s="4"/>
      <c r="M496" s="4"/>
      <c r="N496" s="7" t="str">
        <f t="shared" si="3"/>
        <v/>
      </c>
      <c r="O496" s="4" t="str">
        <f t="shared" si="11"/>
        <v/>
      </c>
      <c r="P496" s="4" t="str">
        <f t="array" ref="P496">XLOOKUP(L496,'Dados Funil'!A:A,'Dados Funil'!AM:AM,"")</f>
        <v/>
      </c>
      <c r="Q496" s="4" t="str">
        <f t="array" ref="Q496">XLOOKUP(L496,'Dados Funil'!A:A,'Dados Funil'!AN:AN,"")</f>
        <v/>
      </c>
      <c r="T496" s="7" t="str">
        <f t="shared" si="4"/>
        <v/>
      </c>
      <c r="U496" s="4" t="str">
        <f t="shared" si="12"/>
        <v/>
      </c>
      <c r="V496" s="4" t="str">
        <f t="array" ref="V496">XLOOKUP(R496,'Dados Funil'!$A:$A,'Dados Funil'!$K:$K,"")</f>
        <v/>
      </c>
      <c r="W496" s="4" t="str">
        <f t="array" ref="W496">XLOOKUP(R496,'Dados Funil'!$A:$A,'Dados Funil'!$L:$L,"")</f>
        <v/>
      </c>
      <c r="X496" s="4"/>
      <c r="Y496" s="4"/>
      <c r="Z496" s="7" t="str">
        <f t="shared" si="5"/>
        <v/>
      </c>
      <c r="AA496" s="4" t="str">
        <f t="shared" si="13"/>
        <v/>
      </c>
      <c r="AB496" s="4" t="str">
        <f t="array" ref="AB496">XLOOKUP(X496,'Dados Funil'!A:A,'Dados Funil'!O:O,"")</f>
        <v/>
      </c>
      <c r="AE496" s="7" t="str">
        <f t="shared" si="6"/>
        <v/>
      </c>
      <c r="AG496" s="4" t="str">
        <f t="array" ref="AG496">XLOOKUP(AC496,'Dados Funil'!A:A,'Dados Funil'!AM:AM,"")</f>
        <v/>
      </c>
      <c r="AH496" s="4" t="str">
        <f t="array" ref="AH496">XLOOKUP(AC496,'Dados Funil'!A:A,'Dados Funil'!AN:AN,"")</f>
        <v/>
      </c>
    </row>
    <row r="497">
      <c r="A497" s="4"/>
      <c r="B497" s="4"/>
      <c r="C497" s="7" t="str">
        <f t="shared" si="1"/>
        <v/>
      </c>
      <c r="D497" s="4" t="str">
        <f t="shared" si="9"/>
        <v/>
      </c>
      <c r="E497" s="4" t="str">
        <f t="array" ref="E497">XLOOKUP(A497,'Dados Funil'!$A:$A,'Dados Funil'!$K:$K,"")</f>
        <v/>
      </c>
      <c r="F497" s="4" t="str">
        <f t="array" ref="F497">XLOOKUP(A497,'Dados Funil'!$A:$A,'Dados Funil'!$L:$L,"")</f>
        <v/>
      </c>
      <c r="G497" s="4"/>
      <c r="H497" s="4"/>
      <c r="I497" s="7" t="str">
        <f t="shared" si="2"/>
        <v/>
      </c>
      <c r="J497" s="4" t="str">
        <f t="shared" si="10"/>
        <v/>
      </c>
      <c r="K497" s="4" t="str">
        <f t="array" ref="K497">XLOOKUP(G497,'Dados Funil'!A:A,'Dados Funil'!O:O,"")</f>
        <v/>
      </c>
      <c r="L497" s="4"/>
      <c r="M497" s="4"/>
      <c r="N497" s="7" t="str">
        <f t="shared" si="3"/>
        <v/>
      </c>
      <c r="O497" s="4" t="str">
        <f t="shared" si="11"/>
        <v/>
      </c>
      <c r="P497" s="4" t="str">
        <f t="array" ref="P497">XLOOKUP(L497,'Dados Funil'!A:A,'Dados Funil'!AM:AM,"")</f>
        <v/>
      </c>
      <c r="Q497" s="4" t="str">
        <f t="array" ref="Q497">XLOOKUP(L497,'Dados Funil'!A:A,'Dados Funil'!AN:AN,"")</f>
        <v/>
      </c>
      <c r="T497" s="7" t="str">
        <f t="shared" si="4"/>
        <v/>
      </c>
      <c r="U497" s="4" t="str">
        <f t="shared" si="12"/>
        <v/>
      </c>
      <c r="V497" s="4" t="str">
        <f t="array" ref="V497">XLOOKUP(R497,'Dados Funil'!$A:$A,'Dados Funil'!$K:$K,"")</f>
        <v/>
      </c>
      <c r="W497" s="4" t="str">
        <f t="array" ref="W497">XLOOKUP(R497,'Dados Funil'!$A:$A,'Dados Funil'!$L:$L,"")</f>
        <v/>
      </c>
      <c r="X497" s="4"/>
      <c r="Y497" s="4"/>
      <c r="Z497" s="7" t="str">
        <f t="shared" si="5"/>
        <v/>
      </c>
      <c r="AA497" s="4" t="str">
        <f t="shared" si="13"/>
        <v/>
      </c>
      <c r="AB497" s="4" t="str">
        <f t="array" ref="AB497">XLOOKUP(X497,'Dados Funil'!A:A,'Dados Funil'!O:O,"")</f>
        <v/>
      </c>
      <c r="AE497" s="7" t="str">
        <f t="shared" si="6"/>
        <v/>
      </c>
      <c r="AG497" s="4" t="str">
        <f t="array" ref="AG497">XLOOKUP(AC497,'Dados Funil'!A:A,'Dados Funil'!AM:AM,"")</f>
        <v/>
      </c>
      <c r="AH497" s="4" t="str">
        <f t="array" ref="AH497">XLOOKUP(AC497,'Dados Funil'!A:A,'Dados Funil'!AN:AN,"")</f>
        <v/>
      </c>
    </row>
    <row r="498">
      <c r="A498" s="4"/>
      <c r="B498" s="4"/>
      <c r="C498" s="7" t="str">
        <f t="shared" si="1"/>
        <v/>
      </c>
      <c r="D498" s="4" t="str">
        <f t="shared" si="9"/>
        <v/>
      </c>
      <c r="E498" s="4" t="str">
        <f t="array" ref="E498">XLOOKUP(A498,'Dados Funil'!$A:$A,'Dados Funil'!$K:$K,"")</f>
        <v/>
      </c>
      <c r="F498" s="4" t="str">
        <f t="array" ref="F498">XLOOKUP(A498,'Dados Funil'!$A:$A,'Dados Funil'!$L:$L,"")</f>
        <v/>
      </c>
      <c r="G498" s="4"/>
      <c r="H498" s="4"/>
      <c r="I498" s="7" t="str">
        <f t="shared" si="2"/>
        <v/>
      </c>
      <c r="J498" s="4" t="str">
        <f t="shared" si="10"/>
        <v/>
      </c>
      <c r="K498" s="4" t="str">
        <f t="array" ref="K498">XLOOKUP(G498,'Dados Funil'!A:A,'Dados Funil'!O:O,"")</f>
        <v/>
      </c>
      <c r="L498" s="4"/>
      <c r="M498" s="4"/>
      <c r="N498" s="7" t="str">
        <f t="shared" si="3"/>
        <v/>
      </c>
      <c r="O498" s="4" t="str">
        <f t="shared" si="11"/>
        <v/>
      </c>
      <c r="P498" s="4" t="str">
        <f t="array" ref="P498">XLOOKUP(L498,'Dados Funil'!A:A,'Dados Funil'!AM:AM,"")</f>
        <v/>
      </c>
      <c r="Q498" s="4" t="str">
        <f t="array" ref="Q498">XLOOKUP(L498,'Dados Funil'!A:A,'Dados Funil'!AN:AN,"")</f>
        <v/>
      </c>
      <c r="T498" s="7" t="str">
        <f t="shared" si="4"/>
        <v/>
      </c>
      <c r="U498" s="4" t="str">
        <f t="shared" si="12"/>
        <v/>
      </c>
      <c r="V498" s="4" t="str">
        <f t="array" ref="V498">XLOOKUP(R498,'Dados Funil'!$A:$A,'Dados Funil'!$K:$K,"")</f>
        <v/>
      </c>
      <c r="W498" s="4" t="str">
        <f t="array" ref="W498">XLOOKUP(R498,'Dados Funil'!$A:$A,'Dados Funil'!$L:$L,"")</f>
        <v/>
      </c>
      <c r="X498" s="4"/>
      <c r="Y498" s="4"/>
      <c r="Z498" s="7" t="str">
        <f t="shared" si="5"/>
        <v/>
      </c>
      <c r="AA498" s="4" t="str">
        <f t="shared" si="13"/>
        <v/>
      </c>
      <c r="AB498" s="4" t="str">
        <f t="array" ref="AB498">XLOOKUP(X498,'Dados Funil'!A:A,'Dados Funil'!O:O,"")</f>
        <v/>
      </c>
      <c r="AE498" s="7" t="str">
        <f t="shared" si="6"/>
        <v/>
      </c>
      <c r="AG498" s="4" t="str">
        <f t="array" ref="AG498">XLOOKUP(AC498,'Dados Funil'!A:A,'Dados Funil'!AM:AM,"")</f>
        <v/>
      </c>
      <c r="AH498" s="4" t="str">
        <f t="array" ref="AH498">XLOOKUP(AC498,'Dados Funil'!A:A,'Dados Funil'!AN:AN,"")</f>
        <v/>
      </c>
    </row>
    <row r="499">
      <c r="A499" s="4"/>
      <c r="B499" s="4"/>
      <c r="C499" s="7" t="str">
        <f t="shared" si="1"/>
        <v/>
      </c>
      <c r="D499" s="4" t="str">
        <f t="shared" si="9"/>
        <v/>
      </c>
      <c r="E499" s="4" t="str">
        <f t="array" ref="E499">XLOOKUP(A499,'Dados Funil'!$A:$A,'Dados Funil'!$K:$K,"")</f>
        <v/>
      </c>
      <c r="F499" s="4" t="str">
        <f t="array" ref="F499">XLOOKUP(A499,'Dados Funil'!$A:$A,'Dados Funil'!$L:$L,"")</f>
        <v/>
      </c>
      <c r="G499" s="4"/>
      <c r="H499" s="4"/>
      <c r="I499" s="7" t="str">
        <f t="shared" si="2"/>
        <v/>
      </c>
      <c r="J499" s="4" t="str">
        <f t="shared" si="10"/>
        <v/>
      </c>
      <c r="K499" s="4" t="str">
        <f t="array" ref="K499">XLOOKUP(G499,'Dados Funil'!A:A,'Dados Funil'!O:O,"")</f>
        <v/>
      </c>
      <c r="L499" s="4"/>
      <c r="M499" s="4"/>
      <c r="N499" s="7" t="str">
        <f t="shared" si="3"/>
        <v/>
      </c>
      <c r="O499" s="4" t="str">
        <f t="shared" si="11"/>
        <v/>
      </c>
      <c r="P499" s="4" t="str">
        <f t="array" ref="P499">XLOOKUP(L499,'Dados Funil'!A:A,'Dados Funil'!AM:AM,"")</f>
        <v/>
      </c>
      <c r="Q499" s="4" t="str">
        <f t="array" ref="Q499">XLOOKUP(L499,'Dados Funil'!A:A,'Dados Funil'!AN:AN,"")</f>
        <v/>
      </c>
      <c r="T499" s="7" t="str">
        <f t="shared" si="4"/>
        <v/>
      </c>
      <c r="U499" s="4" t="str">
        <f t="shared" si="12"/>
        <v/>
      </c>
      <c r="V499" s="4" t="str">
        <f t="array" ref="V499">XLOOKUP(R499,'Dados Funil'!$A:$A,'Dados Funil'!$K:$K,"")</f>
        <v/>
      </c>
      <c r="W499" s="4" t="str">
        <f t="array" ref="W499">XLOOKUP(R499,'Dados Funil'!$A:$A,'Dados Funil'!$L:$L,"")</f>
        <v/>
      </c>
      <c r="X499" s="4"/>
      <c r="Y499" s="4"/>
      <c r="Z499" s="7" t="str">
        <f t="shared" si="5"/>
        <v/>
      </c>
      <c r="AA499" s="4" t="str">
        <f t="shared" si="13"/>
        <v/>
      </c>
      <c r="AB499" s="4" t="str">
        <f t="array" ref="AB499">XLOOKUP(X499,'Dados Funil'!A:A,'Dados Funil'!O:O,"")</f>
        <v/>
      </c>
      <c r="AE499" s="7" t="str">
        <f t="shared" si="6"/>
        <v/>
      </c>
      <c r="AG499" s="4" t="str">
        <f t="array" ref="AG499">XLOOKUP(AC499,'Dados Funil'!A:A,'Dados Funil'!AM:AM,"")</f>
        <v/>
      </c>
      <c r="AH499" s="4" t="str">
        <f t="array" ref="AH499">XLOOKUP(AC499,'Dados Funil'!A:A,'Dados Funil'!AN:AN,"")</f>
        <v/>
      </c>
    </row>
    <row r="500">
      <c r="A500" s="4"/>
      <c r="B500" s="4"/>
      <c r="C500" s="7" t="str">
        <f t="shared" si="1"/>
        <v/>
      </c>
      <c r="D500" s="4" t="str">
        <f t="shared" si="9"/>
        <v/>
      </c>
      <c r="E500" s="4" t="str">
        <f t="array" ref="E500">XLOOKUP(A500,'Dados Funil'!$A:$A,'Dados Funil'!$K:$K,"")</f>
        <v/>
      </c>
      <c r="F500" s="4" t="str">
        <f t="array" ref="F500">XLOOKUP(A500,'Dados Funil'!$A:$A,'Dados Funil'!$L:$L,"")</f>
        <v/>
      </c>
      <c r="G500" s="4"/>
      <c r="H500" s="4"/>
      <c r="I500" s="7" t="str">
        <f t="shared" si="2"/>
        <v/>
      </c>
      <c r="J500" s="4" t="str">
        <f t="shared" si="10"/>
        <v/>
      </c>
      <c r="K500" s="4" t="str">
        <f t="array" ref="K500">XLOOKUP(G500,'Dados Funil'!A:A,'Dados Funil'!O:O,"")</f>
        <v/>
      </c>
      <c r="L500" s="4"/>
      <c r="M500" s="4"/>
      <c r="N500" s="7" t="str">
        <f t="shared" si="3"/>
        <v/>
      </c>
      <c r="O500" s="4" t="str">
        <f t="shared" si="11"/>
        <v/>
      </c>
      <c r="P500" s="4" t="str">
        <f t="array" ref="P500">XLOOKUP(L500,'Dados Funil'!A:A,'Dados Funil'!AM:AM,"")</f>
        <v/>
      </c>
      <c r="Q500" s="4" t="str">
        <f t="array" ref="Q500">XLOOKUP(L500,'Dados Funil'!A:A,'Dados Funil'!AN:AN,"")</f>
        <v/>
      </c>
      <c r="T500" s="7" t="str">
        <f t="shared" si="4"/>
        <v/>
      </c>
      <c r="U500" s="4" t="str">
        <f t="shared" si="12"/>
        <v/>
      </c>
      <c r="V500" s="4" t="str">
        <f t="array" ref="V500">XLOOKUP(R500,'Dados Funil'!$A:$A,'Dados Funil'!$K:$K,"")</f>
        <v/>
      </c>
      <c r="W500" s="4" t="str">
        <f t="array" ref="W500">XLOOKUP(R500,'Dados Funil'!$A:$A,'Dados Funil'!$L:$L,"")</f>
        <v/>
      </c>
      <c r="X500" s="4"/>
      <c r="Y500" s="4"/>
      <c r="Z500" s="7" t="str">
        <f t="shared" si="5"/>
        <v/>
      </c>
      <c r="AA500" s="4" t="str">
        <f t="shared" si="13"/>
        <v/>
      </c>
      <c r="AB500" s="4" t="str">
        <f t="array" ref="AB500">XLOOKUP(X500,'Dados Funil'!A:A,'Dados Funil'!O:O,"")</f>
        <v/>
      </c>
      <c r="AE500" s="7" t="str">
        <f t="shared" si="6"/>
        <v/>
      </c>
      <c r="AG500" s="4" t="str">
        <f t="array" ref="AG500">XLOOKUP(AC500,'Dados Funil'!A:A,'Dados Funil'!AM:AM,"")</f>
        <v/>
      </c>
      <c r="AH500" s="4" t="str">
        <f t="array" ref="AH500">XLOOKUP(AC500,'Dados Funil'!A:A,'Dados Funil'!AN:AN,"")</f>
        <v/>
      </c>
    </row>
    <row r="501">
      <c r="A501" s="4"/>
      <c r="B501" s="4"/>
      <c r="C501" s="7" t="str">
        <f t="shared" si="1"/>
        <v/>
      </c>
      <c r="D501" s="4" t="str">
        <f t="shared" si="9"/>
        <v/>
      </c>
      <c r="E501" s="4" t="str">
        <f t="array" ref="E501">XLOOKUP(A501,'Dados Funil'!$A:$A,'Dados Funil'!$K:$K,"")</f>
        <v/>
      </c>
      <c r="F501" s="4" t="str">
        <f t="array" ref="F501">XLOOKUP(A501,'Dados Funil'!$A:$A,'Dados Funil'!$L:$L,"")</f>
        <v/>
      </c>
      <c r="G501" s="4"/>
      <c r="H501" s="4"/>
      <c r="I501" s="7" t="str">
        <f t="shared" si="2"/>
        <v/>
      </c>
      <c r="J501" s="4" t="str">
        <f t="shared" si="10"/>
        <v/>
      </c>
      <c r="K501" s="4" t="str">
        <f t="array" ref="K501">XLOOKUP(G501,'Dados Funil'!A:A,'Dados Funil'!O:O,"")</f>
        <v/>
      </c>
      <c r="L501" s="4"/>
      <c r="M501" s="4"/>
      <c r="N501" s="7" t="str">
        <f t="shared" si="3"/>
        <v/>
      </c>
      <c r="O501" s="4" t="str">
        <f t="shared" si="11"/>
        <v/>
      </c>
      <c r="P501" s="4" t="str">
        <f t="array" ref="P501">XLOOKUP(L501,'Dados Funil'!A:A,'Dados Funil'!AM:AM,"")</f>
        <v/>
      </c>
      <c r="Q501" s="4" t="str">
        <f t="array" ref="Q501">XLOOKUP(L501,'Dados Funil'!A:A,'Dados Funil'!AN:AN,"")</f>
        <v/>
      </c>
      <c r="T501" s="7" t="str">
        <f t="shared" si="4"/>
        <v/>
      </c>
      <c r="U501" s="4" t="str">
        <f t="shared" si="12"/>
        <v/>
      </c>
      <c r="V501" s="4" t="str">
        <f t="array" ref="V501">XLOOKUP(R501,'Dados Funil'!$A:$A,'Dados Funil'!$K:$K,"")</f>
        <v/>
      </c>
      <c r="W501" s="4" t="str">
        <f t="array" ref="W501">XLOOKUP(R501,'Dados Funil'!$A:$A,'Dados Funil'!$L:$L,"")</f>
        <v/>
      </c>
      <c r="X501" s="4"/>
      <c r="Y501" s="4"/>
      <c r="Z501" s="7" t="str">
        <f t="shared" si="5"/>
        <v/>
      </c>
      <c r="AA501" s="4" t="str">
        <f t="shared" si="13"/>
        <v/>
      </c>
      <c r="AB501" s="4" t="str">
        <f t="array" ref="AB501">XLOOKUP(X501,'Dados Funil'!A:A,'Dados Funil'!O:O,"")</f>
        <v/>
      </c>
      <c r="AE501" s="7" t="str">
        <f t="shared" si="6"/>
        <v/>
      </c>
      <c r="AG501" s="4" t="str">
        <f t="array" ref="AG501">XLOOKUP(AC501,'Dados Funil'!A:A,'Dados Funil'!AM:AM,"")</f>
        <v/>
      </c>
      <c r="AH501" s="4" t="str">
        <f t="array" ref="AH501">XLOOKUP(AC501,'Dados Funil'!A:A,'Dados Funil'!AN:AN,"")</f>
        <v/>
      </c>
    </row>
    <row r="502">
      <c r="A502" s="4"/>
      <c r="B502" s="4"/>
      <c r="C502" s="7" t="str">
        <f t="shared" si="1"/>
        <v/>
      </c>
      <c r="D502" s="4" t="str">
        <f t="shared" si="9"/>
        <v/>
      </c>
      <c r="E502" s="4" t="str">
        <f t="array" ref="E502">XLOOKUP(A502,'Dados Funil'!$A:$A,'Dados Funil'!$K:$K,"")</f>
        <v/>
      </c>
      <c r="F502" s="4" t="str">
        <f t="array" ref="F502">XLOOKUP(A502,'Dados Funil'!$A:$A,'Dados Funil'!$L:$L,"")</f>
        <v/>
      </c>
      <c r="G502" s="4"/>
      <c r="H502" s="4"/>
      <c r="I502" s="7" t="str">
        <f t="shared" si="2"/>
        <v/>
      </c>
      <c r="J502" s="4" t="str">
        <f t="shared" si="10"/>
        <v/>
      </c>
      <c r="K502" s="4" t="str">
        <f t="array" ref="K502">XLOOKUP(G502,'Dados Funil'!A:A,'Dados Funil'!O:O,"")</f>
        <v/>
      </c>
      <c r="L502" s="4"/>
      <c r="M502" s="4"/>
      <c r="N502" s="7" t="str">
        <f t="shared" si="3"/>
        <v/>
      </c>
      <c r="O502" s="4" t="str">
        <f t="shared" si="11"/>
        <v/>
      </c>
      <c r="P502" s="4" t="str">
        <f t="array" ref="P502">XLOOKUP(L502,'Dados Funil'!A:A,'Dados Funil'!AM:AM,"")</f>
        <v/>
      </c>
      <c r="Q502" s="4" t="str">
        <f t="array" ref="Q502">XLOOKUP(L502,'Dados Funil'!A:A,'Dados Funil'!AN:AN,"")</f>
        <v/>
      </c>
      <c r="T502" s="7" t="str">
        <f t="shared" si="4"/>
        <v/>
      </c>
      <c r="U502" s="4" t="str">
        <f t="shared" si="12"/>
        <v/>
      </c>
      <c r="V502" s="4" t="str">
        <f t="array" ref="V502">XLOOKUP(R502,'Dados Funil'!$A:$A,'Dados Funil'!$K:$K,"")</f>
        <v/>
      </c>
      <c r="W502" s="4" t="str">
        <f t="array" ref="W502">XLOOKUP(R502,'Dados Funil'!$A:$A,'Dados Funil'!$L:$L,"")</f>
        <v/>
      </c>
      <c r="X502" s="4"/>
      <c r="Y502" s="4"/>
      <c r="Z502" s="7" t="str">
        <f t="shared" si="5"/>
        <v/>
      </c>
      <c r="AA502" s="4" t="str">
        <f t="shared" si="13"/>
        <v/>
      </c>
      <c r="AB502" s="4" t="str">
        <f t="array" ref="AB502">XLOOKUP(X502,'Dados Funil'!A:A,'Dados Funil'!O:O,"")</f>
        <v/>
      </c>
      <c r="AE502" s="7" t="str">
        <f t="shared" si="6"/>
        <v/>
      </c>
      <c r="AG502" s="4" t="str">
        <f t="array" ref="AG502">XLOOKUP(AC502,'Dados Funil'!A:A,'Dados Funil'!AM:AM,"")</f>
        <v/>
      </c>
      <c r="AH502" s="4" t="str">
        <f t="array" ref="AH502">XLOOKUP(AC502,'Dados Funil'!A:A,'Dados Funil'!AN:AN,"")</f>
        <v/>
      </c>
    </row>
    <row r="503">
      <c r="A503" s="4"/>
      <c r="B503" s="4"/>
      <c r="C503" s="7" t="str">
        <f t="shared" si="1"/>
        <v/>
      </c>
      <c r="D503" s="4" t="str">
        <f t="shared" si="9"/>
        <v/>
      </c>
      <c r="E503" s="4" t="str">
        <f t="array" ref="E503">XLOOKUP(A503,'Dados Funil'!$A:$A,'Dados Funil'!$K:$K,"")</f>
        <v/>
      </c>
      <c r="F503" s="4" t="str">
        <f t="array" ref="F503">XLOOKUP(A503,'Dados Funil'!$A:$A,'Dados Funil'!$L:$L,"")</f>
        <v/>
      </c>
      <c r="G503" s="4"/>
      <c r="H503" s="4"/>
      <c r="I503" s="7" t="str">
        <f t="shared" si="2"/>
        <v/>
      </c>
      <c r="J503" s="4" t="str">
        <f t="shared" si="10"/>
        <v/>
      </c>
      <c r="K503" s="4" t="str">
        <f t="array" ref="K503">XLOOKUP(G503,'Dados Funil'!A:A,'Dados Funil'!O:O,"")</f>
        <v/>
      </c>
      <c r="L503" s="4"/>
      <c r="M503" s="4"/>
      <c r="N503" s="7" t="str">
        <f t="shared" si="3"/>
        <v/>
      </c>
      <c r="O503" s="4" t="str">
        <f t="shared" si="11"/>
        <v/>
      </c>
      <c r="P503" s="4" t="str">
        <f t="array" ref="P503">XLOOKUP(L503,'Dados Funil'!A:A,'Dados Funil'!AM:AM,"")</f>
        <v/>
      </c>
      <c r="Q503" s="4" t="str">
        <f t="array" ref="Q503">XLOOKUP(L503,'Dados Funil'!A:A,'Dados Funil'!AN:AN,"")</f>
        <v/>
      </c>
      <c r="T503" s="7" t="str">
        <f t="shared" si="4"/>
        <v/>
      </c>
      <c r="U503" s="4" t="str">
        <f t="shared" si="12"/>
        <v/>
      </c>
      <c r="V503" s="4" t="str">
        <f t="array" ref="V503">XLOOKUP(R503,'Dados Funil'!$A:$A,'Dados Funil'!$K:$K,"")</f>
        <v/>
      </c>
      <c r="W503" s="4" t="str">
        <f t="array" ref="W503">XLOOKUP(R503,'Dados Funil'!$A:$A,'Dados Funil'!$L:$L,"")</f>
        <v/>
      </c>
      <c r="X503" s="4"/>
      <c r="Y503" s="4"/>
      <c r="Z503" s="7" t="str">
        <f t="shared" si="5"/>
        <v/>
      </c>
      <c r="AA503" s="4" t="str">
        <f t="shared" si="13"/>
        <v/>
      </c>
      <c r="AB503" s="4" t="str">
        <f t="array" ref="AB503">XLOOKUP(X503,'Dados Funil'!A:A,'Dados Funil'!O:O,"")</f>
        <v/>
      </c>
      <c r="AE503" s="7" t="str">
        <f t="shared" si="6"/>
        <v/>
      </c>
      <c r="AG503" s="4" t="str">
        <f t="array" ref="AG503">XLOOKUP(AC503,'Dados Funil'!A:A,'Dados Funil'!AM:AM,"")</f>
        <v/>
      </c>
      <c r="AH503" s="4" t="str">
        <f t="array" ref="AH503">XLOOKUP(AC503,'Dados Funil'!A:A,'Dados Funil'!AN:AN,"")</f>
        <v/>
      </c>
    </row>
    <row r="504">
      <c r="A504" s="4"/>
      <c r="B504" s="4"/>
      <c r="C504" s="7" t="str">
        <f t="shared" si="1"/>
        <v/>
      </c>
      <c r="D504" s="4" t="str">
        <f t="shared" si="9"/>
        <v/>
      </c>
      <c r="E504" s="4" t="str">
        <f t="array" ref="E504">XLOOKUP(A504,'Dados Funil'!$A:$A,'Dados Funil'!$K:$K,"")</f>
        <v/>
      </c>
      <c r="F504" s="4" t="str">
        <f t="array" ref="F504">XLOOKUP(A504,'Dados Funil'!$A:$A,'Dados Funil'!$L:$L,"")</f>
        <v/>
      </c>
      <c r="G504" s="4"/>
      <c r="H504" s="4"/>
      <c r="I504" s="7" t="str">
        <f t="shared" si="2"/>
        <v/>
      </c>
      <c r="J504" s="4" t="str">
        <f t="shared" si="10"/>
        <v/>
      </c>
      <c r="K504" s="4" t="str">
        <f t="array" ref="K504">XLOOKUP(G504,'Dados Funil'!A:A,'Dados Funil'!O:O,"")</f>
        <v/>
      </c>
      <c r="L504" s="4"/>
      <c r="M504" s="4"/>
      <c r="N504" s="7" t="str">
        <f t="shared" si="3"/>
        <v/>
      </c>
      <c r="O504" s="4" t="str">
        <f t="shared" si="11"/>
        <v/>
      </c>
      <c r="P504" s="4" t="str">
        <f t="array" ref="P504">XLOOKUP(L504,'Dados Funil'!A:A,'Dados Funil'!AM:AM,"")</f>
        <v/>
      </c>
      <c r="Q504" s="4" t="str">
        <f t="array" ref="Q504">XLOOKUP(L504,'Dados Funil'!A:A,'Dados Funil'!AN:AN,"")</f>
        <v/>
      </c>
      <c r="T504" s="7" t="str">
        <f t="shared" si="4"/>
        <v/>
      </c>
      <c r="U504" s="4" t="str">
        <f t="shared" si="12"/>
        <v/>
      </c>
      <c r="V504" s="4" t="str">
        <f t="array" ref="V504">XLOOKUP(R504,'Dados Funil'!$A:$A,'Dados Funil'!$K:$K,"")</f>
        <v/>
      </c>
      <c r="W504" s="4" t="str">
        <f t="array" ref="W504">XLOOKUP(R504,'Dados Funil'!$A:$A,'Dados Funil'!$L:$L,"")</f>
        <v/>
      </c>
      <c r="X504" s="4"/>
      <c r="Y504" s="4"/>
      <c r="Z504" s="7" t="str">
        <f t="shared" si="5"/>
        <v/>
      </c>
      <c r="AA504" s="4" t="str">
        <f t="shared" si="13"/>
        <v/>
      </c>
      <c r="AB504" s="4" t="str">
        <f t="array" ref="AB504">XLOOKUP(X504,'Dados Funil'!A:A,'Dados Funil'!O:O,"")</f>
        <v/>
      </c>
      <c r="AE504" s="7" t="str">
        <f t="shared" si="6"/>
        <v/>
      </c>
      <c r="AG504" s="4" t="str">
        <f t="array" ref="AG504">XLOOKUP(AC504,'Dados Funil'!A:A,'Dados Funil'!AM:AM,"")</f>
        <v/>
      </c>
      <c r="AH504" s="4" t="str">
        <f t="array" ref="AH504">XLOOKUP(AC504,'Dados Funil'!A:A,'Dados Funil'!AN:AN,"")</f>
        <v/>
      </c>
    </row>
    <row r="505">
      <c r="A505" s="4"/>
      <c r="B505" s="4"/>
      <c r="C505" s="7" t="str">
        <f t="shared" si="1"/>
        <v/>
      </c>
      <c r="D505" s="4" t="str">
        <f t="shared" si="9"/>
        <v/>
      </c>
      <c r="E505" s="4" t="str">
        <f t="array" ref="E505">XLOOKUP(A505,'Dados Funil'!$A:$A,'Dados Funil'!$K:$K,"")</f>
        <v/>
      </c>
      <c r="F505" s="4" t="str">
        <f t="array" ref="F505">XLOOKUP(A505,'Dados Funil'!$A:$A,'Dados Funil'!$L:$L,"")</f>
        <v/>
      </c>
      <c r="G505" s="4"/>
      <c r="H505" s="4"/>
      <c r="I505" s="7" t="str">
        <f t="shared" si="2"/>
        <v/>
      </c>
      <c r="J505" s="4" t="str">
        <f t="shared" si="10"/>
        <v/>
      </c>
      <c r="K505" s="4" t="str">
        <f t="array" ref="K505">XLOOKUP(G505,'Dados Funil'!A:A,'Dados Funil'!O:O,"")</f>
        <v/>
      </c>
      <c r="L505" s="4"/>
      <c r="M505" s="4"/>
      <c r="N505" s="7" t="str">
        <f t="shared" si="3"/>
        <v/>
      </c>
      <c r="O505" s="4" t="str">
        <f t="shared" si="11"/>
        <v/>
      </c>
      <c r="P505" s="4" t="str">
        <f t="array" ref="P505">XLOOKUP(L505,'Dados Funil'!A:A,'Dados Funil'!AM:AM,"")</f>
        <v/>
      </c>
      <c r="Q505" s="4" t="str">
        <f t="array" ref="Q505">XLOOKUP(L505,'Dados Funil'!A:A,'Dados Funil'!AN:AN,"")</f>
        <v/>
      </c>
      <c r="T505" s="7" t="str">
        <f t="shared" si="4"/>
        <v/>
      </c>
      <c r="U505" s="4" t="str">
        <f t="shared" si="12"/>
        <v/>
      </c>
      <c r="V505" s="4" t="str">
        <f t="array" ref="V505">XLOOKUP(R505,'Dados Funil'!$A:$A,'Dados Funil'!$K:$K,"")</f>
        <v/>
      </c>
      <c r="W505" s="4" t="str">
        <f t="array" ref="W505">XLOOKUP(R505,'Dados Funil'!$A:$A,'Dados Funil'!$L:$L,"")</f>
        <v/>
      </c>
      <c r="X505" s="4"/>
      <c r="Y505" s="4"/>
      <c r="Z505" s="7" t="str">
        <f t="shared" si="5"/>
        <v/>
      </c>
      <c r="AA505" s="4" t="str">
        <f t="shared" si="13"/>
        <v/>
      </c>
      <c r="AB505" s="4" t="str">
        <f t="array" ref="AB505">XLOOKUP(X505,'Dados Funil'!A:A,'Dados Funil'!O:O,"")</f>
        <v/>
      </c>
      <c r="AE505" s="7" t="str">
        <f t="shared" si="6"/>
        <v/>
      </c>
      <c r="AG505" s="4" t="str">
        <f t="array" ref="AG505">XLOOKUP(AC505,'Dados Funil'!A:A,'Dados Funil'!AM:AM,"")</f>
        <v/>
      </c>
      <c r="AH505" s="4" t="str">
        <f t="array" ref="AH505">XLOOKUP(AC505,'Dados Funil'!A:A,'Dados Funil'!AN:AN,"")</f>
        <v/>
      </c>
    </row>
    <row r="506">
      <c r="A506" s="4"/>
      <c r="B506" s="4"/>
      <c r="C506" s="7" t="str">
        <f t="shared" si="1"/>
        <v/>
      </c>
      <c r="D506" s="4" t="str">
        <f t="shared" si="9"/>
        <v/>
      </c>
      <c r="E506" s="4" t="str">
        <f t="array" ref="E506">XLOOKUP(A506,'Dados Funil'!$A:$A,'Dados Funil'!$K:$K,"")</f>
        <v/>
      </c>
      <c r="F506" s="4" t="str">
        <f t="array" ref="F506">XLOOKUP(A506,'Dados Funil'!$A:$A,'Dados Funil'!$L:$L,"")</f>
        <v/>
      </c>
      <c r="G506" s="4"/>
      <c r="H506" s="4"/>
      <c r="I506" s="7" t="str">
        <f t="shared" si="2"/>
        <v/>
      </c>
      <c r="J506" s="4" t="str">
        <f t="shared" si="10"/>
        <v/>
      </c>
      <c r="K506" s="4" t="str">
        <f t="array" ref="K506">XLOOKUP(G506,'Dados Funil'!A:A,'Dados Funil'!O:O,"")</f>
        <v/>
      </c>
      <c r="L506" s="4"/>
      <c r="M506" s="4"/>
      <c r="N506" s="7" t="str">
        <f t="shared" si="3"/>
        <v/>
      </c>
      <c r="O506" s="4" t="str">
        <f t="shared" si="11"/>
        <v/>
      </c>
      <c r="P506" s="4" t="str">
        <f t="array" ref="P506">XLOOKUP(L506,'Dados Funil'!A:A,'Dados Funil'!AM:AM,"")</f>
        <v/>
      </c>
      <c r="Q506" s="4" t="str">
        <f t="array" ref="Q506">XLOOKUP(L506,'Dados Funil'!A:A,'Dados Funil'!AN:AN,"")</f>
        <v/>
      </c>
      <c r="T506" s="7" t="str">
        <f t="shared" si="4"/>
        <v/>
      </c>
      <c r="U506" s="4" t="str">
        <f t="shared" si="12"/>
        <v/>
      </c>
      <c r="V506" s="4" t="str">
        <f t="array" ref="V506">XLOOKUP(R506,'Dados Funil'!$A:$A,'Dados Funil'!$K:$K,"")</f>
        <v/>
      </c>
      <c r="W506" s="4" t="str">
        <f t="array" ref="W506">XLOOKUP(R506,'Dados Funil'!$A:$A,'Dados Funil'!$L:$L,"")</f>
        <v/>
      </c>
      <c r="X506" s="4"/>
      <c r="Y506" s="4"/>
      <c r="Z506" s="7" t="str">
        <f t="shared" si="5"/>
        <v/>
      </c>
      <c r="AA506" s="4" t="str">
        <f t="shared" si="13"/>
        <v/>
      </c>
      <c r="AB506" s="4" t="str">
        <f t="array" ref="AB506">XLOOKUP(X506,'Dados Funil'!A:A,'Dados Funil'!O:O,"")</f>
        <v/>
      </c>
      <c r="AE506" s="7" t="str">
        <f t="shared" si="6"/>
        <v/>
      </c>
      <c r="AG506" s="4" t="str">
        <f t="array" ref="AG506">XLOOKUP(AC506,'Dados Funil'!A:A,'Dados Funil'!AM:AM,"")</f>
        <v/>
      </c>
      <c r="AH506" s="4" t="str">
        <f t="array" ref="AH506">XLOOKUP(AC506,'Dados Funil'!A:A,'Dados Funil'!AN:AN,"")</f>
        <v/>
      </c>
    </row>
    <row r="507">
      <c r="A507" s="4"/>
      <c r="B507" s="4"/>
      <c r="C507" s="7" t="str">
        <f t="shared" si="1"/>
        <v/>
      </c>
      <c r="D507" s="4" t="str">
        <f t="shared" si="9"/>
        <v/>
      </c>
      <c r="E507" s="4" t="str">
        <f t="array" ref="E507">XLOOKUP(A507,'Dados Funil'!$A:$A,'Dados Funil'!$K:$K,"")</f>
        <v/>
      </c>
      <c r="F507" s="4" t="str">
        <f t="array" ref="F507">XLOOKUP(A507,'Dados Funil'!$A:$A,'Dados Funil'!$L:$L,"")</f>
        <v/>
      </c>
      <c r="G507" s="4"/>
      <c r="H507" s="4"/>
      <c r="I507" s="7" t="str">
        <f t="shared" si="2"/>
        <v/>
      </c>
      <c r="J507" s="4" t="str">
        <f t="shared" si="10"/>
        <v/>
      </c>
      <c r="K507" s="4" t="str">
        <f t="array" ref="K507">XLOOKUP(G507,'Dados Funil'!A:A,'Dados Funil'!O:O,"")</f>
        <v/>
      </c>
      <c r="L507" s="4"/>
      <c r="M507" s="4"/>
      <c r="N507" s="7" t="str">
        <f t="shared" si="3"/>
        <v/>
      </c>
      <c r="O507" s="4" t="str">
        <f t="shared" si="11"/>
        <v/>
      </c>
      <c r="P507" s="4" t="str">
        <f t="array" ref="P507">XLOOKUP(L507,'Dados Funil'!A:A,'Dados Funil'!AM:AM,"")</f>
        <v/>
      </c>
      <c r="Q507" s="4" t="str">
        <f t="array" ref="Q507">XLOOKUP(L507,'Dados Funil'!A:A,'Dados Funil'!AN:AN,"")</f>
        <v/>
      </c>
      <c r="T507" s="7" t="str">
        <f t="shared" si="4"/>
        <v/>
      </c>
      <c r="U507" s="4" t="str">
        <f t="shared" si="12"/>
        <v/>
      </c>
      <c r="V507" s="4" t="str">
        <f t="array" ref="V507">XLOOKUP(R507,'Dados Funil'!$A:$A,'Dados Funil'!$K:$K,"")</f>
        <v/>
      </c>
      <c r="W507" s="4" t="str">
        <f t="array" ref="W507">XLOOKUP(R507,'Dados Funil'!$A:$A,'Dados Funil'!$L:$L,"")</f>
        <v/>
      </c>
      <c r="X507" s="4"/>
      <c r="Y507" s="4"/>
      <c r="Z507" s="7" t="str">
        <f t="shared" si="5"/>
        <v/>
      </c>
      <c r="AA507" s="4" t="str">
        <f t="shared" si="13"/>
        <v/>
      </c>
      <c r="AB507" s="4" t="str">
        <f t="array" ref="AB507">XLOOKUP(X507,'Dados Funil'!A:A,'Dados Funil'!O:O,"")</f>
        <v/>
      </c>
      <c r="AE507" s="7" t="str">
        <f t="shared" si="6"/>
        <v/>
      </c>
      <c r="AG507" s="4" t="str">
        <f t="array" ref="AG507">XLOOKUP(AC507,'Dados Funil'!A:A,'Dados Funil'!AM:AM,"")</f>
        <v/>
      </c>
      <c r="AH507" s="4" t="str">
        <f t="array" ref="AH507">XLOOKUP(AC507,'Dados Funil'!A:A,'Dados Funil'!AN:AN,"")</f>
        <v/>
      </c>
    </row>
    <row r="508">
      <c r="A508" s="4"/>
      <c r="B508" s="4"/>
      <c r="C508" s="7" t="str">
        <f t="shared" si="1"/>
        <v/>
      </c>
      <c r="D508" s="4" t="str">
        <f t="shared" si="9"/>
        <v/>
      </c>
      <c r="E508" s="4" t="str">
        <f t="array" ref="E508">XLOOKUP(A508,'Dados Funil'!$A:$A,'Dados Funil'!$K:$K,"")</f>
        <v/>
      </c>
      <c r="F508" s="4" t="str">
        <f t="array" ref="F508">XLOOKUP(A508,'Dados Funil'!$A:$A,'Dados Funil'!$L:$L,"")</f>
        <v/>
      </c>
      <c r="G508" s="4"/>
      <c r="H508" s="4"/>
      <c r="I508" s="7" t="str">
        <f t="shared" si="2"/>
        <v/>
      </c>
      <c r="J508" s="4" t="str">
        <f t="shared" si="10"/>
        <v/>
      </c>
      <c r="K508" s="4" t="str">
        <f t="array" ref="K508">XLOOKUP(G508,'Dados Funil'!A:A,'Dados Funil'!O:O,"")</f>
        <v/>
      </c>
      <c r="L508" s="4"/>
      <c r="M508" s="4"/>
      <c r="N508" s="7" t="str">
        <f t="shared" si="3"/>
        <v/>
      </c>
      <c r="O508" s="4" t="str">
        <f t="shared" si="11"/>
        <v/>
      </c>
      <c r="P508" s="4" t="str">
        <f t="array" ref="P508">XLOOKUP(L508,'Dados Funil'!A:A,'Dados Funil'!AM:AM,"")</f>
        <v/>
      </c>
      <c r="Q508" s="4" t="str">
        <f t="array" ref="Q508">XLOOKUP(L508,'Dados Funil'!A:A,'Dados Funil'!AN:AN,"")</f>
        <v/>
      </c>
      <c r="T508" s="7" t="str">
        <f t="shared" si="4"/>
        <v/>
      </c>
      <c r="U508" s="4" t="str">
        <f t="shared" si="12"/>
        <v/>
      </c>
      <c r="V508" s="4" t="str">
        <f t="array" ref="V508">XLOOKUP(R508,'Dados Funil'!$A:$A,'Dados Funil'!$K:$K,"")</f>
        <v/>
      </c>
      <c r="W508" s="4" t="str">
        <f t="array" ref="W508">XLOOKUP(R508,'Dados Funil'!$A:$A,'Dados Funil'!$L:$L,"")</f>
        <v/>
      </c>
      <c r="X508" s="4"/>
      <c r="Y508" s="4"/>
      <c r="Z508" s="7" t="str">
        <f t="shared" si="5"/>
        <v/>
      </c>
      <c r="AA508" s="4" t="str">
        <f t="shared" si="13"/>
        <v/>
      </c>
      <c r="AB508" s="4" t="str">
        <f t="array" ref="AB508">XLOOKUP(X508,'Dados Funil'!A:A,'Dados Funil'!O:O,"")</f>
        <v/>
      </c>
      <c r="AE508" s="7" t="str">
        <f t="shared" si="6"/>
        <v/>
      </c>
      <c r="AG508" s="4" t="str">
        <f t="array" ref="AG508">XLOOKUP(AC508,'Dados Funil'!A:A,'Dados Funil'!AM:AM,"")</f>
        <v/>
      </c>
      <c r="AH508" s="4" t="str">
        <f t="array" ref="AH508">XLOOKUP(AC508,'Dados Funil'!A:A,'Dados Funil'!AN:AN,"")</f>
        <v/>
      </c>
    </row>
    <row r="509">
      <c r="A509" s="4"/>
      <c r="B509" s="4"/>
      <c r="C509" s="7" t="str">
        <f t="shared" si="1"/>
        <v/>
      </c>
      <c r="D509" s="4" t="str">
        <f t="shared" si="9"/>
        <v/>
      </c>
      <c r="E509" s="4" t="str">
        <f t="array" ref="E509">XLOOKUP(A509,'Dados Funil'!$A:$A,'Dados Funil'!$K:$K,"")</f>
        <v/>
      </c>
      <c r="F509" s="4" t="str">
        <f t="array" ref="F509">XLOOKUP(A509,'Dados Funil'!$A:$A,'Dados Funil'!$L:$L,"")</f>
        <v/>
      </c>
      <c r="G509" s="4"/>
      <c r="H509" s="4"/>
      <c r="I509" s="7" t="str">
        <f t="shared" si="2"/>
        <v/>
      </c>
      <c r="J509" s="4" t="str">
        <f t="shared" si="10"/>
        <v/>
      </c>
      <c r="K509" s="4" t="str">
        <f t="array" ref="K509">XLOOKUP(G509,'Dados Funil'!A:A,'Dados Funil'!O:O,"")</f>
        <v/>
      </c>
      <c r="L509" s="4"/>
      <c r="M509" s="4"/>
      <c r="N509" s="7" t="str">
        <f t="shared" si="3"/>
        <v/>
      </c>
      <c r="O509" s="4" t="str">
        <f t="shared" si="11"/>
        <v/>
      </c>
      <c r="P509" s="4" t="str">
        <f t="array" ref="P509">XLOOKUP(L509,'Dados Funil'!A:A,'Dados Funil'!AM:AM,"")</f>
        <v/>
      </c>
      <c r="Q509" s="4" t="str">
        <f t="array" ref="Q509">XLOOKUP(L509,'Dados Funil'!A:A,'Dados Funil'!AN:AN,"")</f>
        <v/>
      </c>
      <c r="T509" s="7" t="str">
        <f t="shared" si="4"/>
        <v/>
      </c>
      <c r="U509" s="4" t="str">
        <f t="shared" si="12"/>
        <v/>
      </c>
      <c r="V509" s="4" t="str">
        <f t="array" ref="V509">XLOOKUP(R509,'Dados Funil'!$A:$A,'Dados Funil'!$K:$K,"")</f>
        <v/>
      </c>
      <c r="W509" s="4" t="str">
        <f t="array" ref="W509">XLOOKUP(R509,'Dados Funil'!$A:$A,'Dados Funil'!$L:$L,"")</f>
        <v/>
      </c>
      <c r="X509" s="4"/>
      <c r="Y509" s="4"/>
      <c r="Z509" s="7" t="str">
        <f t="shared" si="5"/>
        <v/>
      </c>
      <c r="AA509" s="4" t="str">
        <f t="shared" si="13"/>
        <v/>
      </c>
      <c r="AB509" s="4" t="str">
        <f t="array" ref="AB509">XLOOKUP(X509,'Dados Funil'!A:A,'Dados Funil'!O:O,"")</f>
        <v/>
      </c>
      <c r="AE509" s="7" t="str">
        <f t="shared" si="6"/>
        <v/>
      </c>
      <c r="AG509" s="4" t="str">
        <f t="array" ref="AG509">XLOOKUP(AC509,'Dados Funil'!A:A,'Dados Funil'!AM:AM,"")</f>
        <v/>
      </c>
      <c r="AH509" s="4" t="str">
        <f t="array" ref="AH509">XLOOKUP(AC509,'Dados Funil'!A:A,'Dados Funil'!AN:AN,"")</f>
        <v/>
      </c>
    </row>
    <row r="510">
      <c r="A510" s="4"/>
      <c r="B510" s="4"/>
      <c r="C510" s="7" t="str">
        <f t="shared" si="1"/>
        <v/>
      </c>
      <c r="D510" s="4" t="str">
        <f t="shared" si="9"/>
        <v/>
      </c>
      <c r="E510" s="4" t="str">
        <f t="array" ref="E510">XLOOKUP(A510,'Dados Funil'!$A:$A,'Dados Funil'!$K:$K,"")</f>
        <v/>
      </c>
      <c r="F510" s="4" t="str">
        <f t="array" ref="F510">XLOOKUP(A510,'Dados Funil'!$A:$A,'Dados Funil'!$L:$L,"")</f>
        <v/>
      </c>
      <c r="G510" s="4"/>
      <c r="H510" s="4"/>
      <c r="I510" s="7" t="str">
        <f t="shared" si="2"/>
        <v/>
      </c>
      <c r="J510" s="4" t="str">
        <f t="shared" si="10"/>
        <v/>
      </c>
      <c r="K510" s="4" t="str">
        <f t="array" ref="K510">XLOOKUP(G510,'Dados Funil'!A:A,'Dados Funil'!O:O,"")</f>
        <v/>
      </c>
      <c r="L510" s="4"/>
      <c r="M510" s="4"/>
      <c r="N510" s="7" t="str">
        <f t="shared" si="3"/>
        <v/>
      </c>
      <c r="O510" s="4" t="str">
        <f t="shared" si="11"/>
        <v/>
      </c>
      <c r="P510" s="4" t="str">
        <f t="array" ref="P510">XLOOKUP(L510,'Dados Funil'!A:A,'Dados Funil'!AM:AM,"")</f>
        <v/>
      </c>
      <c r="Q510" s="4" t="str">
        <f t="array" ref="Q510">XLOOKUP(L510,'Dados Funil'!A:A,'Dados Funil'!AN:AN,"")</f>
        <v/>
      </c>
      <c r="T510" s="7" t="str">
        <f t="shared" si="4"/>
        <v/>
      </c>
      <c r="U510" s="4" t="str">
        <f t="shared" si="12"/>
        <v/>
      </c>
      <c r="V510" s="4" t="str">
        <f t="array" ref="V510">XLOOKUP(R510,'Dados Funil'!$A:$A,'Dados Funil'!$K:$K,"")</f>
        <v/>
      </c>
      <c r="W510" s="4" t="str">
        <f t="array" ref="W510">XLOOKUP(R510,'Dados Funil'!$A:$A,'Dados Funil'!$L:$L,"")</f>
        <v/>
      </c>
      <c r="X510" s="4"/>
      <c r="Y510" s="4"/>
      <c r="Z510" s="7" t="str">
        <f t="shared" si="5"/>
        <v/>
      </c>
      <c r="AA510" s="4" t="str">
        <f t="shared" si="13"/>
        <v/>
      </c>
      <c r="AB510" s="4" t="str">
        <f t="array" ref="AB510">XLOOKUP(X510,'Dados Funil'!A:A,'Dados Funil'!O:O,"")</f>
        <v/>
      </c>
      <c r="AE510" s="7" t="str">
        <f t="shared" si="6"/>
        <v/>
      </c>
      <c r="AG510" s="4" t="str">
        <f t="array" ref="AG510">XLOOKUP(AC510,'Dados Funil'!A:A,'Dados Funil'!AM:AM,"")</f>
        <v/>
      </c>
      <c r="AH510" s="4" t="str">
        <f t="array" ref="AH510">XLOOKUP(AC510,'Dados Funil'!A:A,'Dados Funil'!AN:AN,"")</f>
        <v/>
      </c>
    </row>
    <row r="511">
      <c r="A511" s="4"/>
      <c r="B511" s="4"/>
      <c r="C511" s="7" t="str">
        <f t="shared" si="1"/>
        <v/>
      </c>
      <c r="D511" s="4" t="str">
        <f t="shared" si="9"/>
        <v/>
      </c>
      <c r="E511" s="4" t="str">
        <f t="array" ref="E511">XLOOKUP(A511,'Dados Funil'!$A:$A,'Dados Funil'!$K:$K,"")</f>
        <v/>
      </c>
      <c r="F511" s="4" t="str">
        <f t="array" ref="F511">XLOOKUP(A511,'Dados Funil'!$A:$A,'Dados Funil'!$L:$L,"")</f>
        <v/>
      </c>
      <c r="G511" s="4"/>
      <c r="H511" s="4"/>
      <c r="I511" s="7" t="str">
        <f t="shared" si="2"/>
        <v/>
      </c>
      <c r="J511" s="4" t="str">
        <f t="shared" si="10"/>
        <v/>
      </c>
      <c r="K511" s="4" t="str">
        <f t="array" ref="K511">XLOOKUP(G511,'Dados Funil'!A:A,'Dados Funil'!O:O,"")</f>
        <v/>
      </c>
      <c r="L511" s="4"/>
      <c r="M511" s="4"/>
      <c r="N511" s="7" t="str">
        <f t="shared" si="3"/>
        <v/>
      </c>
      <c r="O511" s="4" t="str">
        <f t="shared" si="11"/>
        <v/>
      </c>
      <c r="P511" s="4" t="str">
        <f t="array" ref="P511">XLOOKUP(L511,'Dados Funil'!A:A,'Dados Funil'!AM:AM,"")</f>
        <v/>
      </c>
      <c r="Q511" s="4" t="str">
        <f t="array" ref="Q511">XLOOKUP(L511,'Dados Funil'!A:A,'Dados Funil'!AN:AN,"")</f>
        <v/>
      </c>
      <c r="T511" s="7" t="str">
        <f t="shared" si="4"/>
        <v/>
      </c>
      <c r="U511" s="4" t="str">
        <f t="shared" si="12"/>
        <v/>
      </c>
      <c r="V511" s="4" t="str">
        <f t="array" ref="V511">XLOOKUP(R511,'Dados Funil'!$A:$A,'Dados Funil'!$K:$K,"")</f>
        <v/>
      </c>
      <c r="W511" s="4" t="str">
        <f t="array" ref="W511">XLOOKUP(R511,'Dados Funil'!$A:$A,'Dados Funil'!$L:$L,"")</f>
        <v/>
      </c>
      <c r="X511" s="4"/>
      <c r="Y511" s="4"/>
      <c r="Z511" s="7" t="str">
        <f t="shared" si="5"/>
        <v/>
      </c>
      <c r="AA511" s="4" t="str">
        <f t="shared" si="13"/>
        <v/>
      </c>
      <c r="AB511" s="4" t="str">
        <f t="array" ref="AB511">XLOOKUP(X511,'Dados Funil'!A:A,'Dados Funil'!O:O,"")</f>
        <v/>
      </c>
      <c r="AE511" s="7" t="str">
        <f t="shared" si="6"/>
        <v/>
      </c>
      <c r="AG511" s="4" t="str">
        <f t="array" ref="AG511">XLOOKUP(AC511,'Dados Funil'!A:A,'Dados Funil'!AM:AM,"")</f>
        <v/>
      </c>
      <c r="AH511" s="4" t="str">
        <f t="array" ref="AH511">XLOOKUP(AC511,'Dados Funil'!A:A,'Dados Funil'!AN:AN,"")</f>
        <v/>
      </c>
    </row>
    <row r="512">
      <c r="A512" s="4"/>
      <c r="B512" s="4"/>
      <c r="C512" s="7" t="str">
        <f t="shared" si="1"/>
        <v/>
      </c>
      <c r="D512" s="4" t="str">
        <f t="shared" si="9"/>
        <v/>
      </c>
      <c r="E512" s="4" t="str">
        <f t="array" ref="E512">XLOOKUP(A512,'Dados Funil'!$A:$A,'Dados Funil'!$K:$K,"")</f>
        <v/>
      </c>
      <c r="F512" s="4" t="str">
        <f t="array" ref="F512">XLOOKUP(A512,'Dados Funil'!$A:$A,'Dados Funil'!$L:$L,"")</f>
        <v/>
      </c>
      <c r="G512" s="4"/>
      <c r="H512" s="4"/>
      <c r="I512" s="7" t="str">
        <f t="shared" si="2"/>
        <v/>
      </c>
      <c r="J512" s="4" t="str">
        <f t="shared" si="10"/>
        <v/>
      </c>
      <c r="K512" s="4" t="str">
        <f t="array" ref="K512">XLOOKUP(G512,'Dados Funil'!A:A,'Dados Funil'!O:O,"")</f>
        <v/>
      </c>
      <c r="L512" s="4"/>
      <c r="M512" s="4"/>
      <c r="N512" s="7" t="str">
        <f t="shared" si="3"/>
        <v/>
      </c>
      <c r="O512" s="4" t="str">
        <f t="shared" si="11"/>
        <v/>
      </c>
      <c r="P512" s="4" t="str">
        <f t="array" ref="P512">XLOOKUP(L512,'Dados Funil'!A:A,'Dados Funil'!AM:AM,"")</f>
        <v/>
      </c>
      <c r="Q512" s="4" t="str">
        <f t="array" ref="Q512">XLOOKUP(L512,'Dados Funil'!A:A,'Dados Funil'!AN:AN,"")</f>
        <v/>
      </c>
      <c r="T512" s="7" t="str">
        <f t="shared" si="4"/>
        <v/>
      </c>
      <c r="U512" s="4" t="str">
        <f t="shared" si="12"/>
        <v/>
      </c>
      <c r="V512" s="4" t="str">
        <f t="array" ref="V512">XLOOKUP(R512,'Dados Funil'!$A:$A,'Dados Funil'!$K:$K,"")</f>
        <v/>
      </c>
      <c r="W512" s="4" t="str">
        <f t="array" ref="W512">XLOOKUP(R512,'Dados Funil'!$A:$A,'Dados Funil'!$L:$L,"")</f>
        <v/>
      </c>
      <c r="X512" s="4"/>
      <c r="Y512" s="4"/>
      <c r="Z512" s="7" t="str">
        <f t="shared" si="5"/>
        <v/>
      </c>
      <c r="AA512" s="4" t="str">
        <f t="shared" si="13"/>
        <v/>
      </c>
      <c r="AB512" s="4" t="str">
        <f t="array" ref="AB512">XLOOKUP(X512,'Dados Funil'!A:A,'Dados Funil'!O:O,"")</f>
        <v/>
      </c>
      <c r="AE512" s="7" t="str">
        <f t="shared" si="6"/>
        <v/>
      </c>
      <c r="AG512" s="4" t="str">
        <f t="array" ref="AG512">XLOOKUP(AC512,'Dados Funil'!A:A,'Dados Funil'!AM:AM,"")</f>
        <v/>
      </c>
      <c r="AH512" s="4" t="str">
        <f t="array" ref="AH512">XLOOKUP(AC512,'Dados Funil'!A:A,'Dados Funil'!AN:AN,"")</f>
        <v/>
      </c>
    </row>
    <row r="513">
      <c r="A513" s="4"/>
      <c r="B513" s="4"/>
      <c r="C513" s="7" t="str">
        <f t="shared" si="1"/>
        <v/>
      </c>
      <c r="D513" s="4" t="str">
        <f t="shared" si="9"/>
        <v/>
      </c>
      <c r="E513" s="4" t="str">
        <f t="array" ref="E513">XLOOKUP(A513,'Dados Funil'!$A:$A,'Dados Funil'!$K:$K,"")</f>
        <v/>
      </c>
      <c r="F513" s="4" t="str">
        <f t="array" ref="F513">XLOOKUP(A513,'Dados Funil'!$A:$A,'Dados Funil'!$L:$L,"")</f>
        <v/>
      </c>
      <c r="G513" s="4"/>
      <c r="H513" s="4"/>
      <c r="I513" s="7" t="str">
        <f t="shared" si="2"/>
        <v/>
      </c>
      <c r="J513" s="4" t="str">
        <f t="shared" si="10"/>
        <v/>
      </c>
      <c r="K513" s="4" t="str">
        <f t="array" ref="K513">XLOOKUP(G513,'Dados Funil'!A:A,'Dados Funil'!O:O,"")</f>
        <v/>
      </c>
      <c r="L513" s="4"/>
      <c r="M513" s="4"/>
      <c r="N513" s="7" t="str">
        <f t="shared" si="3"/>
        <v/>
      </c>
      <c r="O513" s="4" t="str">
        <f t="shared" si="11"/>
        <v/>
      </c>
      <c r="P513" s="4" t="str">
        <f t="array" ref="P513">XLOOKUP(L513,'Dados Funil'!A:A,'Dados Funil'!AM:AM,"")</f>
        <v/>
      </c>
      <c r="Q513" s="4" t="str">
        <f t="array" ref="Q513">XLOOKUP(L513,'Dados Funil'!A:A,'Dados Funil'!AN:AN,"")</f>
        <v/>
      </c>
      <c r="T513" s="7" t="str">
        <f t="shared" si="4"/>
        <v/>
      </c>
      <c r="U513" s="4" t="str">
        <f t="shared" si="12"/>
        <v/>
      </c>
      <c r="V513" s="4" t="str">
        <f t="array" ref="V513">XLOOKUP(R513,'Dados Funil'!$A:$A,'Dados Funil'!$K:$K,"")</f>
        <v/>
      </c>
      <c r="W513" s="4" t="str">
        <f t="array" ref="W513">XLOOKUP(R513,'Dados Funil'!$A:$A,'Dados Funil'!$L:$L,"")</f>
        <v/>
      </c>
      <c r="X513" s="4"/>
      <c r="Y513" s="4"/>
      <c r="Z513" s="7" t="str">
        <f t="shared" si="5"/>
        <v/>
      </c>
      <c r="AA513" s="4" t="str">
        <f t="shared" si="13"/>
        <v/>
      </c>
      <c r="AB513" s="4" t="str">
        <f t="array" ref="AB513">XLOOKUP(X513,'Dados Funil'!A:A,'Dados Funil'!O:O,"")</f>
        <v/>
      </c>
      <c r="AE513" s="7" t="str">
        <f t="shared" si="6"/>
        <v/>
      </c>
      <c r="AG513" s="4" t="str">
        <f t="array" ref="AG513">XLOOKUP(AC513,'Dados Funil'!A:A,'Dados Funil'!AM:AM,"")</f>
        <v/>
      </c>
      <c r="AH513" s="4" t="str">
        <f t="array" ref="AH513">XLOOKUP(AC513,'Dados Funil'!A:A,'Dados Funil'!AN:AN,"")</f>
        <v/>
      </c>
    </row>
    <row r="514">
      <c r="A514" s="4"/>
      <c r="B514" s="4"/>
      <c r="C514" s="7" t="str">
        <f t="shared" si="1"/>
        <v/>
      </c>
      <c r="D514" s="4" t="str">
        <f t="shared" si="9"/>
        <v/>
      </c>
      <c r="E514" s="4" t="str">
        <f t="array" ref="E514">XLOOKUP(A514,'Dados Funil'!$A:$A,'Dados Funil'!$K:$K,"")</f>
        <v/>
      </c>
      <c r="F514" s="4" t="str">
        <f t="array" ref="F514">XLOOKUP(A514,'Dados Funil'!$A:$A,'Dados Funil'!$L:$L,"")</f>
        <v/>
      </c>
      <c r="G514" s="4"/>
      <c r="H514" s="4"/>
      <c r="I514" s="7" t="str">
        <f t="shared" si="2"/>
        <v/>
      </c>
      <c r="J514" s="4" t="str">
        <f t="shared" si="10"/>
        <v/>
      </c>
      <c r="K514" s="4" t="str">
        <f t="array" ref="K514">XLOOKUP(G514,'Dados Funil'!A:A,'Dados Funil'!O:O,"")</f>
        <v/>
      </c>
      <c r="L514" s="4"/>
      <c r="M514" s="4"/>
      <c r="N514" s="7" t="str">
        <f t="shared" si="3"/>
        <v/>
      </c>
      <c r="O514" s="4" t="str">
        <f t="shared" si="11"/>
        <v/>
      </c>
      <c r="P514" s="4" t="str">
        <f t="array" ref="P514">XLOOKUP(L514,'Dados Funil'!A:A,'Dados Funil'!AM:AM,"")</f>
        <v/>
      </c>
      <c r="Q514" s="4" t="str">
        <f t="array" ref="Q514">XLOOKUP(L514,'Dados Funil'!A:A,'Dados Funil'!AN:AN,"")</f>
        <v/>
      </c>
      <c r="T514" s="7" t="str">
        <f t="shared" si="4"/>
        <v/>
      </c>
      <c r="U514" s="4" t="str">
        <f t="shared" si="12"/>
        <v/>
      </c>
      <c r="V514" s="4" t="str">
        <f t="array" ref="V514">XLOOKUP(R514,'Dados Funil'!$A:$A,'Dados Funil'!$K:$K,"")</f>
        <v/>
      </c>
      <c r="W514" s="4" t="str">
        <f t="array" ref="W514">XLOOKUP(R514,'Dados Funil'!$A:$A,'Dados Funil'!$L:$L,"")</f>
        <v/>
      </c>
      <c r="X514" s="4"/>
      <c r="Y514" s="4"/>
      <c r="Z514" s="7" t="str">
        <f t="shared" si="5"/>
        <v/>
      </c>
      <c r="AA514" s="4" t="str">
        <f t="shared" si="13"/>
        <v/>
      </c>
      <c r="AB514" s="4" t="str">
        <f t="array" ref="AB514">XLOOKUP(X514,'Dados Funil'!A:A,'Dados Funil'!O:O,"")</f>
        <v/>
      </c>
      <c r="AE514" s="7" t="str">
        <f t="shared" si="6"/>
        <v/>
      </c>
      <c r="AG514" s="4" t="str">
        <f t="array" ref="AG514">XLOOKUP(AC514,'Dados Funil'!A:A,'Dados Funil'!AM:AM,"")</f>
        <v/>
      </c>
      <c r="AH514" s="4" t="str">
        <f t="array" ref="AH514">XLOOKUP(AC514,'Dados Funil'!A:A,'Dados Funil'!AN:AN,"")</f>
        <v/>
      </c>
    </row>
    <row r="515">
      <c r="A515" s="4"/>
      <c r="B515" s="4"/>
      <c r="C515" s="7" t="str">
        <f t="shared" si="1"/>
        <v/>
      </c>
      <c r="D515" s="4" t="str">
        <f t="shared" si="9"/>
        <v/>
      </c>
      <c r="E515" s="4" t="str">
        <f t="array" ref="E515">XLOOKUP(A515,'Dados Funil'!$A:$A,'Dados Funil'!$K:$K,"")</f>
        <v/>
      </c>
      <c r="F515" s="4" t="str">
        <f t="array" ref="F515">XLOOKUP(A515,'Dados Funil'!$A:$A,'Dados Funil'!$L:$L,"")</f>
        <v/>
      </c>
      <c r="G515" s="4"/>
      <c r="H515" s="4"/>
      <c r="I515" s="7" t="str">
        <f t="shared" si="2"/>
        <v/>
      </c>
      <c r="J515" s="4" t="str">
        <f t="shared" si="10"/>
        <v/>
      </c>
      <c r="K515" s="4" t="str">
        <f t="array" ref="K515">XLOOKUP(G515,'Dados Funil'!A:A,'Dados Funil'!O:O,"")</f>
        <v/>
      </c>
      <c r="L515" s="4"/>
      <c r="M515" s="4"/>
      <c r="N515" s="7" t="str">
        <f t="shared" si="3"/>
        <v/>
      </c>
      <c r="O515" s="4" t="str">
        <f t="shared" si="11"/>
        <v/>
      </c>
      <c r="P515" s="4" t="str">
        <f t="array" ref="P515">XLOOKUP(L515,'Dados Funil'!A:A,'Dados Funil'!AM:AM,"")</f>
        <v/>
      </c>
      <c r="Q515" s="4" t="str">
        <f t="array" ref="Q515">XLOOKUP(L515,'Dados Funil'!A:A,'Dados Funil'!AN:AN,"")</f>
        <v/>
      </c>
      <c r="T515" s="7" t="str">
        <f t="shared" si="4"/>
        <v/>
      </c>
      <c r="U515" s="4" t="str">
        <f t="shared" si="12"/>
        <v/>
      </c>
      <c r="V515" s="4" t="str">
        <f t="array" ref="V515">XLOOKUP(R515,'Dados Funil'!$A:$A,'Dados Funil'!$K:$K,"")</f>
        <v/>
      </c>
      <c r="W515" s="4" t="str">
        <f t="array" ref="W515">XLOOKUP(R515,'Dados Funil'!$A:$A,'Dados Funil'!$L:$L,"")</f>
        <v/>
      </c>
      <c r="X515" s="4"/>
      <c r="Y515" s="4"/>
      <c r="Z515" s="7" t="str">
        <f t="shared" si="5"/>
        <v/>
      </c>
      <c r="AA515" s="4" t="str">
        <f t="shared" si="13"/>
        <v/>
      </c>
      <c r="AB515" s="4" t="str">
        <f t="array" ref="AB515">XLOOKUP(X515,'Dados Funil'!A:A,'Dados Funil'!O:O,"")</f>
        <v/>
      </c>
      <c r="AE515" s="7" t="str">
        <f t="shared" si="6"/>
        <v/>
      </c>
      <c r="AG515" s="4" t="str">
        <f t="array" ref="AG515">XLOOKUP(AC515,'Dados Funil'!A:A,'Dados Funil'!AM:AM,"")</f>
        <v/>
      </c>
      <c r="AH515" s="4" t="str">
        <f t="array" ref="AH515">XLOOKUP(AC515,'Dados Funil'!A:A,'Dados Funil'!AN:AN,"")</f>
        <v/>
      </c>
    </row>
    <row r="516">
      <c r="A516" s="4"/>
      <c r="B516" s="4"/>
      <c r="C516" s="7" t="str">
        <f t="shared" si="1"/>
        <v/>
      </c>
      <c r="D516" s="4" t="str">
        <f t="shared" si="9"/>
        <v/>
      </c>
      <c r="E516" s="4" t="str">
        <f t="array" ref="E516">XLOOKUP(A516,'Dados Funil'!$A:$A,'Dados Funil'!$K:$K,"")</f>
        <v/>
      </c>
      <c r="F516" s="4" t="str">
        <f t="array" ref="F516">XLOOKUP(A516,'Dados Funil'!$A:$A,'Dados Funil'!$L:$L,"")</f>
        <v/>
      </c>
      <c r="G516" s="4"/>
      <c r="H516" s="4"/>
      <c r="I516" s="7" t="str">
        <f t="shared" si="2"/>
        <v/>
      </c>
      <c r="J516" s="4" t="str">
        <f t="shared" si="10"/>
        <v/>
      </c>
      <c r="K516" s="4" t="str">
        <f t="array" ref="K516">XLOOKUP(G516,'Dados Funil'!A:A,'Dados Funil'!O:O,"")</f>
        <v/>
      </c>
      <c r="L516" s="4"/>
      <c r="M516" s="4"/>
      <c r="N516" s="7" t="str">
        <f t="shared" si="3"/>
        <v/>
      </c>
      <c r="O516" s="4" t="str">
        <f t="shared" si="11"/>
        <v/>
      </c>
      <c r="P516" s="4" t="str">
        <f t="array" ref="P516">XLOOKUP(L516,'Dados Funil'!A:A,'Dados Funil'!AM:AM,"")</f>
        <v/>
      </c>
      <c r="Q516" s="4" t="str">
        <f t="array" ref="Q516">XLOOKUP(L516,'Dados Funil'!A:A,'Dados Funil'!AN:AN,"")</f>
        <v/>
      </c>
      <c r="T516" s="7" t="str">
        <f t="shared" si="4"/>
        <v/>
      </c>
      <c r="U516" s="4" t="str">
        <f t="shared" si="12"/>
        <v/>
      </c>
      <c r="V516" s="4" t="str">
        <f t="array" ref="V516">XLOOKUP(R516,'Dados Funil'!$A:$A,'Dados Funil'!$K:$K,"")</f>
        <v/>
      </c>
      <c r="W516" s="4" t="str">
        <f t="array" ref="W516">XLOOKUP(R516,'Dados Funil'!$A:$A,'Dados Funil'!$L:$L,"")</f>
        <v/>
      </c>
      <c r="X516" s="4"/>
      <c r="Y516" s="4"/>
      <c r="Z516" s="7" t="str">
        <f t="shared" si="5"/>
        <v/>
      </c>
      <c r="AA516" s="4" t="str">
        <f t="shared" si="13"/>
        <v/>
      </c>
      <c r="AB516" s="4" t="str">
        <f t="array" ref="AB516">XLOOKUP(X516,'Dados Funil'!A:A,'Dados Funil'!O:O,"")</f>
        <v/>
      </c>
      <c r="AE516" s="7" t="str">
        <f t="shared" si="6"/>
        <v/>
      </c>
      <c r="AG516" s="4" t="str">
        <f t="array" ref="AG516">XLOOKUP(AC516,'Dados Funil'!A:A,'Dados Funil'!AM:AM,"")</f>
        <v/>
      </c>
      <c r="AH516" s="4" t="str">
        <f t="array" ref="AH516">XLOOKUP(AC516,'Dados Funil'!A:A,'Dados Funil'!AN:AN,"")</f>
        <v/>
      </c>
    </row>
    <row r="517">
      <c r="A517" s="4"/>
      <c r="B517" s="4"/>
      <c r="C517" s="7" t="str">
        <f t="shared" si="1"/>
        <v/>
      </c>
      <c r="D517" s="4" t="str">
        <f t="shared" si="9"/>
        <v/>
      </c>
      <c r="E517" s="4" t="str">
        <f t="array" ref="E517">XLOOKUP(A517,'Dados Funil'!$A:$A,'Dados Funil'!$K:$K,"")</f>
        <v/>
      </c>
      <c r="F517" s="4" t="str">
        <f t="array" ref="F517">XLOOKUP(A517,'Dados Funil'!$A:$A,'Dados Funil'!$L:$L,"")</f>
        <v/>
      </c>
      <c r="G517" s="4"/>
      <c r="H517" s="4"/>
      <c r="I517" s="7" t="str">
        <f t="shared" si="2"/>
        <v/>
      </c>
      <c r="J517" s="4" t="str">
        <f t="shared" si="10"/>
        <v/>
      </c>
      <c r="K517" s="4" t="str">
        <f t="array" ref="K517">XLOOKUP(G517,'Dados Funil'!A:A,'Dados Funil'!O:O,"")</f>
        <v/>
      </c>
      <c r="L517" s="4"/>
      <c r="M517" s="4"/>
      <c r="N517" s="7" t="str">
        <f t="shared" si="3"/>
        <v/>
      </c>
      <c r="O517" s="4" t="str">
        <f t="shared" si="11"/>
        <v/>
      </c>
      <c r="P517" s="4" t="str">
        <f t="array" ref="P517">XLOOKUP(L517,'Dados Funil'!A:A,'Dados Funil'!AM:AM,"")</f>
        <v/>
      </c>
      <c r="Q517" s="4" t="str">
        <f t="array" ref="Q517">XLOOKUP(L517,'Dados Funil'!A:A,'Dados Funil'!AN:AN,"")</f>
        <v/>
      </c>
      <c r="T517" s="7" t="str">
        <f t="shared" si="4"/>
        <v/>
      </c>
      <c r="U517" s="4" t="str">
        <f t="shared" si="12"/>
        <v/>
      </c>
      <c r="V517" s="4" t="str">
        <f t="array" ref="V517">XLOOKUP(R517,'Dados Funil'!$A:$A,'Dados Funil'!$K:$K,"")</f>
        <v/>
      </c>
      <c r="W517" s="4" t="str">
        <f t="array" ref="W517">XLOOKUP(R517,'Dados Funil'!$A:$A,'Dados Funil'!$L:$L,"")</f>
        <v/>
      </c>
      <c r="X517" s="4"/>
      <c r="Y517" s="4"/>
      <c r="Z517" s="7" t="str">
        <f t="shared" si="5"/>
        <v/>
      </c>
      <c r="AA517" s="4" t="str">
        <f t="shared" si="13"/>
        <v/>
      </c>
      <c r="AB517" s="4" t="str">
        <f t="array" ref="AB517">XLOOKUP(X517,'Dados Funil'!A:A,'Dados Funil'!O:O,"")</f>
        <v/>
      </c>
      <c r="AE517" s="7" t="str">
        <f t="shared" si="6"/>
        <v/>
      </c>
      <c r="AG517" s="4" t="str">
        <f t="array" ref="AG517">XLOOKUP(AC517,'Dados Funil'!A:A,'Dados Funil'!AM:AM,"")</f>
        <v/>
      </c>
      <c r="AH517" s="4" t="str">
        <f t="array" ref="AH517">XLOOKUP(AC517,'Dados Funil'!A:A,'Dados Funil'!AN:AN,"")</f>
        <v/>
      </c>
    </row>
    <row r="518">
      <c r="A518" s="4"/>
      <c r="B518" s="4"/>
      <c r="C518" s="7" t="str">
        <f t="shared" si="1"/>
        <v/>
      </c>
      <c r="D518" s="4" t="str">
        <f t="shared" si="9"/>
        <v/>
      </c>
      <c r="E518" s="4" t="str">
        <f t="array" ref="E518">XLOOKUP(A518,'Dados Funil'!$A:$A,'Dados Funil'!$K:$K,"")</f>
        <v/>
      </c>
      <c r="F518" s="4" t="str">
        <f t="array" ref="F518">XLOOKUP(A518,'Dados Funil'!$A:$A,'Dados Funil'!$L:$L,"")</f>
        <v/>
      </c>
      <c r="G518" s="4"/>
      <c r="H518" s="4"/>
      <c r="I518" s="7" t="str">
        <f t="shared" si="2"/>
        <v/>
      </c>
      <c r="J518" s="4" t="str">
        <f t="shared" si="10"/>
        <v/>
      </c>
      <c r="K518" s="4" t="str">
        <f t="array" ref="K518">XLOOKUP(G518,'Dados Funil'!A:A,'Dados Funil'!O:O,"")</f>
        <v/>
      </c>
      <c r="L518" s="4"/>
      <c r="M518" s="4"/>
      <c r="N518" s="7" t="str">
        <f t="shared" si="3"/>
        <v/>
      </c>
      <c r="O518" s="4" t="str">
        <f t="shared" si="11"/>
        <v/>
      </c>
      <c r="P518" s="4" t="str">
        <f t="array" ref="P518">XLOOKUP(L518,'Dados Funil'!A:A,'Dados Funil'!AM:AM,"")</f>
        <v/>
      </c>
      <c r="Q518" s="4" t="str">
        <f t="array" ref="Q518">XLOOKUP(L518,'Dados Funil'!A:A,'Dados Funil'!AN:AN,"")</f>
        <v/>
      </c>
      <c r="T518" s="7" t="str">
        <f t="shared" si="4"/>
        <v/>
      </c>
      <c r="U518" s="4" t="str">
        <f t="shared" si="12"/>
        <v/>
      </c>
      <c r="V518" s="4" t="str">
        <f t="array" ref="V518">XLOOKUP(R518,'Dados Funil'!$A:$A,'Dados Funil'!$K:$K,"")</f>
        <v/>
      </c>
      <c r="W518" s="4" t="str">
        <f t="array" ref="W518">XLOOKUP(R518,'Dados Funil'!$A:$A,'Dados Funil'!$L:$L,"")</f>
        <v/>
      </c>
      <c r="X518" s="4"/>
      <c r="Y518" s="4"/>
      <c r="Z518" s="7" t="str">
        <f t="shared" si="5"/>
        <v/>
      </c>
      <c r="AA518" s="4" t="str">
        <f t="shared" si="13"/>
        <v/>
      </c>
      <c r="AB518" s="4" t="str">
        <f t="array" ref="AB518">XLOOKUP(X518,'Dados Funil'!A:A,'Dados Funil'!O:O,"")</f>
        <v/>
      </c>
      <c r="AE518" s="7" t="str">
        <f t="shared" si="6"/>
        <v/>
      </c>
      <c r="AG518" s="4" t="str">
        <f t="array" ref="AG518">XLOOKUP(AC518,'Dados Funil'!A:A,'Dados Funil'!AM:AM,"")</f>
        <v/>
      </c>
      <c r="AH518" s="4" t="str">
        <f t="array" ref="AH518">XLOOKUP(AC518,'Dados Funil'!A:A,'Dados Funil'!AN:AN,"")</f>
        <v/>
      </c>
    </row>
    <row r="519">
      <c r="A519" s="4"/>
      <c r="B519" s="4"/>
      <c r="C519" s="7" t="str">
        <f t="shared" si="1"/>
        <v/>
      </c>
      <c r="D519" s="4" t="str">
        <f t="shared" si="9"/>
        <v/>
      </c>
      <c r="E519" s="4" t="str">
        <f t="array" ref="E519">XLOOKUP(A519,'Dados Funil'!$A:$A,'Dados Funil'!$K:$K,"")</f>
        <v/>
      </c>
      <c r="F519" s="4" t="str">
        <f t="array" ref="F519">XLOOKUP(A519,'Dados Funil'!$A:$A,'Dados Funil'!$L:$L,"")</f>
        <v/>
      </c>
      <c r="G519" s="4"/>
      <c r="H519" s="4"/>
      <c r="I519" s="7" t="str">
        <f t="shared" si="2"/>
        <v/>
      </c>
      <c r="J519" s="4" t="str">
        <f t="shared" si="10"/>
        <v/>
      </c>
      <c r="K519" s="4" t="str">
        <f t="array" ref="K519">XLOOKUP(G519,'Dados Funil'!A:A,'Dados Funil'!O:O,"")</f>
        <v/>
      </c>
      <c r="L519" s="4"/>
      <c r="M519" s="4"/>
      <c r="N519" s="7" t="str">
        <f t="shared" si="3"/>
        <v/>
      </c>
      <c r="O519" s="4" t="str">
        <f t="shared" si="11"/>
        <v/>
      </c>
      <c r="P519" s="4" t="str">
        <f t="array" ref="P519">XLOOKUP(L519,'Dados Funil'!A:A,'Dados Funil'!AM:AM,"")</f>
        <v/>
      </c>
      <c r="Q519" s="4" t="str">
        <f t="array" ref="Q519">XLOOKUP(L519,'Dados Funil'!A:A,'Dados Funil'!AN:AN,"")</f>
        <v/>
      </c>
      <c r="T519" s="7" t="str">
        <f t="shared" si="4"/>
        <v/>
      </c>
      <c r="U519" s="4" t="str">
        <f t="shared" si="12"/>
        <v/>
      </c>
      <c r="V519" s="4" t="str">
        <f t="array" ref="V519">XLOOKUP(R519,'Dados Funil'!$A:$A,'Dados Funil'!$K:$K,"")</f>
        <v/>
      </c>
      <c r="W519" s="4" t="str">
        <f t="array" ref="W519">XLOOKUP(R519,'Dados Funil'!$A:$A,'Dados Funil'!$L:$L,"")</f>
        <v/>
      </c>
      <c r="X519" s="4"/>
      <c r="Y519" s="4"/>
      <c r="Z519" s="7" t="str">
        <f t="shared" si="5"/>
        <v/>
      </c>
      <c r="AA519" s="4" t="str">
        <f t="shared" si="13"/>
        <v/>
      </c>
      <c r="AB519" s="4" t="str">
        <f t="array" ref="AB519">XLOOKUP(X519,'Dados Funil'!A:A,'Dados Funil'!O:O,"")</f>
        <v/>
      </c>
      <c r="AE519" s="7" t="str">
        <f t="shared" si="6"/>
        <v/>
      </c>
      <c r="AG519" s="4" t="str">
        <f t="array" ref="AG519">XLOOKUP(AC519,'Dados Funil'!A:A,'Dados Funil'!AM:AM,"")</f>
        <v/>
      </c>
      <c r="AH519" s="4" t="str">
        <f t="array" ref="AH519">XLOOKUP(AC519,'Dados Funil'!A:A,'Dados Funil'!AN:AN,"")</f>
        <v/>
      </c>
    </row>
    <row r="520">
      <c r="A520" s="4"/>
      <c r="B520" s="4"/>
      <c r="C520" s="7" t="str">
        <f t="shared" si="1"/>
        <v/>
      </c>
      <c r="D520" s="4" t="str">
        <f t="shared" si="9"/>
        <v/>
      </c>
      <c r="E520" s="4" t="str">
        <f t="array" ref="E520">XLOOKUP(A520,'Dados Funil'!$A:$A,'Dados Funil'!$K:$K,"")</f>
        <v/>
      </c>
      <c r="F520" s="4" t="str">
        <f t="array" ref="F520">XLOOKUP(A520,'Dados Funil'!$A:$A,'Dados Funil'!$L:$L,"")</f>
        <v/>
      </c>
      <c r="G520" s="4"/>
      <c r="H520" s="4"/>
      <c r="I520" s="7" t="str">
        <f t="shared" si="2"/>
        <v/>
      </c>
      <c r="J520" s="4" t="str">
        <f t="shared" si="10"/>
        <v/>
      </c>
      <c r="K520" s="4" t="str">
        <f t="array" ref="K520">XLOOKUP(G520,'Dados Funil'!A:A,'Dados Funil'!O:O,"")</f>
        <v/>
      </c>
      <c r="L520" s="4"/>
      <c r="M520" s="4"/>
      <c r="N520" s="7" t="str">
        <f t="shared" si="3"/>
        <v/>
      </c>
      <c r="O520" s="4" t="str">
        <f t="shared" si="11"/>
        <v/>
      </c>
      <c r="P520" s="4" t="str">
        <f t="array" ref="P520">XLOOKUP(L520,'Dados Funil'!A:A,'Dados Funil'!AM:AM,"")</f>
        <v/>
      </c>
      <c r="Q520" s="4" t="str">
        <f t="array" ref="Q520">XLOOKUP(L520,'Dados Funil'!A:A,'Dados Funil'!AN:AN,"")</f>
        <v/>
      </c>
      <c r="T520" s="7" t="str">
        <f t="shared" si="4"/>
        <v/>
      </c>
      <c r="U520" s="4" t="str">
        <f t="shared" si="12"/>
        <v/>
      </c>
      <c r="V520" s="4" t="str">
        <f t="array" ref="V520">XLOOKUP(R520,'Dados Funil'!$A:$A,'Dados Funil'!$K:$K,"")</f>
        <v/>
      </c>
      <c r="W520" s="4" t="str">
        <f t="array" ref="W520">XLOOKUP(R520,'Dados Funil'!$A:$A,'Dados Funil'!$L:$L,"")</f>
        <v/>
      </c>
      <c r="X520" s="4"/>
      <c r="Y520" s="4"/>
      <c r="Z520" s="7" t="str">
        <f t="shared" si="5"/>
        <v/>
      </c>
      <c r="AA520" s="4" t="str">
        <f t="shared" si="13"/>
        <v/>
      </c>
      <c r="AB520" s="4" t="str">
        <f t="array" ref="AB520">XLOOKUP(X520,'Dados Funil'!A:A,'Dados Funil'!O:O,"")</f>
        <v/>
      </c>
      <c r="AE520" s="7" t="str">
        <f t="shared" si="6"/>
        <v/>
      </c>
      <c r="AG520" s="4" t="str">
        <f t="array" ref="AG520">XLOOKUP(AC520,'Dados Funil'!A:A,'Dados Funil'!AM:AM,"")</f>
        <v/>
      </c>
      <c r="AH520" s="4" t="str">
        <f t="array" ref="AH520">XLOOKUP(AC520,'Dados Funil'!A:A,'Dados Funil'!AN:AN,"")</f>
        <v/>
      </c>
    </row>
    <row r="521">
      <c r="A521" s="4"/>
      <c r="B521" s="4"/>
      <c r="C521" s="7" t="str">
        <f t="shared" si="1"/>
        <v/>
      </c>
      <c r="D521" s="4" t="str">
        <f t="shared" si="9"/>
        <v/>
      </c>
      <c r="E521" s="4" t="str">
        <f t="array" ref="E521">XLOOKUP(A521,'Dados Funil'!$A:$A,'Dados Funil'!$K:$K,"")</f>
        <v/>
      </c>
      <c r="F521" s="4" t="str">
        <f t="array" ref="F521">XLOOKUP(A521,'Dados Funil'!$A:$A,'Dados Funil'!$L:$L,"")</f>
        <v/>
      </c>
      <c r="G521" s="4"/>
      <c r="H521" s="4"/>
      <c r="I521" s="7" t="str">
        <f t="shared" si="2"/>
        <v/>
      </c>
      <c r="J521" s="4" t="str">
        <f t="shared" si="10"/>
        <v/>
      </c>
      <c r="K521" s="4" t="str">
        <f t="array" ref="K521">XLOOKUP(G521,'Dados Funil'!A:A,'Dados Funil'!O:O,"")</f>
        <v/>
      </c>
      <c r="L521" s="4"/>
      <c r="M521" s="4"/>
      <c r="N521" s="7" t="str">
        <f t="shared" si="3"/>
        <v/>
      </c>
      <c r="O521" s="4" t="str">
        <f t="shared" si="11"/>
        <v/>
      </c>
      <c r="P521" s="4" t="str">
        <f t="array" ref="P521">XLOOKUP(L521,'Dados Funil'!A:A,'Dados Funil'!AM:AM,"")</f>
        <v/>
      </c>
      <c r="Q521" s="4" t="str">
        <f t="array" ref="Q521">XLOOKUP(L521,'Dados Funil'!A:A,'Dados Funil'!AN:AN,"")</f>
        <v/>
      </c>
      <c r="T521" s="7" t="str">
        <f t="shared" si="4"/>
        <v/>
      </c>
      <c r="U521" s="4" t="str">
        <f t="shared" si="12"/>
        <v/>
      </c>
      <c r="V521" s="4" t="str">
        <f t="array" ref="V521">XLOOKUP(R521,'Dados Funil'!$A:$A,'Dados Funil'!$K:$K,"")</f>
        <v/>
      </c>
      <c r="W521" s="4" t="str">
        <f t="array" ref="W521">XLOOKUP(R521,'Dados Funil'!$A:$A,'Dados Funil'!$L:$L,"")</f>
        <v/>
      </c>
      <c r="X521" s="4"/>
      <c r="Y521" s="4"/>
      <c r="Z521" s="7" t="str">
        <f t="shared" si="5"/>
        <v/>
      </c>
      <c r="AA521" s="4" t="str">
        <f t="shared" si="13"/>
        <v/>
      </c>
      <c r="AB521" s="4" t="str">
        <f t="array" ref="AB521">XLOOKUP(X521,'Dados Funil'!A:A,'Dados Funil'!O:O,"")</f>
        <v/>
      </c>
      <c r="AE521" s="7" t="str">
        <f t="shared" si="6"/>
        <v/>
      </c>
      <c r="AG521" s="4" t="str">
        <f t="array" ref="AG521">XLOOKUP(AC521,'Dados Funil'!A:A,'Dados Funil'!AM:AM,"")</f>
        <v/>
      </c>
      <c r="AH521" s="4" t="str">
        <f t="array" ref="AH521">XLOOKUP(AC521,'Dados Funil'!A:A,'Dados Funil'!AN:AN,"")</f>
        <v/>
      </c>
    </row>
    <row r="522">
      <c r="A522" s="4"/>
      <c r="B522" s="4"/>
      <c r="C522" s="7" t="str">
        <f t="shared" si="1"/>
        <v/>
      </c>
      <c r="D522" s="4" t="str">
        <f t="shared" si="9"/>
        <v/>
      </c>
      <c r="E522" s="4" t="str">
        <f t="array" ref="E522">XLOOKUP(A522,'Dados Funil'!$A:$A,'Dados Funil'!$K:$K,"")</f>
        <v/>
      </c>
      <c r="F522" s="4" t="str">
        <f t="array" ref="F522">XLOOKUP(A522,'Dados Funil'!$A:$A,'Dados Funil'!$L:$L,"")</f>
        <v/>
      </c>
      <c r="G522" s="4"/>
      <c r="H522" s="4"/>
      <c r="I522" s="7" t="str">
        <f t="shared" si="2"/>
        <v/>
      </c>
      <c r="J522" s="4" t="str">
        <f t="shared" si="10"/>
        <v/>
      </c>
      <c r="K522" s="4" t="str">
        <f t="array" ref="K522">XLOOKUP(G522,'Dados Funil'!A:A,'Dados Funil'!O:O,"")</f>
        <v/>
      </c>
      <c r="L522" s="4"/>
      <c r="M522" s="4"/>
      <c r="N522" s="7" t="str">
        <f t="shared" si="3"/>
        <v/>
      </c>
      <c r="O522" s="4" t="str">
        <f t="shared" si="11"/>
        <v/>
      </c>
      <c r="P522" s="4" t="str">
        <f t="array" ref="P522">XLOOKUP(L522,'Dados Funil'!A:A,'Dados Funil'!AM:AM,"")</f>
        <v/>
      </c>
      <c r="Q522" s="4" t="str">
        <f t="array" ref="Q522">XLOOKUP(L522,'Dados Funil'!A:A,'Dados Funil'!AN:AN,"")</f>
        <v/>
      </c>
      <c r="T522" s="7" t="str">
        <f t="shared" si="4"/>
        <v/>
      </c>
      <c r="U522" s="4" t="str">
        <f t="shared" si="12"/>
        <v/>
      </c>
      <c r="V522" s="4" t="str">
        <f t="array" ref="V522">XLOOKUP(R522,'Dados Funil'!$A:$A,'Dados Funil'!$K:$K,"")</f>
        <v/>
      </c>
      <c r="W522" s="4" t="str">
        <f t="array" ref="W522">XLOOKUP(R522,'Dados Funil'!$A:$A,'Dados Funil'!$L:$L,"")</f>
        <v/>
      </c>
      <c r="X522" s="4"/>
      <c r="Y522" s="4"/>
      <c r="Z522" s="7" t="str">
        <f t="shared" si="5"/>
        <v/>
      </c>
      <c r="AA522" s="4" t="str">
        <f t="shared" si="13"/>
        <v/>
      </c>
      <c r="AB522" s="4" t="str">
        <f t="array" ref="AB522">XLOOKUP(X522,'Dados Funil'!A:A,'Dados Funil'!O:O,"")</f>
        <v/>
      </c>
      <c r="AE522" s="7" t="str">
        <f t="shared" si="6"/>
        <v/>
      </c>
      <c r="AG522" s="4" t="str">
        <f t="array" ref="AG522">XLOOKUP(AC522,'Dados Funil'!A:A,'Dados Funil'!AM:AM,"")</f>
        <v/>
      </c>
      <c r="AH522" s="4" t="str">
        <f t="array" ref="AH522">XLOOKUP(AC522,'Dados Funil'!A:A,'Dados Funil'!AN:AN,"")</f>
        <v/>
      </c>
    </row>
    <row r="523">
      <c r="A523" s="4"/>
      <c r="B523" s="4"/>
      <c r="C523" s="7" t="str">
        <f t="shared" si="1"/>
        <v/>
      </c>
      <c r="D523" s="4" t="str">
        <f t="shared" si="9"/>
        <v/>
      </c>
      <c r="E523" s="4" t="str">
        <f t="array" ref="E523">XLOOKUP(A523,'Dados Funil'!$A:$A,'Dados Funil'!$K:$K,"")</f>
        <v/>
      </c>
      <c r="F523" s="4" t="str">
        <f t="array" ref="F523">XLOOKUP(A523,'Dados Funil'!$A:$A,'Dados Funil'!$L:$L,"")</f>
        <v/>
      </c>
      <c r="G523" s="4"/>
      <c r="H523" s="4"/>
      <c r="I523" s="7" t="str">
        <f t="shared" si="2"/>
        <v/>
      </c>
      <c r="J523" s="4" t="str">
        <f t="shared" si="10"/>
        <v/>
      </c>
      <c r="K523" s="4" t="str">
        <f t="array" ref="K523">XLOOKUP(G523,'Dados Funil'!A:A,'Dados Funil'!O:O,"")</f>
        <v/>
      </c>
      <c r="L523" s="4"/>
      <c r="M523" s="4"/>
      <c r="N523" s="7" t="str">
        <f t="shared" si="3"/>
        <v/>
      </c>
      <c r="O523" s="4" t="str">
        <f t="shared" si="11"/>
        <v/>
      </c>
      <c r="P523" s="4" t="str">
        <f t="array" ref="P523">XLOOKUP(L523,'Dados Funil'!A:A,'Dados Funil'!AM:AM,"")</f>
        <v/>
      </c>
      <c r="Q523" s="4" t="str">
        <f t="array" ref="Q523">XLOOKUP(L523,'Dados Funil'!A:A,'Dados Funil'!AN:AN,"")</f>
        <v/>
      </c>
      <c r="T523" s="7" t="str">
        <f t="shared" si="4"/>
        <v/>
      </c>
      <c r="U523" s="4" t="str">
        <f t="shared" si="12"/>
        <v/>
      </c>
      <c r="V523" s="4" t="str">
        <f t="array" ref="V523">XLOOKUP(R523,'Dados Funil'!$A:$A,'Dados Funil'!$K:$K,"")</f>
        <v/>
      </c>
      <c r="W523" s="4" t="str">
        <f t="array" ref="W523">XLOOKUP(R523,'Dados Funil'!$A:$A,'Dados Funil'!$L:$L,"")</f>
        <v/>
      </c>
      <c r="X523" s="4"/>
      <c r="Y523" s="4"/>
      <c r="Z523" s="7" t="str">
        <f t="shared" si="5"/>
        <v/>
      </c>
      <c r="AA523" s="4" t="str">
        <f t="shared" si="13"/>
        <v/>
      </c>
      <c r="AB523" s="4" t="str">
        <f t="array" ref="AB523">XLOOKUP(X523,'Dados Funil'!A:A,'Dados Funil'!O:O,"")</f>
        <v/>
      </c>
      <c r="AE523" s="7" t="str">
        <f t="shared" si="6"/>
        <v/>
      </c>
      <c r="AG523" s="4" t="str">
        <f t="array" ref="AG523">XLOOKUP(AC523,'Dados Funil'!A:A,'Dados Funil'!AM:AM,"")</f>
        <v/>
      </c>
      <c r="AH523" s="4" t="str">
        <f t="array" ref="AH523">XLOOKUP(AC523,'Dados Funil'!A:A,'Dados Funil'!AN:AN,"")</f>
        <v/>
      </c>
    </row>
    <row r="524">
      <c r="A524" s="4"/>
      <c r="B524" s="4"/>
      <c r="C524" s="7" t="str">
        <f t="shared" si="1"/>
        <v/>
      </c>
      <c r="D524" s="4" t="str">
        <f t="shared" si="9"/>
        <v/>
      </c>
      <c r="E524" s="4" t="str">
        <f t="array" ref="E524">XLOOKUP(A524,'Dados Funil'!$A:$A,'Dados Funil'!$K:$K,"")</f>
        <v/>
      </c>
      <c r="F524" s="4" t="str">
        <f t="array" ref="F524">XLOOKUP(A524,'Dados Funil'!$A:$A,'Dados Funil'!$L:$L,"")</f>
        <v/>
      </c>
      <c r="G524" s="4"/>
      <c r="H524" s="4"/>
      <c r="I524" s="7" t="str">
        <f t="shared" si="2"/>
        <v/>
      </c>
      <c r="J524" s="4" t="str">
        <f t="shared" si="10"/>
        <v/>
      </c>
      <c r="K524" s="4" t="str">
        <f t="array" ref="K524">XLOOKUP(G524,'Dados Funil'!A:A,'Dados Funil'!O:O,"")</f>
        <v/>
      </c>
      <c r="L524" s="4"/>
      <c r="M524" s="4"/>
      <c r="N524" s="7" t="str">
        <f t="shared" si="3"/>
        <v/>
      </c>
      <c r="O524" s="4" t="str">
        <f t="shared" si="11"/>
        <v/>
      </c>
      <c r="P524" s="4" t="str">
        <f t="array" ref="P524">XLOOKUP(L524,'Dados Funil'!A:A,'Dados Funil'!AM:AM,"")</f>
        <v/>
      </c>
      <c r="Q524" s="4" t="str">
        <f t="array" ref="Q524">XLOOKUP(L524,'Dados Funil'!A:A,'Dados Funil'!AN:AN,"")</f>
        <v/>
      </c>
      <c r="T524" s="7" t="str">
        <f t="shared" si="4"/>
        <v/>
      </c>
      <c r="U524" s="4" t="str">
        <f t="shared" si="12"/>
        <v/>
      </c>
      <c r="V524" s="4" t="str">
        <f t="array" ref="V524">XLOOKUP(R524,'Dados Funil'!$A:$A,'Dados Funil'!$K:$K,"")</f>
        <v/>
      </c>
      <c r="W524" s="4" t="str">
        <f t="array" ref="W524">XLOOKUP(R524,'Dados Funil'!$A:$A,'Dados Funil'!$L:$L,"")</f>
        <v/>
      </c>
      <c r="X524" s="4"/>
      <c r="Y524" s="4"/>
      <c r="Z524" s="7" t="str">
        <f t="shared" si="5"/>
        <v/>
      </c>
      <c r="AA524" s="4" t="str">
        <f t="shared" si="13"/>
        <v/>
      </c>
      <c r="AB524" s="4" t="str">
        <f t="array" ref="AB524">XLOOKUP(X524,'Dados Funil'!A:A,'Dados Funil'!O:O,"")</f>
        <v/>
      </c>
      <c r="AE524" s="7" t="str">
        <f t="shared" si="6"/>
        <v/>
      </c>
      <c r="AG524" s="4" t="str">
        <f t="array" ref="AG524">XLOOKUP(AC524,'Dados Funil'!A:A,'Dados Funil'!AM:AM,"")</f>
        <v/>
      </c>
      <c r="AH524" s="4" t="str">
        <f t="array" ref="AH524">XLOOKUP(AC524,'Dados Funil'!A:A,'Dados Funil'!AN:AN,"")</f>
        <v/>
      </c>
    </row>
    <row r="525">
      <c r="A525" s="4"/>
      <c r="B525" s="4"/>
      <c r="C525" s="7" t="str">
        <f t="shared" si="1"/>
        <v/>
      </c>
      <c r="D525" s="4" t="str">
        <f t="shared" si="9"/>
        <v/>
      </c>
      <c r="E525" s="4" t="str">
        <f t="array" ref="E525">XLOOKUP(A525,'Dados Funil'!$A:$A,'Dados Funil'!$K:$K,"")</f>
        <v/>
      </c>
      <c r="F525" s="4" t="str">
        <f t="array" ref="F525">XLOOKUP(A525,'Dados Funil'!$A:$A,'Dados Funil'!$L:$L,"")</f>
        <v/>
      </c>
      <c r="G525" s="4"/>
      <c r="H525" s="4"/>
      <c r="I525" s="7" t="str">
        <f t="shared" si="2"/>
        <v/>
      </c>
      <c r="J525" s="4" t="str">
        <f t="shared" si="10"/>
        <v/>
      </c>
      <c r="K525" s="4" t="str">
        <f t="array" ref="K525">XLOOKUP(G525,'Dados Funil'!A:A,'Dados Funil'!O:O,"")</f>
        <v/>
      </c>
      <c r="L525" s="4"/>
      <c r="M525" s="4"/>
      <c r="N525" s="7" t="str">
        <f t="shared" si="3"/>
        <v/>
      </c>
      <c r="O525" s="4" t="str">
        <f t="shared" si="11"/>
        <v/>
      </c>
      <c r="P525" s="4" t="str">
        <f t="array" ref="P525">XLOOKUP(L525,'Dados Funil'!A:A,'Dados Funil'!AM:AM,"")</f>
        <v/>
      </c>
      <c r="Q525" s="4" t="str">
        <f t="array" ref="Q525">XLOOKUP(L525,'Dados Funil'!A:A,'Dados Funil'!AN:AN,"")</f>
        <v/>
      </c>
      <c r="T525" s="7" t="str">
        <f t="shared" si="4"/>
        <v/>
      </c>
      <c r="U525" s="4" t="str">
        <f t="shared" si="12"/>
        <v/>
      </c>
      <c r="V525" s="4" t="str">
        <f t="array" ref="V525">XLOOKUP(R525,'Dados Funil'!$A:$A,'Dados Funil'!$K:$K,"")</f>
        <v/>
      </c>
      <c r="W525" s="4" t="str">
        <f t="array" ref="W525">XLOOKUP(R525,'Dados Funil'!$A:$A,'Dados Funil'!$L:$L,"")</f>
        <v/>
      </c>
      <c r="X525" s="4"/>
      <c r="Y525" s="4"/>
      <c r="Z525" s="7" t="str">
        <f t="shared" si="5"/>
        <v/>
      </c>
      <c r="AA525" s="4" t="str">
        <f t="shared" si="13"/>
        <v/>
      </c>
      <c r="AB525" s="4" t="str">
        <f t="array" ref="AB525">XLOOKUP(X525,'Dados Funil'!A:A,'Dados Funil'!O:O,"")</f>
        <v/>
      </c>
      <c r="AE525" s="7" t="str">
        <f t="shared" si="6"/>
        <v/>
      </c>
      <c r="AG525" s="4" t="str">
        <f t="array" ref="AG525">XLOOKUP(AC525,'Dados Funil'!A:A,'Dados Funil'!AM:AM,"")</f>
        <v/>
      </c>
      <c r="AH525" s="4" t="str">
        <f t="array" ref="AH525">XLOOKUP(AC525,'Dados Funil'!A:A,'Dados Funil'!AN:AN,"")</f>
        <v/>
      </c>
    </row>
    <row r="526">
      <c r="A526" s="4"/>
      <c r="B526" s="4"/>
      <c r="C526" s="7" t="str">
        <f t="shared" si="1"/>
        <v/>
      </c>
      <c r="D526" s="4" t="str">
        <f t="shared" si="9"/>
        <v/>
      </c>
      <c r="E526" s="4" t="str">
        <f t="array" ref="E526">XLOOKUP(A526,'Dados Funil'!$A:$A,'Dados Funil'!$K:$K,"")</f>
        <v/>
      </c>
      <c r="F526" s="4" t="str">
        <f t="array" ref="F526">XLOOKUP(A526,'Dados Funil'!$A:$A,'Dados Funil'!$L:$L,"")</f>
        <v/>
      </c>
      <c r="G526" s="4"/>
      <c r="H526" s="4"/>
      <c r="I526" s="7" t="str">
        <f t="shared" si="2"/>
        <v/>
      </c>
      <c r="J526" s="4" t="str">
        <f t="shared" si="10"/>
        <v/>
      </c>
      <c r="K526" s="4" t="str">
        <f t="array" ref="K526">XLOOKUP(G526,'Dados Funil'!A:A,'Dados Funil'!O:O,"")</f>
        <v/>
      </c>
      <c r="L526" s="4"/>
      <c r="M526" s="4"/>
      <c r="N526" s="7" t="str">
        <f t="shared" si="3"/>
        <v/>
      </c>
      <c r="O526" s="4" t="str">
        <f t="shared" si="11"/>
        <v/>
      </c>
      <c r="P526" s="4" t="str">
        <f t="array" ref="P526">XLOOKUP(L526,'Dados Funil'!A:A,'Dados Funil'!AM:AM,"")</f>
        <v/>
      </c>
      <c r="Q526" s="4" t="str">
        <f t="array" ref="Q526">XLOOKUP(L526,'Dados Funil'!A:A,'Dados Funil'!AN:AN,"")</f>
        <v/>
      </c>
      <c r="T526" s="7" t="str">
        <f t="shared" si="4"/>
        <v/>
      </c>
      <c r="U526" s="4" t="str">
        <f t="shared" si="12"/>
        <v/>
      </c>
      <c r="V526" s="4" t="str">
        <f t="array" ref="V526">XLOOKUP(R526,'Dados Funil'!$A:$A,'Dados Funil'!$K:$K,"")</f>
        <v/>
      </c>
      <c r="W526" s="4" t="str">
        <f t="array" ref="W526">XLOOKUP(R526,'Dados Funil'!$A:$A,'Dados Funil'!$L:$L,"")</f>
        <v/>
      </c>
      <c r="X526" s="4"/>
      <c r="Y526" s="4"/>
      <c r="Z526" s="7" t="str">
        <f t="shared" si="5"/>
        <v/>
      </c>
      <c r="AA526" s="4" t="str">
        <f t="shared" si="13"/>
        <v/>
      </c>
      <c r="AB526" s="4" t="str">
        <f t="array" ref="AB526">XLOOKUP(X526,'Dados Funil'!A:A,'Dados Funil'!O:O,"")</f>
        <v/>
      </c>
      <c r="AE526" s="7" t="str">
        <f t="shared" si="6"/>
        <v/>
      </c>
      <c r="AG526" s="4" t="str">
        <f t="array" ref="AG526">XLOOKUP(AC526,'Dados Funil'!A:A,'Dados Funil'!AM:AM,"")</f>
        <v/>
      </c>
      <c r="AH526" s="4" t="str">
        <f t="array" ref="AH526">XLOOKUP(AC526,'Dados Funil'!A:A,'Dados Funil'!AN:AN,"")</f>
        <v/>
      </c>
    </row>
    <row r="527">
      <c r="A527" s="4"/>
      <c r="B527" s="4"/>
      <c r="C527" s="7" t="str">
        <f t="shared" si="1"/>
        <v/>
      </c>
      <c r="D527" s="4" t="str">
        <f t="shared" si="9"/>
        <v/>
      </c>
      <c r="E527" s="4" t="str">
        <f t="array" ref="E527">XLOOKUP(A527,'Dados Funil'!$A:$A,'Dados Funil'!$K:$K,"")</f>
        <v/>
      </c>
      <c r="F527" s="4" t="str">
        <f t="array" ref="F527">XLOOKUP(A527,'Dados Funil'!$A:$A,'Dados Funil'!$L:$L,"")</f>
        <v/>
      </c>
      <c r="G527" s="4"/>
      <c r="H527" s="4"/>
      <c r="I527" s="7" t="str">
        <f t="shared" si="2"/>
        <v/>
      </c>
      <c r="J527" s="4" t="str">
        <f t="shared" si="10"/>
        <v/>
      </c>
      <c r="K527" s="4" t="str">
        <f t="array" ref="K527">XLOOKUP(G527,'Dados Funil'!A:A,'Dados Funil'!O:O,"")</f>
        <v/>
      </c>
      <c r="L527" s="4"/>
      <c r="M527" s="4"/>
      <c r="N527" s="7" t="str">
        <f t="shared" si="3"/>
        <v/>
      </c>
      <c r="O527" s="4" t="str">
        <f t="shared" si="11"/>
        <v/>
      </c>
      <c r="P527" s="4" t="str">
        <f t="array" ref="P527">XLOOKUP(L527,'Dados Funil'!A:A,'Dados Funil'!AM:AM,"")</f>
        <v/>
      </c>
      <c r="Q527" s="4" t="str">
        <f t="array" ref="Q527">XLOOKUP(L527,'Dados Funil'!A:A,'Dados Funil'!AN:AN,"")</f>
        <v/>
      </c>
      <c r="T527" s="7" t="str">
        <f t="shared" si="4"/>
        <v/>
      </c>
      <c r="U527" s="4" t="str">
        <f t="shared" si="12"/>
        <v/>
      </c>
      <c r="V527" s="4" t="str">
        <f t="array" ref="V527">XLOOKUP(R527,'Dados Funil'!$A:$A,'Dados Funil'!$K:$K,"")</f>
        <v/>
      </c>
      <c r="W527" s="4" t="str">
        <f t="array" ref="W527">XLOOKUP(R527,'Dados Funil'!$A:$A,'Dados Funil'!$L:$L,"")</f>
        <v/>
      </c>
      <c r="X527" s="4"/>
      <c r="Y527" s="4"/>
      <c r="Z527" s="7" t="str">
        <f t="shared" si="5"/>
        <v/>
      </c>
      <c r="AA527" s="4" t="str">
        <f t="shared" si="13"/>
        <v/>
      </c>
      <c r="AB527" s="4" t="str">
        <f t="array" ref="AB527">XLOOKUP(X527,'Dados Funil'!A:A,'Dados Funil'!O:O,"")</f>
        <v/>
      </c>
      <c r="AE527" s="7" t="str">
        <f t="shared" si="6"/>
        <v/>
      </c>
      <c r="AG527" s="4" t="str">
        <f t="array" ref="AG527">XLOOKUP(AC527,'Dados Funil'!A:A,'Dados Funil'!AM:AM,"")</f>
        <v/>
      </c>
      <c r="AH527" s="4" t="str">
        <f t="array" ref="AH527">XLOOKUP(AC527,'Dados Funil'!A:A,'Dados Funil'!AN:AN,"")</f>
        <v/>
      </c>
    </row>
    <row r="528">
      <c r="A528" s="4"/>
      <c r="B528" s="4"/>
      <c r="C528" s="7" t="str">
        <f t="shared" si="1"/>
        <v/>
      </c>
      <c r="D528" s="4" t="str">
        <f t="shared" si="9"/>
        <v/>
      </c>
      <c r="E528" s="4" t="str">
        <f t="array" ref="E528">XLOOKUP(A528,'Dados Funil'!$A:$A,'Dados Funil'!$K:$K,"")</f>
        <v/>
      </c>
      <c r="F528" s="4" t="str">
        <f t="array" ref="F528">XLOOKUP(A528,'Dados Funil'!$A:$A,'Dados Funil'!$L:$L,"")</f>
        <v/>
      </c>
      <c r="G528" s="4"/>
      <c r="H528" s="4"/>
      <c r="I528" s="7" t="str">
        <f t="shared" si="2"/>
        <v/>
      </c>
      <c r="J528" s="4" t="str">
        <f t="shared" si="10"/>
        <v/>
      </c>
      <c r="K528" s="4" t="str">
        <f t="array" ref="K528">XLOOKUP(G528,'Dados Funil'!A:A,'Dados Funil'!O:O,"")</f>
        <v/>
      </c>
      <c r="L528" s="4"/>
      <c r="M528" s="4"/>
      <c r="N528" s="7" t="str">
        <f t="shared" si="3"/>
        <v/>
      </c>
      <c r="O528" s="4" t="str">
        <f t="shared" si="11"/>
        <v/>
      </c>
      <c r="P528" s="4" t="str">
        <f t="array" ref="P528">XLOOKUP(L528,'Dados Funil'!A:A,'Dados Funil'!AM:AM,"")</f>
        <v/>
      </c>
      <c r="Q528" s="4" t="str">
        <f t="array" ref="Q528">XLOOKUP(L528,'Dados Funil'!A:A,'Dados Funil'!AN:AN,"")</f>
        <v/>
      </c>
      <c r="T528" s="7" t="str">
        <f t="shared" si="4"/>
        <v/>
      </c>
      <c r="U528" s="4" t="str">
        <f t="shared" si="12"/>
        <v/>
      </c>
      <c r="V528" s="4" t="str">
        <f t="array" ref="V528">XLOOKUP(R528,'Dados Funil'!$A:$A,'Dados Funil'!$K:$K,"")</f>
        <v/>
      </c>
      <c r="W528" s="4" t="str">
        <f t="array" ref="W528">XLOOKUP(R528,'Dados Funil'!$A:$A,'Dados Funil'!$L:$L,"")</f>
        <v/>
      </c>
      <c r="X528" s="4"/>
      <c r="Y528" s="4"/>
      <c r="Z528" s="7" t="str">
        <f t="shared" si="5"/>
        <v/>
      </c>
      <c r="AA528" s="4" t="str">
        <f t="shared" si="13"/>
        <v/>
      </c>
      <c r="AB528" s="4" t="str">
        <f t="array" ref="AB528">XLOOKUP(X528,'Dados Funil'!A:A,'Dados Funil'!O:O,"")</f>
        <v/>
      </c>
      <c r="AE528" s="7" t="str">
        <f t="shared" si="6"/>
        <v/>
      </c>
      <c r="AG528" s="4" t="str">
        <f t="array" ref="AG528">XLOOKUP(AC528,'Dados Funil'!A:A,'Dados Funil'!AM:AM,"")</f>
        <v/>
      </c>
      <c r="AH528" s="4" t="str">
        <f t="array" ref="AH528">XLOOKUP(AC528,'Dados Funil'!A:A,'Dados Funil'!AN:AN,"")</f>
        <v/>
      </c>
    </row>
    <row r="529">
      <c r="A529" s="4"/>
      <c r="B529" s="4"/>
      <c r="C529" s="7" t="str">
        <f t="shared" si="1"/>
        <v/>
      </c>
      <c r="D529" s="4" t="str">
        <f t="shared" si="9"/>
        <v/>
      </c>
      <c r="E529" s="4" t="str">
        <f t="array" ref="E529">XLOOKUP(A529,'Dados Funil'!$A:$A,'Dados Funil'!$K:$K,"")</f>
        <v/>
      </c>
      <c r="F529" s="4" t="str">
        <f t="array" ref="F529">XLOOKUP(A529,'Dados Funil'!$A:$A,'Dados Funil'!$L:$L,"")</f>
        <v/>
      </c>
      <c r="G529" s="4"/>
      <c r="H529" s="4"/>
      <c r="I529" s="7" t="str">
        <f t="shared" si="2"/>
        <v/>
      </c>
      <c r="J529" s="4" t="str">
        <f t="shared" si="10"/>
        <v/>
      </c>
      <c r="K529" s="4" t="str">
        <f t="array" ref="K529">XLOOKUP(G529,'Dados Funil'!A:A,'Dados Funil'!O:O,"")</f>
        <v/>
      </c>
      <c r="L529" s="4"/>
      <c r="M529" s="4"/>
      <c r="N529" s="7" t="str">
        <f t="shared" si="3"/>
        <v/>
      </c>
      <c r="O529" s="4" t="str">
        <f t="shared" si="11"/>
        <v/>
      </c>
      <c r="P529" s="4" t="str">
        <f t="array" ref="P529">XLOOKUP(L529,'Dados Funil'!A:A,'Dados Funil'!AM:AM,"")</f>
        <v/>
      </c>
      <c r="Q529" s="4" t="str">
        <f t="array" ref="Q529">XLOOKUP(L529,'Dados Funil'!A:A,'Dados Funil'!AN:AN,"")</f>
        <v/>
      </c>
      <c r="T529" s="7" t="str">
        <f t="shared" si="4"/>
        <v/>
      </c>
      <c r="U529" s="4" t="str">
        <f t="shared" si="12"/>
        <v/>
      </c>
      <c r="V529" s="4" t="str">
        <f t="array" ref="V529">XLOOKUP(R529,'Dados Funil'!$A:$A,'Dados Funil'!$K:$K,"")</f>
        <v/>
      </c>
      <c r="W529" s="4" t="str">
        <f t="array" ref="W529">XLOOKUP(R529,'Dados Funil'!$A:$A,'Dados Funil'!$L:$L,"")</f>
        <v/>
      </c>
      <c r="X529" s="4"/>
      <c r="Y529" s="4"/>
      <c r="Z529" s="7" t="str">
        <f t="shared" si="5"/>
        <v/>
      </c>
      <c r="AA529" s="4" t="str">
        <f t="shared" si="13"/>
        <v/>
      </c>
      <c r="AB529" s="4" t="str">
        <f t="array" ref="AB529">XLOOKUP(X529,'Dados Funil'!A:A,'Dados Funil'!O:O,"")</f>
        <v/>
      </c>
      <c r="AE529" s="7" t="str">
        <f t="shared" si="6"/>
        <v/>
      </c>
      <c r="AG529" s="4" t="str">
        <f t="array" ref="AG529">XLOOKUP(AC529,'Dados Funil'!A:A,'Dados Funil'!AM:AM,"")</f>
        <v/>
      </c>
      <c r="AH529" s="4" t="str">
        <f t="array" ref="AH529">XLOOKUP(AC529,'Dados Funil'!A:A,'Dados Funil'!AN:AN,"")</f>
        <v/>
      </c>
    </row>
    <row r="530">
      <c r="A530" s="4"/>
      <c r="B530" s="4"/>
      <c r="C530" s="7" t="str">
        <f t="shared" si="1"/>
        <v/>
      </c>
      <c r="D530" s="4" t="str">
        <f t="shared" si="9"/>
        <v/>
      </c>
      <c r="E530" s="4" t="str">
        <f t="array" ref="E530">XLOOKUP(A530,'Dados Funil'!$A:$A,'Dados Funil'!$K:$K,"")</f>
        <v/>
      </c>
      <c r="F530" s="4" t="str">
        <f t="array" ref="F530">XLOOKUP(A530,'Dados Funil'!$A:$A,'Dados Funil'!$L:$L,"")</f>
        <v/>
      </c>
      <c r="G530" s="4"/>
      <c r="H530" s="4"/>
      <c r="I530" s="7" t="str">
        <f t="shared" si="2"/>
        <v/>
      </c>
      <c r="J530" s="4" t="str">
        <f t="shared" si="10"/>
        <v/>
      </c>
      <c r="K530" s="4" t="str">
        <f t="array" ref="K530">XLOOKUP(G530,'Dados Funil'!A:A,'Dados Funil'!O:O,"")</f>
        <v/>
      </c>
      <c r="L530" s="4"/>
      <c r="M530" s="4"/>
      <c r="N530" s="7" t="str">
        <f t="shared" si="3"/>
        <v/>
      </c>
      <c r="O530" s="4" t="str">
        <f t="shared" si="11"/>
        <v/>
      </c>
      <c r="P530" s="4" t="str">
        <f t="array" ref="P530">XLOOKUP(L530,'Dados Funil'!A:A,'Dados Funil'!AM:AM,"")</f>
        <v/>
      </c>
      <c r="Q530" s="4" t="str">
        <f t="array" ref="Q530">XLOOKUP(L530,'Dados Funil'!A:A,'Dados Funil'!AN:AN,"")</f>
        <v/>
      </c>
      <c r="T530" s="7" t="str">
        <f t="shared" si="4"/>
        <v/>
      </c>
      <c r="U530" s="4" t="str">
        <f t="shared" si="12"/>
        <v/>
      </c>
      <c r="V530" s="4" t="str">
        <f t="array" ref="V530">XLOOKUP(R530,'Dados Funil'!$A:$A,'Dados Funil'!$K:$K,"")</f>
        <v/>
      </c>
      <c r="W530" s="4" t="str">
        <f t="array" ref="W530">XLOOKUP(R530,'Dados Funil'!$A:$A,'Dados Funil'!$L:$L,"")</f>
        <v/>
      </c>
      <c r="X530" s="4"/>
      <c r="Y530" s="4"/>
      <c r="Z530" s="7" t="str">
        <f t="shared" si="5"/>
        <v/>
      </c>
      <c r="AA530" s="4" t="str">
        <f t="shared" si="13"/>
        <v/>
      </c>
      <c r="AB530" s="4" t="str">
        <f t="array" ref="AB530">XLOOKUP(X530,'Dados Funil'!A:A,'Dados Funil'!O:O,"")</f>
        <v/>
      </c>
      <c r="AE530" s="7" t="str">
        <f t="shared" si="6"/>
        <v/>
      </c>
      <c r="AG530" s="4" t="str">
        <f t="array" ref="AG530">XLOOKUP(AC530,'Dados Funil'!A:A,'Dados Funil'!AM:AM,"")</f>
        <v/>
      </c>
      <c r="AH530" s="4" t="str">
        <f t="array" ref="AH530">XLOOKUP(AC530,'Dados Funil'!A:A,'Dados Funil'!AN:AN,"")</f>
        <v/>
      </c>
    </row>
    <row r="531">
      <c r="A531" s="4"/>
      <c r="B531" s="4"/>
      <c r="C531" s="7" t="str">
        <f t="shared" si="1"/>
        <v/>
      </c>
      <c r="D531" s="4" t="str">
        <f t="shared" si="9"/>
        <v/>
      </c>
      <c r="E531" s="4" t="str">
        <f t="array" ref="E531">XLOOKUP(A531,'Dados Funil'!$A:$A,'Dados Funil'!$K:$K,"")</f>
        <v/>
      </c>
      <c r="F531" s="4" t="str">
        <f t="array" ref="F531">XLOOKUP(A531,'Dados Funil'!$A:$A,'Dados Funil'!$L:$L,"")</f>
        <v/>
      </c>
      <c r="G531" s="4"/>
      <c r="H531" s="4"/>
      <c r="I531" s="7" t="str">
        <f t="shared" si="2"/>
        <v/>
      </c>
      <c r="J531" s="4" t="str">
        <f t="shared" si="10"/>
        <v/>
      </c>
      <c r="K531" s="4" t="str">
        <f t="array" ref="K531">XLOOKUP(G531,'Dados Funil'!A:A,'Dados Funil'!O:O,"")</f>
        <v/>
      </c>
      <c r="L531" s="4"/>
      <c r="M531" s="4"/>
      <c r="N531" s="7" t="str">
        <f t="shared" si="3"/>
        <v/>
      </c>
      <c r="O531" s="4" t="str">
        <f t="shared" si="11"/>
        <v/>
      </c>
      <c r="P531" s="4" t="str">
        <f t="array" ref="P531">XLOOKUP(L531,'Dados Funil'!A:A,'Dados Funil'!AM:AM,"")</f>
        <v/>
      </c>
      <c r="Q531" s="4" t="str">
        <f t="array" ref="Q531">XLOOKUP(L531,'Dados Funil'!A:A,'Dados Funil'!AN:AN,"")</f>
        <v/>
      </c>
      <c r="T531" s="7" t="str">
        <f t="shared" si="4"/>
        <v/>
      </c>
      <c r="U531" s="4" t="str">
        <f t="shared" si="12"/>
        <v/>
      </c>
      <c r="V531" s="4" t="str">
        <f t="array" ref="V531">XLOOKUP(R531,'Dados Funil'!$A:$A,'Dados Funil'!$K:$K,"")</f>
        <v/>
      </c>
      <c r="W531" s="4" t="str">
        <f t="array" ref="W531">XLOOKUP(R531,'Dados Funil'!$A:$A,'Dados Funil'!$L:$L,"")</f>
        <v/>
      </c>
      <c r="X531" s="4"/>
      <c r="Y531" s="4"/>
      <c r="Z531" s="7" t="str">
        <f t="shared" si="5"/>
        <v/>
      </c>
      <c r="AA531" s="4" t="str">
        <f t="shared" si="13"/>
        <v/>
      </c>
      <c r="AB531" s="4" t="str">
        <f t="array" ref="AB531">XLOOKUP(X531,'Dados Funil'!A:A,'Dados Funil'!O:O,"")</f>
        <v/>
      </c>
      <c r="AE531" s="7" t="str">
        <f t="shared" si="6"/>
        <v/>
      </c>
      <c r="AG531" s="4" t="str">
        <f t="array" ref="AG531">XLOOKUP(AC531,'Dados Funil'!A:A,'Dados Funil'!AM:AM,"")</f>
        <v/>
      </c>
      <c r="AH531" s="4" t="str">
        <f t="array" ref="AH531">XLOOKUP(AC531,'Dados Funil'!A:A,'Dados Funil'!AN:AN,"")</f>
        <v/>
      </c>
    </row>
    <row r="532">
      <c r="A532" s="4"/>
      <c r="B532" s="4"/>
      <c r="C532" s="7" t="str">
        <f t="shared" si="1"/>
        <v/>
      </c>
      <c r="D532" s="4" t="str">
        <f t="shared" si="9"/>
        <v/>
      </c>
      <c r="E532" s="4" t="str">
        <f t="array" ref="E532">XLOOKUP(A532,'Dados Funil'!$A:$A,'Dados Funil'!$K:$K,"")</f>
        <v/>
      </c>
      <c r="F532" s="4" t="str">
        <f t="array" ref="F532">XLOOKUP(A532,'Dados Funil'!$A:$A,'Dados Funil'!$L:$L,"")</f>
        <v/>
      </c>
      <c r="G532" s="4"/>
      <c r="H532" s="4"/>
      <c r="I532" s="7" t="str">
        <f t="shared" si="2"/>
        <v/>
      </c>
      <c r="J532" s="4" t="str">
        <f t="shared" si="10"/>
        <v/>
      </c>
      <c r="K532" s="4" t="str">
        <f t="array" ref="K532">XLOOKUP(G532,'Dados Funil'!A:A,'Dados Funil'!O:O,"")</f>
        <v/>
      </c>
      <c r="L532" s="4"/>
      <c r="M532" s="4"/>
      <c r="N532" s="7" t="str">
        <f t="shared" si="3"/>
        <v/>
      </c>
      <c r="O532" s="4" t="str">
        <f t="shared" si="11"/>
        <v/>
      </c>
      <c r="P532" s="4" t="str">
        <f t="array" ref="P532">XLOOKUP(L532,'Dados Funil'!A:A,'Dados Funil'!AM:AM,"")</f>
        <v/>
      </c>
      <c r="Q532" s="4" t="str">
        <f t="array" ref="Q532">XLOOKUP(L532,'Dados Funil'!A:A,'Dados Funil'!AN:AN,"")</f>
        <v/>
      </c>
      <c r="T532" s="7" t="str">
        <f t="shared" si="4"/>
        <v/>
      </c>
      <c r="U532" s="4" t="str">
        <f t="shared" si="12"/>
        <v/>
      </c>
      <c r="V532" s="4" t="str">
        <f t="array" ref="V532">XLOOKUP(R532,'Dados Funil'!$A:$A,'Dados Funil'!$K:$K,"")</f>
        <v/>
      </c>
      <c r="W532" s="4" t="str">
        <f t="array" ref="W532">XLOOKUP(R532,'Dados Funil'!$A:$A,'Dados Funil'!$L:$L,"")</f>
        <v/>
      </c>
      <c r="X532" s="4"/>
      <c r="Y532" s="4"/>
      <c r="Z532" s="7" t="str">
        <f t="shared" si="5"/>
        <v/>
      </c>
      <c r="AA532" s="4" t="str">
        <f t="shared" si="13"/>
        <v/>
      </c>
      <c r="AB532" s="4" t="str">
        <f t="array" ref="AB532">XLOOKUP(X532,'Dados Funil'!A:A,'Dados Funil'!O:O,"")</f>
        <v/>
      </c>
      <c r="AE532" s="7" t="str">
        <f t="shared" si="6"/>
        <v/>
      </c>
      <c r="AG532" s="4" t="str">
        <f t="array" ref="AG532">XLOOKUP(AC532,'Dados Funil'!A:A,'Dados Funil'!AM:AM,"")</f>
        <v/>
      </c>
      <c r="AH532" s="4" t="str">
        <f t="array" ref="AH532">XLOOKUP(AC532,'Dados Funil'!A:A,'Dados Funil'!AN:AN,"")</f>
        <v/>
      </c>
    </row>
    <row r="533">
      <c r="A533" s="4"/>
      <c r="B533" s="4"/>
      <c r="C533" s="7" t="str">
        <f t="shared" si="1"/>
        <v/>
      </c>
      <c r="D533" s="4" t="str">
        <f t="shared" si="9"/>
        <v/>
      </c>
      <c r="E533" s="4" t="str">
        <f t="array" ref="E533">XLOOKUP(A533,'Dados Funil'!$A:$A,'Dados Funil'!$K:$K,"")</f>
        <v/>
      </c>
      <c r="F533" s="4" t="str">
        <f t="array" ref="F533">XLOOKUP(A533,'Dados Funil'!$A:$A,'Dados Funil'!$L:$L,"")</f>
        <v/>
      </c>
      <c r="G533" s="4"/>
      <c r="H533" s="4"/>
      <c r="I533" s="7" t="str">
        <f t="shared" si="2"/>
        <v/>
      </c>
      <c r="J533" s="4" t="str">
        <f t="shared" si="10"/>
        <v/>
      </c>
      <c r="K533" s="4" t="str">
        <f t="array" ref="K533">XLOOKUP(G533,'Dados Funil'!A:A,'Dados Funil'!O:O,"")</f>
        <v/>
      </c>
      <c r="L533" s="4"/>
      <c r="M533" s="4"/>
      <c r="N533" s="7" t="str">
        <f t="shared" si="3"/>
        <v/>
      </c>
      <c r="O533" s="4" t="str">
        <f t="shared" si="11"/>
        <v/>
      </c>
      <c r="P533" s="4" t="str">
        <f t="array" ref="P533">XLOOKUP(L533,'Dados Funil'!A:A,'Dados Funil'!AM:AM,"")</f>
        <v/>
      </c>
      <c r="Q533" s="4" t="str">
        <f t="array" ref="Q533">XLOOKUP(L533,'Dados Funil'!A:A,'Dados Funil'!AN:AN,"")</f>
        <v/>
      </c>
      <c r="T533" s="7" t="str">
        <f t="shared" si="4"/>
        <v/>
      </c>
      <c r="U533" s="4" t="str">
        <f t="shared" si="12"/>
        <v/>
      </c>
      <c r="V533" s="4" t="str">
        <f t="array" ref="V533">XLOOKUP(R533,'Dados Funil'!$A:$A,'Dados Funil'!$K:$K,"")</f>
        <v/>
      </c>
      <c r="W533" s="4" t="str">
        <f t="array" ref="W533">XLOOKUP(R533,'Dados Funil'!$A:$A,'Dados Funil'!$L:$L,"")</f>
        <v/>
      </c>
      <c r="X533" s="4"/>
      <c r="Y533" s="4"/>
      <c r="Z533" s="7" t="str">
        <f t="shared" si="5"/>
        <v/>
      </c>
      <c r="AA533" s="4" t="str">
        <f t="shared" si="13"/>
        <v/>
      </c>
      <c r="AB533" s="4" t="str">
        <f t="array" ref="AB533">XLOOKUP(X533,'Dados Funil'!A:A,'Dados Funil'!O:O,"")</f>
        <v/>
      </c>
      <c r="AE533" s="7" t="str">
        <f t="shared" si="6"/>
        <v/>
      </c>
      <c r="AG533" s="4" t="str">
        <f t="array" ref="AG533">XLOOKUP(AC533,'Dados Funil'!A:A,'Dados Funil'!AM:AM,"")</f>
        <v/>
      </c>
      <c r="AH533" s="4" t="str">
        <f t="array" ref="AH533">XLOOKUP(AC533,'Dados Funil'!A:A,'Dados Funil'!AN:AN,"")</f>
        <v/>
      </c>
    </row>
    <row r="534">
      <c r="A534" s="4"/>
      <c r="B534" s="4"/>
      <c r="C534" s="7" t="str">
        <f t="shared" si="1"/>
        <v/>
      </c>
      <c r="D534" s="4" t="str">
        <f t="shared" si="9"/>
        <v/>
      </c>
      <c r="E534" s="4" t="str">
        <f t="array" ref="E534">XLOOKUP(A534,'Dados Funil'!$A:$A,'Dados Funil'!$K:$K,"")</f>
        <v/>
      </c>
      <c r="F534" s="4" t="str">
        <f t="array" ref="F534">XLOOKUP(A534,'Dados Funil'!$A:$A,'Dados Funil'!$L:$L,"")</f>
        <v/>
      </c>
      <c r="G534" s="4"/>
      <c r="H534" s="4"/>
      <c r="I534" s="7" t="str">
        <f t="shared" si="2"/>
        <v/>
      </c>
      <c r="J534" s="4" t="str">
        <f t="shared" si="10"/>
        <v/>
      </c>
      <c r="K534" s="4" t="str">
        <f t="array" ref="K534">XLOOKUP(G534,'Dados Funil'!A:A,'Dados Funil'!O:O,"")</f>
        <v/>
      </c>
      <c r="L534" s="4"/>
      <c r="M534" s="4"/>
      <c r="N534" s="7" t="str">
        <f t="shared" si="3"/>
        <v/>
      </c>
      <c r="O534" s="4" t="str">
        <f t="shared" si="11"/>
        <v/>
      </c>
      <c r="P534" s="4" t="str">
        <f t="array" ref="P534">XLOOKUP(L534,'Dados Funil'!A:A,'Dados Funil'!AM:AM,"")</f>
        <v/>
      </c>
      <c r="Q534" s="4" t="str">
        <f t="array" ref="Q534">XLOOKUP(L534,'Dados Funil'!A:A,'Dados Funil'!AN:AN,"")</f>
        <v/>
      </c>
      <c r="T534" s="7" t="str">
        <f t="shared" si="4"/>
        <v/>
      </c>
      <c r="U534" s="4" t="str">
        <f t="shared" si="12"/>
        <v/>
      </c>
      <c r="V534" s="4" t="str">
        <f t="array" ref="V534">XLOOKUP(R534,'Dados Funil'!$A:$A,'Dados Funil'!$K:$K,"")</f>
        <v/>
      </c>
      <c r="W534" s="4" t="str">
        <f t="array" ref="W534">XLOOKUP(R534,'Dados Funil'!$A:$A,'Dados Funil'!$L:$L,"")</f>
        <v/>
      </c>
      <c r="X534" s="4"/>
      <c r="Y534" s="4"/>
      <c r="Z534" s="7" t="str">
        <f t="shared" si="5"/>
        <v/>
      </c>
      <c r="AA534" s="4" t="str">
        <f t="shared" si="13"/>
        <v/>
      </c>
      <c r="AB534" s="4" t="str">
        <f t="array" ref="AB534">XLOOKUP(X534,'Dados Funil'!A:A,'Dados Funil'!O:O,"")</f>
        <v/>
      </c>
      <c r="AE534" s="7" t="str">
        <f t="shared" si="6"/>
        <v/>
      </c>
      <c r="AG534" s="4" t="str">
        <f t="array" ref="AG534">XLOOKUP(AC534,'Dados Funil'!A:A,'Dados Funil'!AM:AM,"")</f>
        <v/>
      </c>
      <c r="AH534" s="4" t="str">
        <f t="array" ref="AH534">XLOOKUP(AC534,'Dados Funil'!A:A,'Dados Funil'!AN:AN,"")</f>
        <v/>
      </c>
    </row>
    <row r="535">
      <c r="A535" s="4"/>
      <c r="B535" s="4"/>
      <c r="C535" s="7" t="str">
        <f t="shared" si="1"/>
        <v/>
      </c>
      <c r="D535" s="4" t="str">
        <f t="shared" si="9"/>
        <v/>
      </c>
      <c r="E535" s="4" t="str">
        <f t="array" ref="E535">XLOOKUP(A535,'Dados Funil'!$A:$A,'Dados Funil'!$K:$K,"")</f>
        <v/>
      </c>
      <c r="F535" s="4" t="str">
        <f t="array" ref="F535">XLOOKUP(A535,'Dados Funil'!$A:$A,'Dados Funil'!$L:$L,"")</f>
        <v/>
      </c>
      <c r="G535" s="4"/>
      <c r="H535" s="4"/>
      <c r="I535" s="7" t="str">
        <f t="shared" si="2"/>
        <v/>
      </c>
      <c r="J535" s="4" t="str">
        <f t="shared" si="10"/>
        <v/>
      </c>
      <c r="K535" s="4" t="str">
        <f t="array" ref="K535">XLOOKUP(G535,'Dados Funil'!A:A,'Dados Funil'!O:O,"")</f>
        <v/>
      </c>
      <c r="L535" s="4"/>
      <c r="M535" s="4"/>
      <c r="N535" s="7" t="str">
        <f t="shared" si="3"/>
        <v/>
      </c>
      <c r="O535" s="4" t="str">
        <f t="shared" si="11"/>
        <v/>
      </c>
      <c r="P535" s="4" t="str">
        <f t="array" ref="P535">XLOOKUP(L535,'Dados Funil'!A:A,'Dados Funil'!AM:AM,"")</f>
        <v/>
      </c>
      <c r="Q535" s="4" t="str">
        <f t="array" ref="Q535">XLOOKUP(L535,'Dados Funil'!A:A,'Dados Funil'!AN:AN,"")</f>
        <v/>
      </c>
      <c r="T535" s="7" t="str">
        <f t="shared" si="4"/>
        <v/>
      </c>
      <c r="U535" s="4" t="str">
        <f t="shared" si="12"/>
        <v/>
      </c>
      <c r="V535" s="4" t="str">
        <f t="array" ref="V535">XLOOKUP(R535,'Dados Funil'!$A:$A,'Dados Funil'!$K:$K,"")</f>
        <v/>
      </c>
      <c r="W535" s="4" t="str">
        <f t="array" ref="W535">XLOOKUP(R535,'Dados Funil'!$A:$A,'Dados Funil'!$L:$L,"")</f>
        <v/>
      </c>
      <c r="X535" s="4"/>
      <c r="Y535" s="4"/>
      <c r="Z535" s="7" t="str">
        <f t="shared" si="5"/>
        <v/>
      </c>
      <c r="AA535" s="4" t="str">
        <f t="shared" si="13"/>
        <v/>
      </c>
      <c r="AB535" s="4" t="str">
        <f t="array" ref="AB535">XLOOKUP(X535,'Dados Funil'!A:A,'Dados Funil'!O:O,"")</f>
        <v/>
      </c>
      <c r="AE535" s="7" t="str">
        <f t="shared" si="6"/>
        <v/>
      </c>
      <c r="AG535" s="4" t="str">
        <f t="array" ref="AG535">XLOOKUP(AC535,'Dados Funil'!A:A,'Dados Funil'!AM:AM,"")</f>
        <v/>
      </c>
      <c r="AH535" s="4" t="str">
        <f t="array" ref="AH535">XLOOKUP(AC535,'Dados Funil'!A:A,'Dados Funil'!AN:AN,"")</f>
        <v/>
      </c>
    </row>
    <row r="536">
      <c r="A536" s="4"/>
      <c r="B536" s="4"/>
      <c r="C536" s="7" t="str">
        <f t="shared" si="1"/>
        <v/>
      </c>
      <c r="D536" s="4" t="str">
        <f t="shared" si="9"/>
        <v/>
      </c>
      <c r="E536" s="4" t="str">
        <f t="array" ref="E536">XLOOKUP(A536,'Dados Funil'!$A:$A,'Dados Funil'!$K:$K,"")</f>
        <v/>
      </c>
      <c r="F536" s="4" t="str">
        <f t="array" ref="F536">XLOOKUP(A536,'Dados Funil'!$A:$A,'Dados Funil'!$L:$L,"")</f>
        <v/>
      </c>
      <c r="G536" s="4"/>
      <c r="H536" s="4"/>
      <c r="I536" s="7" t="str">
        <f t="shared" si="2"/>
        <v/>
      </c>
      <c r="J536" s="4" t="str">
        <f t="shared" si="10"/>
        <v/>
      </c>
      <c r="K536" s="4" t="str">
        <f t="array" ref="K536">XLOOKUP(G536,'Dados Funil'!A:A,'Dados Funil'!O:O,"")</f>
        <v/>
      </c>
      <c r="L536" s="4"/>
      <c r="M536" s="4"/>
      <c r="N536" s="7" t="str">
        <f t="shared" si="3"/>
        <v/>
      </c>
      <c r="O536" s="4" t="str">
        <f t="shared" si="11"/>
        <v/>
      </c>
      <c r="P536" s="4" t="str">
        <f t="array" ref="P536">XLOOKUP(L536,'Dados Funil'!A:A,'Dados Funil'!AM:AM,"")</f>
        <v/>
      </c>
      <c r="Q536" s="4" t="str">
        <f t="array" ref="Q536">XLOOKUP(L536,'Dados Funil'!A:A,'Dados Funil'!AN:AN,"")</f>
        <v/>
      </c>
      <c r="T536" s="7" t="str">
        <f t="shared" si="4"/>
        <v/>
      </c>
      <c r="U536" s="4" t="str">
        <f t="shared" si="12"/>
        <v/>
      </c>
      <c r="V536" s="4" t="str">
        <f t="array" ref="V536">XLOOKUP(R536,'Dados Funil'!$A:$A,'Dados Funil'!$K:$K,"")</f>
        <v/>
      </c>
      <c r="W536" s="4" t="str">
        <f t="array" ref="W536">XLOOKUP(R536,'Dados Funil'!$A:$A,'Dados Funil'!$L:$L,"")</f>
        <v/>
      </c>
      <c r="X536" s="4"/>
      <c r="Y536" s="4"/>
      <c r="Z536" s="7" t="str">
        <f t="shared" si="5"/>
        <v/>
      </c>
      <c r="AA536" s="4" t="str">
        <f t="shared" si="13"/>
        <v/>
      </c>
      <c r="AB536" s="4" t="str">
        <f t="array" ref="AB536">XLOOKUP(X536,'Dados Funil'!A:A,'Dados Funil'!O:O,"")</f>
        <v/>
      </c>
      <c r="AE536" s="7" t="str">
        <f t="shared" si="6"/>
        <v/>
      </c>
      <c r="AG536" s="4" t="str">
        <f t="array" ref="AG536">XLOOKUP(AC536,'Dados Funil'!A:A,'Dados Funil'!AM:AM,"")</f>
        <v/>
      </c>
      <c r="AH536" s="4" t="str">
        <f t="array" ref="AH536">XLOOKUP(AC536,'Dados Funil'!A:A,'Dados Funil'!AN:AN,"")</f>
        <v/>
      </c>
    </row>
    <row r="537">
      <c r="A537" s="4"/>
      <c r="B537" s="4"/>
      <c r="C537" s="7" t="str">
        <f t="shared" si="1"/>
        <v/>
      </c>
      <c r="D537" s="4" t="str">
        <f t="shared" si="9"/>
        <v/>
      </c>
      <c r="E537" s="4" t="str">
        <f t="array" ref="E537">XLOOKUP(A537,'Dados Funil'!$A:$A,'Dados Funil'!$K:$K,"")</f>
        <v/>
      </c>
      <c r="F537" s="4" t="str">
        <f t="array" ref="F537">XLOOKUP(A537,'Dados Funil'!$A:$A,'Dados Funil'!$L:$L,"")</f>
        <v/>
      </c>
      <c r="G537" s="4"/>
      <c r="H537" s="4"/>
      <c r="I537" s="7" t="str">
        <f t="shared" si="2"/>
        <v/>
      </c>
      <c r="J537" s="4" t="str">
        <f t="shared" si="10"/>
        <v/>
      </c>
      <c r="K537" s="4" t="str">
        <f t="array" ref="K537">XLOOKUP(G537,'Dados Funil'!A:A,'Dados Funil'!O:O,"")</f>
        <v/>
      </c>
      <c r="L537" s="4"/>
      <c r="M537" s="4"/>
      <c r="N537" s="7" t="str">
        <f t="shared" si="3"/>
        <v/>
      </c>
      <c r="O537" s="4" t="str">
        <f t="shared" si="11"/>
        <v/>
      </c>
      <c r="P537" s="4" t="str">
        <f t="array" ref="P537">XLOOKUP(L537,'Dados Funil'!A:A,'Dados Funil'!AM:AM,"")</f>
        <v/>
      </c>
      <c r="Q537" s="4" t="str">
        <f t="array" ref="Q537">XLOOKUP(L537,'Dados Funil'!A:A,'Dados Funil'!AN:AN,"")</f>
        <v/>
      </c>
      <c r="T537" s="7" t="str">
        <f t="shared" si="4"/>
        <v/>
      </c>
      <c r="U537" s="4" t="str">
        <f t="shared" si="12"/>
        <v/>
      </c>
      <c r="V537" s="4" t="str">
        <f t="array" ref="V537">XLOOKUP(R537,'Dados Funil'!$A:$A,'Dados Funil'!$K:$K,"")</f>
        <v/>
      </c>
      <c r="W537" s="4" t="str">
        <f t="array" ref="W537">XLOOKUP(R537,'Dados Funil'!$A:$A,'Dados Funil'!$L:$L,"")</f>
        <v/>
      </c>
      <c r="X537" s="4"/>
      <c r="Y537" s="4"/>
      <c r="Z537" s="7" t="str">
        <f t="shared" si="5"/>
        <v/>
      </c>
      <c r="AA537" s="4" t="str">
        <f t="shared" si="13"/>
        <v/>
      </c>
      <c r="AB537" s="4" t="str">
        <f t="array" ref="AB537">XLOOKUP(X537,'Dados Funil'!A:A,'Dados Funil'!O:O,"")</f>
        <v/>
      </c>
      <c r="AE537" s="7" t="str">
        <f t="shared" si="6"/>
        <v/>
      </c>
      <c r="AG537" s="4" t="str">
        <f t="array" ref="AG537">XLOOKUP(AC537,'Dados Funil'!A:A,'Dados Funil'!AM:AM,"")</f>
        <v/>
      </c>
      <c r="AH537" s="4" t="str">
        <f t="array" ref="AH537">XLOOKUP(AC537,'Dados Funil'!A:A,'Dados Funil'!AN:AN,"")</f>
        <v/>
      </c>
    </row>
    <row r="538">
      <c r="A538" s="4"/>
      <c r="B538" s="4"/>
      <c r="C538" s="7" t="str">
        <f t="shared" si="1"/>
        <v/>
      </c>
      <c r="D538" s="4" t="str">
        <f t="shared" si="9"/>
        <v/>
      </c>
      <c r="E538" s="4" t="str">
        <f t="array" ref="E538">XLOOKUP(A538,'Dados Funil'!$A:$A,'Dados Funil'!$K:$K,"")</f>
        <v/>
      </c>
      <c r="F538" s="4" t="str">
        <f t="array" ref="F538">XLOOKUP(A538,'Dados Funil'!$A:$A,'Dados Funil'!$L:$L,"")</f>
        <v/>
      </c>
      <c r="G538" s="4"/>
      <c r="H538" s="4"/>
      <c r="I538" s="7" t="str">
        <f t="shared" si="2"/>
        <v/>
      </c>
      <c r="J538" s="4" t="str">
        <f t="shared" si="10"/>
        <v/>
      </c>
      <c r="K538" s="4" t="str">
        <f t="array" ref="K538">XLOOKUP(G538,'Dados Funil'!A:A,'Dados Funil'!O:O,"")</f>
        <v/>
      </c>
      <c r="L538" s="4"/>
      <c r="M538" s="4"/>
      <c r="N538" s="7" t="str">
        <f t="shared" si="3"/>
        <v/>
      </c>
      <c r="O538" s="4" t="str">
        <f t="shared" si="11"/>
        <v/>
      </c>
      <c r="P538" s="4" t="str">
        <f t="array" ref="P538">XLOOKUP(L538,'Dados Funil'!A:A,'Dados Funil'!AM:AM,"")</f>
        <v/>
      </c>
      <c r="Q538" s="4" t="str">
        <f t="array" ref="Q538">XLOOKUP(L538,'Dados Funil'!A:A,'Dados Funil'!AN:AN,"")</f>
        <v/>
      </c>
      <c r="T538" s="7" t="str">
        <f t="shared" si="4"/>
        <v/>
      </c>
      <c r="U538" s="4" t="str">
        <f t="shared" si="12"/>
        <v/>
      </c>
      <c r="V538" s="4" t="str">
        <f t="array" ref="V538">XLOOKUP(R538,'Dados Funil'!$A:$A,'Dados Funil'!$K:$K,"")</f>
        <v/>
      </c>
      <c r="W538" s="4" t="str">
        <f t="array" ref="W538">XLOOKUP(R538,'Dados Funil'!$A:$A,'Dados Funil'!$L:$L,"")</f>
        <v/>
      </c>
      <c r="X538" s="4"/>
      <c r="Y538" s="4"/>
      <c r="Z538" s="7" t="str">
        <f t="shared" si="5"/>
        <v/>
      </c>
      <c r="AA538" s="4" t="str">
        <f t="shared" si="13"/>
        <v/>
      </c>
      <c r="AB538" s="4" t="str">
        <f t="array" ref="AB538">XLOOKUP(X538,'Dados Funil'!A:A,'Dados Funil'!O:O,"")</f>
        <v/>
      </c>
      <c r="AE538" s="7" t="str">
        <f t="shared" si="6"/>
        <v/>
      </c>
      <c r="AG538" s="4" t="str">
        <f t="array" ref="AG538">XLOOKUP(AC538,'Dados Funil'!A:A,'Dados Funil'!AM:AM,"")</f>
        <v/>
      </c>
      <c r="AH538" s="4" t="str">
        <f t="array" ref="AH538">XLOOKUP(AC538,'Dados Funil'!A:A,'Dados Funil'!AN:AN,"")</f>
        <v/>
      </c>
    </row>
    <row r="539">
      <c r="A539" s="4"/>
      <c r="B539" s="4"/>
      <c r="C539" s="7" t="str">
        <f t="shared" si="1"/>
        <v/>
      </c>
      <c r="D539" s="4" t="str">
        <f t="shared" si="9"/>
        <v/>
      </c>
      <c r="E539" s="4" t="str">
        <f t="array" ref="E539">XLOOKUP(A539,'Dados Funil'!$A:$A,'Dados Funil'!$K:$K,"")</f>
        <v/>
      </c>
      <c r="F539" s="4" t="str">
        <f t="array" ref="F539">XLOOKUP(A539,'Dados Funil'!$A:$A,'Dados Funil'!$L:$L,"")</f>
        <v/>
      </c>
      <c r="G539" s="4"/>
      <c r="H539" s="4"/>
      <c r="I539" s="7" t="str">
        <f t="shared" si="2"/>
        <v/>
      </c>
      <c r="J539" s="4" t="str">
        <f t="shared" si="10"/>
        <v/>
      </c>
      <c r="K539" s="4" t="str">
        <f t="array" ref="K539">XLOOKUP(G539,'Dados Funil'!A:A,'Dados Funil'!O:O,"")</f>
        <v/>
      </c>
      <c r="L539" s="4"/>
      <c r="M539" s="4"/>
      <c r="N539" s="7" t="str">
        <f t="shared" si="3"/>
        <v/>
      </c>
      <c r="O539" s="4" t="str">
        <f t="shared" si="11"/>
        <v/>
      </c>
      <c r="P539" s="4" t="str">
        <f t="array" ref="P539">XLOOKUP(L539,'Dados Funil'!A:A,'Dados Funil'!AM:AM,"")</f>
        <v/>
      </c>
      <c r="Q539" s="4" t="str">
        <f t="array" ref="Q539">XLOOKUP(L539,'Dados Funil'!A:A,'Dados Funil'!AN:AN,"")</f>
        <v/>
      </c>
      <c r="T539" s="7" t="str">
        <f t="shared" si="4"/>
        <v/>
      </c>
      <c r="U539" s="4" t="str">
        <f t="shared" si="12"/>
        <v/>
      </c>
      <c r="V539" s="4" t="str">
        <f t="array" ref="V539">XLOOKUP(R539,'Dados Funil'!$A:$A,'Dados Funil'!$K:$K,"")</f>
        <v/>
      </c>
      <c r="W539" s="4" t="str">
        <f t="array" ref="W539">XLOOKUP(R539,'Dados Funil'!$A:$A,'Dados Funil'!$L:$L,"")</f>
        <v/>
      </c>
      <c r="X539" s="4"/>
      <c r="Y539" s="4"/>
      <c r="Z539" s="7" t="str">
        <f t="shared" si="5"/>
        <v/>
      </c>
      <c r="AA539" s="4" t="str">
        <f t="shared" si="13"/>
        <v/>
      </c>
      <c r="AB539" s="4" t="str">
        <f t="array" ref="AB539">XLOOKUP(X539,'Dados Funil'!A:A,'Dados Funil'!O:O,"")</f>
        <v/>
      </c>
      <c r="AE539" s="7" t="str">
        <f t="shared" si="6"/>
        <v/>
      </c>
      <c r="AG539" s="4" t="str">
        <f t="array" ref="AG539">XLOOKUP(AC539,'Dados Funil'!A:A,'Dados Funil'!AM:AM,"")</f>
        <v/>
      </c>
      <c r="AH539" s="4" t="str">
        <f t="array" ref="AH539">XLOOKUP(AC539,'Dados Funil'!A:A,'Dados Funil'!AN:AN,"")</f>
        <v/>
      </c>
    </row>
    <row r="540">
      <c r="A540" s="4"/>
      <c r="B540" s="4"/>
      <c r="C540" s="7" t="str">
        <f t="shared" si="1"/>
        <v/>
      </c>
      <c r="D540" s="4" t="str">
        <f t="shared" si="9"/>
        <v/>
      </c>
      <c r="E540" s="4" t="str">
        <f t="array" ref="E540">XLOOKUP(A540,'Dados Funil'!$A:$A,'Dados Funil'!$K:$K,"")</f>
        <v/>
      </c>
      <c r="F540" s="4" t="str">
        <f t="array" ref="F540">XLOOKUP(A540,'Dados Funil'!$A:$A,'Dados Funil'!$L:$L,"")</f>
        <v/>
      </c>
      <c r="G540" s="4"/>
      <c r="H540" s="4"/>
      <c r="I540" s="7" t="str">
        <f t="shared" si="2"/>
        <v/>
      </c>
      <c r="J540" s="4" t="str">
        <f t="shared" si="10"/>
        <v/>
      </c>
      <c r="K540" s="4" t="str">
        <f t="array" ref="K540">XLOOKUP(G540,'Dados Funil'!A:A,'Dados Funil'!O:O,"")</f>
        <v/>
      </c>
      <c r="L540" s="4"/>
      <c r="M540" s="4"/>
      <c r="N540" s="7" t="str">
        <f t="shared" si="3"/>
        <v/>
      </c>
      <c r="O540" s="4" t="str">
        <f t="shared" si="11"/>
        <v/>
      </c>
      <c r="P540" s="4" t="str">
        <f t="array" ref="P540">XLOOKUP(L540,'Dados Funil'!A:A,'Dados Funil'!AM:AM,"")</f>
        <v/>
      </c>
      <c r="Q540" s="4" t="str">
        <f t="array" ref="Q540">XLOOKUP(L540,'Dados Funil'!A:A,'Dados Funil'!AN:AN,"")</f>
        <v/>
      </c>
      <c r="T540" s="7" t="str">
        <f t="shared" si="4"/>
        <v/>
      </c>
      <c r="U540" s="4" t="str">
        <f t="shared" si="12"/>
        <v/>
      </c>
      <c r="V540" s="4" t="str">
        <f t="array" ref="V540">XLOOKUP(R540,'Dados Funil'!$A:$A,'Dados Funil'!$K:$K,"")</f>
        <v/>
      </c>
      <c r="W540" s="4" t="str">
        <f t="array" ref="W540">XLOOKUP(R540,'Dados Funil'!$A:$A,'Dados Funil'!$L:$L,"")</f>
        <v/>
      </c>
      <c r="X540" s="4"/>
      <c r="Y540" s="4"/>
      <c r="Z540" s="7" t="str">
        <f t="shared" si="5"/>
        <v/>
      </c>
      <c r="AA540" s="4" t="str">
        <f t="shared" si="13"/>
        <v/>
      </c>
      <c r="AB540" s="4" t="str">
        <f t="array" ref="AB540">XLOOKUP(X540,'Dados Funil'!A:A,'Dados Funil'!O:O,"")</f>
        <v/>
      </c>
      <c r="AE540" s="7" t="str">
        <f t="shared" si="6"/>
        <v/>
      </c>
      <c r="AG540" s="4" t="str">
        <f t="array" ref="AG540">XLOOKUP(AC540,'Dados Funil'!A:A,'Dados Funil'!AM:AM,"")</f>
        <v/>
      </c>
      <c r="AH540" s="4" t="str">
        <f t="array" ref="AH540">XLOOKUP(AC540,'Dados Funil'!A:A,'Dados Funil'!AN:AN,"")</f>
        <v/>
      </c>
    </row>
    <row r="541">
      <c r="A541" s="4"/>
      <c r="B541" s="4"/>
      <c r="C541" s="7" t="str">
        <f t="shared" si="1"/>
        <v/>
      </c>
      <c r="D541" s="4" t="str">
        <f t="shared" si="9"/>
        <v/>
      </c>
      <c r="E541" s="4" t="str">
        <f t="array" ref="E541">XLOOKUP(A541,'Dados Funil'!$A:$A,'Dados Funil'!$K:$K,"")</f>
        <v/>
      </c>
      <c r="F541" s="4" t="str">
        <f t="array" ref="F541">XLOOKUP(A541,'Dados Funil'!$A:$A,'Dados Funil'!$L:$L,"")</f>
        <v/>
      </c>
      <c r="G541" s="4"/>
      <c r="H541" s="4"/>
      <c r="I541" s="7" t="str">
        <f t="shared" si="2"/>
        <v/>
      </c>
      <c r="J541" s="4" t="str">
        <f t="shared" si="10"/>
        <v/>
      </c>
      <c r="K541" s="4" t="str">
        <f t="array" ref="K541">XLOOKUP(G541,'Dados Funil'!A:A,'Dados Funil'!O:O,"")</f>
        <v/>
      </c>
      <c r="L541" s="4"/>
      <c r="M541" s="4"/>
      <c r="N541" s="7" t="str">
        <f t="shared" si="3"/>
        <v/>
      </c>
      <c r="O541" s="4" t="str">
        <f t="shared" si="11"/>
        <v/>
      </c>
      <c r="P541" s="4" t="str">
        <f t="array" ref="P541">XLOOKUP(L541,'Dados Funil'!A:A,'Dados Funil'!AM:AM,"")</f>
        <v/>
      </c>
      <c r="Q541" s="4" t="str">
        <f t="array" ref="Q541">XLOOKUP(L541,'Dados Funil'!A:A,'Dados Funil'!AN:AN,"")</f>
        <v/>
      </c>
      <c r="T541" s="7" t="str">
        <f t="shared" si="4"/>
        <v/>
      </c>
      <c r="U541" s="4" t="str">
        <f t="shared" si="12"/>
        <v/>
      </c>
      <c r="V541" s="4" t="str">
        <f t="array" ref="V541">XLOOKUP(R541,'Dados Funil'!$A:$A,'Dados Funil'!$K:$K,"")</f>
        <v/>
      </c>
      <c r="W541" s="4" t="str">
        <f t="array" ref="W541">XLOOKUP(R541,'Dados Funil'!$A:$A,'Dados Funil'!$L:$L,"")</f>
        <v/>
      </c>
      <c r="X541" s="4"/>
      <c r="Y541" s="4"/>
      <c r="Z541" s="7" t="str">
        <f t="shared" si="5"/>
        <v/>
      </c>
      <c r="AA541" s="4" t="str">
        <f t="shared" si="13"/>
        <v/>
      </c>
      <c r="AB541" s="4" t="str">
        <f t="array" ref="AB541">XLOOKUP(X541,'Dados Funil'!A:A,'Dados Funil'!O:O,"")</f>
        <v/>
      </c>
      <c r="AE541" s="7" t="str">
        <f t="shared" si="6"/>
        <v/>
      </c>
      <c r="AG541" s="4" t="str">
        <f t="array" ref="AG541">XLOOKUP(AC541,'Dados Funil'!A:A,'Dados Funil'!AM:AM,"")</f>
        <v/>
      </c>
      <c r="AH541" s="4" t="str">
        <f t="array" ref="AH541">XLOOKUP(AC541,'Dados Funil'!A:A,'Dados Funil'!AN:AN,"")</f>
        <v/>
      </c>
    </row>
    <row r="542">
      <c r="A542" s="4"/>
      <c r="B542" s="4"/>
      <c r="C542" s="7" t="str">
        <f t="shared" si="1"/>
        <v/>
      </c>
      <c r="D542" s="4" t="str">
        <f t="shared" si="9"/>
        <v/>
      </c>
      <c r="E542" s="4" t="str">
        <f t="array" ref="E542">XLOOKUP(A542,'Dados Funil'!$A:$A,'Dados Funil'!$K:$K,"")</f>
        <v/>
      </c>
      <c r="F542" s="4" t="str">
        <f t="array" ref="F542">XLOOKUP(A542,'Dados Funil'!$A:$A,'Dados Funil'!$L:$L,"")</f>
        <v/>
      </c>
      <c r="G542" s="4"/>
      <c r="H542" s="4"/>
      <c r="I542" s="7" t="str">
        <f t="shared" si="2"/>
        <v/>
      </c>
      <c r="J542" s="4" t="str">
        <f t="shared" si="10"/>
        <v/>
      </c>
      <c r="K542" s="4" t="str">
        <f t="array" ref="K542">XLOOKUP(G542,'Dados Funil'!A:A,'Dados Funil'!O:O,"")</f>
        <v/>
      </c>
      <c r="L542" s="4"/>
      <c r="M542" s="4"/>
      <c r="N542" s="7" t="str">
        <f t="shared" si="3"/>
        <v/>
      </c>
      <c r="O542" s="4" t="str">
        <f t="shared" si="11"/>
        <v/>
      </c>
      <c r="P542" s="4" t="str">
        <f t="array" ref="P542">XLOOKUP(L542,'Dados Funil'!A:A,'Dados Funil'!AM:AM,"")</f>
        <v/>
      </c>
      <c r="Q542" s="4" t="str">
        <f t="array" ref="Q542">XLOOKUP(L542,'Dados Funil'!A:A,'Dados Funil'!AN:AN,"")</f>
        <v/>
      </c>
      <c r="T542" s="7" t="str">
        <f t="shared" si="4"/>
        <v/>
      </c>
      <c r="U542" s="4" t="str">
        <f t="shared" si="12"/>
        <v/>
      </c>
      <c r="V542" s="4" t="str">
        <f t="array" ref="V542">XLOOKUP(R542,'Dados Funil'!$A:$A,'Dados Funil'!$K:$K,"")</f>
        <v/>
      </c>
      <c r="W542" s="4" t="str">
        <f t="array" ref="W542">XLOOKUP(R542,'Dados Funil'!$A:$A,'Dados Funil'!$L:$L,"")</f>
        <v/>
      </c>
      <c r="X542" s="4"/>
      <c r="Y542" s="4"/>
      <c r="Z542" s="7" t="str">
        <f t="shared" si="5"/>
        <v/>
      </c>
      <c r="AA542" s="4" t="str">
        <f t="shared" si="13"/>
        <v/>
      </c>
      <c r="AB542" s="4" t="str">
        <f t="array" ref="AB542">XLOOKUP(X542,'Dados Funil'!A:A,'Dados Funil'!O:O,"")</f>
        <v/>
      </c>
      <c r="AE542" s="7" t="str">
        <f t="shared" si="6"/>
        <v/>
      </c>
      <c r="AG542" s="4" t="str">
        <f t="array" ref="AG542">XLOOKUP(AC542,'Dados Funil'!A:A,'Dados Funil'!AM:AM,"")</f>
        <v/>
      </c>
      <c r="AH542" s="4" t="str">
        <f t="array" ref="AH542">XLOOKUP(AC542,'Dados Funil'!A:A,'Dados Funil'!AN:AN,"")</f>
        <v/>
      </c>
    </row>
    <row r="543">
      <c r="A543" s="4"/>
      <c r="B543" s="4"/>
      <c r="C543" s="7" t="str">
        <f t="shared" si="1"/>
        <v/>
      </c>
      <c r="D543" s="4" t="str">
        <f t="shared" si="9"/>
        <v/>
      </c>
      <c r="E543" s="4" t="str">
        <f t="array" ref="E543">XLOOKUP(A543,'Dados Funil'!$A:$A,'Dados Funil'!$K:$K,"")</f>
        <v/>
      </c>
      <c r="F543" s="4" t="str">
        <f t="array" ref="F543">XLOOKUP(A543,'Dados Funil'!$A:$A,'Dados Funil'!$L:$L,"")</f>
        <v/>
      </c>
      <c r="G543" s="4"/>
      <c r="H543" s="4"/>
      <c r="I543" s="7" t="str">
        <f t="shared" si="2"/>
        <v/>
      </c>
      <c r="J543" s="4" t="str">
        <f t="shared" si="10"/>
        <v/>
      </c>
      <c r="K543" s="4" t="str">
        <f t="array" ref="K543">XLOOKUP(G543,'Dados Funil'!A:A,'Dados Funil'!O:O,"")</f>
        <v/>
      </c>
      <c r="L543" s="4"/>
      <c r="M543" s="4"/>
      <c r="N543" s="7" t="str">
        <f t="shared" si="3"/>
        <v/>
      </c>
      <c r="O543" s="4" t="str">
        <f t="shared" si="11"/>
        <v/>
      </c>
      <c r="P543" s="4" t="str">
        <f t="array" ref="P543">XLOOKUP(L543,'Dados Funil'!A:A,'Dados Funil'!AM:AM,"")</f>
        <v/>
      </c>
      <c r="Q543" s="4" t="str">
        <f t="array" ref="Q543">XLOOKUP(L543,'Dados Funil'!A:A,'Dados Funil'!AN:AN,"")</f>
        <v/>
      </c>
      <c r="T543" s="7" t="str">
        <f t="shared" si="4"/>
        <v/>
      </c>
      <c r="U543" s="4" t="str">
        <f t="shared" si="12"/>
        <v/>
      </c>
      <c r="V543" s="4" t="str">
        <f t="array" ref="V543">XLOOKUP(R543,'Dados Funil'!$A:$A,'Dados Funil'!$K:$K,"")</f>
        <v/>
      </c>
      <c r="W543" s="4" t="str">
        <f t="array" ref="W543">XLOOKUP(R543,'Dados Funil'!$A:$A,'Dados Funil'!$L:$L,"")</f>
        <v/>
      </c>
      <c r="X543" s="4"/>
      <c r="Y543" s="4"/>
      <c r="Z543" s="7" t="str">
        <f t="shared" si="5"/>
        <v/>
      </c>
      <c r="AA543" s="4" t="str">
        <f t="shared" si="13"/>
        <v/>
      </c>
      <c r="AB543" s="4" t="str">
        <f t="array" ref="AB543">XLOOKUP(X543,'Dados Funil'!A:A,'Dados Funil'!O:O,"")</f>
        <v/>
      </c>
      <c r="AE543" s="7" t="str">
        <f t="shared" si="6"/>
        <v/>
      </c>
      <c r="AG543" s="4" t="str">
        <f t="array" ref="AG543">XLOOKUP(AC543,'Dados Funil'!A:A,'Dados Funil'!AM:AM,"")</f>
        <v/>
      </c>
      <c r="AH543" s="4" t="str">
        <f t="array" ref="AH543">XLOOKUP(AC543,'Dados Funil'!A:A,'Dados Funil'!AN:AN,"")</f>
        <v/>
      </c>
    </row>
    <row r="544">
      <c r="A544" s="4"/>
      <c r="B544" s="4"/>
      <c r="C544" s="7" t="str">
        <f t="shared" si="1"/>
        <v/>
      </c>
      <c r="D544" s="4" t="str">
        <f t="shared" si="9"/>
        <v/>
      </c>
      <c r="E544" s="4" t="str">
        <f t="array" ref="E544">XLOOKUP(A544,'Dados Funil'!$A:$A,'Dados Funil'!$K:$K,"")</f>
        <v/>
      </c>
      <c r="F544" s="4" t="str">
        <f t="array" ref="F544">XLOOKUP(A544,'Dados Funil'!$A:$A,'Dados Funil'!$L:$L,"")</f>
        <v/>
      </c>
      <c r="G544" s="4"/>
      <c r="H544" s="4"/>
      <c r="I544" s="7" t="str">
        <f t="shared" si="2"/>
        <v/>
      </c>
      <c r="J544" s="4" t="str">
        <f t="shared" si="10"/>
        <v/>
      </c>
      <c r="K544" s="4" t="str">
        <f t="array" ref="K544">XLOOKUP(G544,'Dados Funil'!A:A,'Dados Funil'!O:O,"")</f>
        <v/>
      </c>
      <c r="L544" s="4"/>
      <c r="M544" s="4"/>
      <c r="N544" s="7" t="str">
        <f t="shared" si="3"/>
        <v/>
      </c>
      <c r="O544" s="4" t="str">
        <f t="shared" si="11"/>
        <v/>
      </c>
      <c r="P544" s="4" t="str">
        <f t="array" ref="P544">XLOOKUP(L544,'Dados Funil'!A:A,'Dados Funil'!AM:AM,"")</f>
        <v/>
      </c>
      <c r="Q544" s="4" t="str">
        <f t="array" ref="Q544">XLOOKUP(L544,'Dados Funil'!A:A,'Dados Funil'!AN:AN,"")</f>
        <v/>
      </c>
      <c r="T544" s="7" t="str">
        <f t="shared" si="4"/>
        <v/>
      </c>
      <c r="U544" s="4" t="str">
        <f t="shared" si="12"/>
        <v/>
      </c>
      <c r="V544" s="4" t="str">
        <f t="array" ref="V544">XLOOKUP(R544,'Dados Funil'!$A:$A,'Dados Funil'!$K:$K,"")</f>
        <v/>
      </c>
      <c r="W544" s="4" t="str">
        <f t="array" ref="W544">XLOOKUP(R544,'Dados Funil'!$A:$A,'Dados Funil'!$L:$L,"")</f>
        <v/>
      </c>
      <c r="X544" s="4"/>
      <c r="Y544" s="4"/>
      <c r="Z544" s="7" t="str">
        <f t="shared" si="5"/>
        <v/>
      </c>
      <c r="AA544" s="4" t="str">
        <f t="shared" si="13"/>
        <v/>
      </c>
      <c r="AB544" s="4" t="str">
        <f t="array" ref="AB544">XLOOKUP(X544,'Dados Funil'!A:A,'Dados Funil'!O:O,"")</f>
        <v/>
      </c>
      <c r="AE544" s="7" t="str">
        <f t="shared" si="6"/>
        <v/>
      </c>
      <c r="AG544" s="4" t="str">
        <f t="array" ref="AG544">XLOOKUP(AC544,'Dados Funil'!A:A,'Dados Funil'!AM:AM,"")</f>
        <v/>
      </c>
      <c r="AH544" s="4" t="str">
        <f t="array" ref="AH544">XLOOKUP(AC544,'Dados Funil'!A:A,'Dados Funil'!AN:AN,"")</f>
        <v/>
      </c>
    </row>
    <row r="545">
      <c r="A545" s="4"/>
      <c r="B545" s="4"/>
      <c r="C545" s="7" t="str">
        <f t="shared" si="1"/>
        <v/>
      </c>
      <c r="D545" s="4" t="str">
        <f t="shared" si="9"/>
        <v/>
      </c>
      <c r="E545" s="4" t="str">
        <f t="array" ref="E545">XLOOKUP(A545,'Dados Funil'!$A:$A,'Dados Funil'!$K:$K,"")</f>
        <v/>
      </c>
      <c r="F545" s="4" t="str">
        <f t="array" ref="F545">XLOOKUP(A545,'Dados Funil'!$A:$A,'Dados Funil'!$L:$L,"")</f>
        <v/>
      </c>
      <c r="G545" s="4"/>
      <c r="H545" s="4"/>
      <c r="I545" s="7" t="str">
        <f t="shared" si="2"/>
        <v/>
      </c>
      <c r="J545" s="4" t="str">
        <f t="shared" si="10"/>
        <v/>
      </c>
      <c r="K545" s="4" t="str">
        <f t="array" ref="K545">XLOOKUP(G545,'Dados Funil'!A:A,'Dados Funil'!O:O,"")</f>
        <v/>
      </c>
      <c r="L545" s="4"/>
      <c r="M545" s="4"/>
      <c r="N545" s="7" t="str">
        <f t="shared" si="3"/>
        <v/>
      </c>
      <c r="O545" s="4" t="str">
        <f t="shared" si="11"/>
        <v/>
      </c>
      <c r="P545" s="4" t="str">
        <f t="array" ref="P545">XLOOKUP(L545,'Dados Funil'!A:A,'Dados Funil'!AM:AM,"")</f>
        <v/>
      </c>
      <c r="Q545" s="4" t="str">
        <f t="array" ref="Q545">XLOOKUP(L545,'Dados Funil'!A:A,'Dados Funil'!AN:AN,"")</f>
        <v/>
      </c>
      <c r="T545" s="7" t="str">
        <f t="shared" si="4"/>
        <v/>
      </c>
      <c r="U545" s="4" t="str">
        <f t="shared" si="12"/>
        <v/>
      </c>
      <c r="V545" s="4" t="str">
        <f t="array" ref="V545">XLOOKUP(R545,'Dados Funil'!$A:$A,'Dados Funil'!$K:$K,"")</f>
        <v/>
      </c>
      <c r="W545" s="4" t="str">
        <f t="array" ref="W545">XLOOKUP(R545,'Dados Funil'!$A:$A,'Dados Funil'!$L:$L,"")</f>
        <v/>
      </c>
      <c r="X545" s="4"/>
      <c r="Y545" s="4"/>
      <c r="Z545" s="7" t="str">
        <f t="shared" si="5"/>
        <v/>
      </c>
      <c r="AA545" s="4" t="str">
        <f t="shared" si="13"/>
        <v/>
      </c>
      <c r="AB545" s="4" t="str">
        <f t="array" ref="AB545">XLOOKUP(X545,'Dados Funil'!A:A,'Dados Funil'!O:O,"")</f>
        <v/>
      </c>
      <c r="AE545" s="7" t="str">
        <f t="shared" si="6"/>
        <v/>
      </c>
      <c r="AG545" s="4" t="str">
        <f t="array" ref="AG545">XLOOKUP(AC545,'Dados Funil'!A:A,'Dados Funil'!AM:AM,"")</f>
        <v/>
      </c>
      <c r="AH545" s="4" t="str">
        <f t="array" ref="AH545">XLOOKUP(AC545,'Dados Funil'!A:A,'Dados Funil'!AN:AN,"")</f>
        <v/>
      </c>
    </row>
    <row r="546">
      <c r="A546" s="4"/>
      <c r="B546" s="4"/>
      <c r="C546" s="7" t="str">
        <f t="shared" si="1"/>
        <v/>
      </c>
      <c r="D546" s="4" t="str">
        <f t="shared" si="9"/>
        <v/>
      </c>
      <c r="E546" s="4" t="str">
        <f t="array" ref="E546">XLOOKUP(A546,'Dados Funil'!$A:$A,'Dados Funil'!$K:$K,"")</f>
        <v/>
      </c>
      <c r="F546" s="4" t="str">
        <f t="array" ref="F546">XLOOKUP(A546,'Dados Funil'!$A:$A,'Dados Funil'!$L:$L,"")</f>
        <v/>
      </c>
      <c r="G546" s="4"/>
      <c r="H546" s="4"/>
      <c r="I546" s="7" t="str">
        <f t="shared" si="2"/>
        <v/>
      </c>
      <c r="J546" s="4" t="str">
        <f t="shared" si="10"/>
        <v/>
      </c>
      <c r="K546" s="4" t="str">
        <f t="array" ref="K546">XLOOKUP(G546,'Dados Funil'!A:A,'Dados Funil'!O:O,"")</f>
        <v/>
      </c>
      <c r="L546" s="4"/>
      <c r="M546" s="4"/>
      <c r="N546" s="7" t="str">
        <f t="shared" si="3"/>
        <v/>
      </c>
      <c r="O546" s="4" t="str">
        <f t="shared" si="11"/>
        <v/>
      </c>
      <c r="P546" s="4" t="str">
        <f t="array" ref="P546">XLOOKUP(L546,'Dados Funil'!A:A,'Dados Funil'!AM:AM,"")</f>
        <v/>
      </c>
      <c r="Q546" s="4" t="str">
        <f t="array" ref="Q546">XLOOKUP(L546,'Dados Funil'!A:A,'Dados Funil'!AN:AN,"")</f>
        <v/>
      </c>
      <c r="T546" s="7" t="str">
        <f t="shared" si="4"/>
        <v/>
      </c>
      <c r="U546" s="4" t="str">
        <f t="shared" si="12"/>
        <v/>
      </c>
      <c r="V546" s="4" t="str">
        <f t="array" ref="V546">XLOOKUP(R546,'Dados Funil'!$A:$A,'Dados Funil'!$K:$K,"")</f>
        <v/>
      </c>
      <c r="W546" s="4" t="str">
        <f t="array" ref="W546">XLOOKUP(R546,'Dados Funil'!$A:$A,'Dados Funil'!$L:$L,"")</f>
        <v/>
      </c>
      <c r="X546" s="4"/>
      <c r="Y546" s="4"/>
      <c r="Z546" s="7" t="str">
        <f t="shared" si="5"/>
        <v/>
      </c>
      <c r="AA546" s="4" t="str">
        <f t="shared" si="13"/>
        <v/>
      </c>
      <c r="AB546" s="4" t="str">
        <f t="array" ref="AB546">XLOOKUP(X546,'Dados Funil'!A:A,'Dados Funil'!O:O,"")</f>
        <v/>
      </c>
      <c r="AE546" s="7" t="str">
        <f t="shared" si="6"/>
        <v/>
      </c>
      <c r="AG546" s="4" t="str">
        <f t="array" ref="AG546">XLOOKUP(AC546,'Dados Funil'!A:A,'Dados Funil'!AM:AM,"")</f>
        <v/>
      </c>
      <c r="AH546" s="4" t="str">
        <f t="array" ref="AH546">XLOOKUP(AC546,'Dados Funil'!A:A,'Dados Funil'!AN:AN,"")</f>
        <v/>
      </c>
    </row>
    <row r="547">
      <c r="A547" s="4"/>
      <c r="B547" s="4"/>
      <c r="C547" s="7" t="str">
        <f t="shared" si="1"/>
        <v/>
      </c>
      <c r="D547" s="4" t="str">
        <f t="shared" si="9"/>
        <v/>
      </c>
      <c r="E547" s="4" t="str">
        <f t="array" ref="E547">XLOOKUP(A547,'Dados Funil'!$A:$A,'Dados Funil'!$K:$K,"")</f>
        <v/>
      </c>
      <c r="F547" s="4" t="str">
        <f t="array" ref="F547">XLOOKUP(A547,'Dados Funil'!$A:$A,'Dados Funil'!$L:$L,"")</f>
        <v/>
      </c>
      <c r="G547" s="4"/>
      <c r="H547" s="4"/>
      <c r="I547" s="7" t="str">
        <f t="shared" si="2"/>
        <v/>
      </c>
      <c r="J547" s="4" t="str">
        <f t="shared" si="10"/>
        <v/>
      </c>
      <c r="K547" s="4" t="str">
        <f t="array" ref="K547">XLOOKUP(G547,'Dados Funil'!A:A,'Dados Funil'!O:O,"")</f>
        <v/>
      </c>
      <c r="L547" s="4"/>
      <c r="M547" s="4"/>
      <c r="N547" s="7" t="str">
        <f t="shared" si="3"/>
        <v/>
      </c>
      <c r="O547" s="4" t="str">
        <f t="shared" si="11"/>
        <v/>
      </c>
      <c r="P547" s="4" t="str">
        <f t="array" ref="P547">XLOOKUP(L547,'Dados Funil'!A:A,'Dados Funil'!AM:AM,"")</f>
        <v/>
      </c>
      <c r="Q547" s="4" t="str">
        <f t="array" ref="Q547">XLOOKUP(L547,'Dados Funil'!A:A,'Dados Funil'!AN:AN,"")</f>
        <v/>
      </c>
      <c r="T547" s="7" t="str">
        <f t="shared" si="4"/>
        <v/>
      </c>
      <c r="U547" s="4" t="str">
        <f t="shared" si="12"/>
        <v/>
      </c>
      <c r="V547" s="4" t="str">
        <f t="array" ref="V547">XLOOKUP(R547,'Dados Funil'!$A:$A,'Dados Funil'!$K:$K,"")</f>
        <v/>
      </c>
      <c r="W547" s="4" t="str">
        <f t="array" ref="W547">XLOOKUP(R547,'Dados Funil'!$A:$A,'Dados Funil'!$L:$L,"")</f>
        <v/>
      </c>
      <c r="X547" s="4"/>
      <c r="Y547" s="4"/>
      <c r="Z547" s="7" t="str">
        <f t="shared" si="5"/>
        <v/>
      </c>
      <c r="AA547" s="4" t="str">
        <f t="shared" si="13"/>
        <v/>
      </c>
      <c r="AB547" s="4" t="str">
        <f t="array" ref="AB547">XLOOKUP(X547,'Dados Funil'!A:A,'Dados Funil'!O:O,"")</f>
        <v/>
      </c>
      <c r="AE547" s="7" t="str">
        <f t="shared" si="6"/>
        <v/>
      </c>
      <c r="AG547" s="4" t="str">
        <f t="array" ref="AG547">XLOOKUP(AC547,'Dados Funil'!A:A,'Dados Funil'!AM:AM,"")</f>
        <v/>
      </c>
      <c r="AH547" s="4" t="str">
        <f t="array" ref="AH547">XLOOKUP(AC547,'Dados Funil'!A:A,'Dados Funil'!AN:AN,"")</f>
        <v/>
      </c>
    </row>
    <row r="548">
      <c r="A548" s="4"/>
      <c r="B548" s="4"/>
      <c r="C548" s="7" t="str">
        <f t="shared" si="1"/>
        <v/>
      </c>
      <c r="D548" s="4" t="str">
        <f t="shared" si="9"/>
        <v/>
      </c>
      <c r="E548" s="4" t="str">
        <f t="array" ref="E548">XLOOKUP(A548,'Dados Funil'!$A:$A,'Dados Funil'!$K:$K,"")</f>
        <v/>
      </c>
      <c r="F548" s="4" t="str">
        <f t="array" ref="F548">XLOOKUP(A548,'Dados Funil'!$A:$A,'Dados Funil'!$L:$L,"")</f>
        <v/>
      </c>
      <c r="G548" s="4"/>
      <c r="H548" s="4"/>
      <c r="I548" s="7" t="str">
        <f t="shared" si="2"/>
        <v/>
      </c>
      <c r="J548" s="4" t="str">
        <f t="shared" si="10"/>
        <v/>
      </c>
      <c r="K548" s="4" t="str">
        <f t="array" ref="K548">XLOOKUP(G548,'Dados Funil'!A:A,'Dados Funil'!O:O,"")</f>
        <v/>
      </c>
      <c r="L548" s="4"/>
      <c r="M548" s="4"/>
      <c r="N548" s="7" t="str">
        <f t="shared" si="3"/>
        <v/>
      </c>
      <c r="O548" s="4" t="str">
        <f t="shared" si="11"/>
        <v/>
      </c>
      <c r="P548" s="4" t="str">
        <f t="array" ref="P548">XLOOKUP(L548,'Dados Funil'!A:A,'Dados Funil'!AM:AM,"")</f>
        <v/>
      </c>
      <c r="Q548" s="4" t="str">
        <f t="array" ref="Q548">XLOOKUP(L548,'Dados Funil'!A:A,'Dados Funil'!AN:AN,"")</f>
        <v/>
      </c>
      <c r="T548" s="7" t="str">
        <f t="shared" si="4"/>
        <v/>
      </c>
      <c r="U548" s="4" t="str">
        <f t="shared" si="12"/>
        <v/>
      </c>
      <c r="V548" s="4" t="str">
        <f t="array" ref="V548">XLOOKUP(R548,'Dados Funil'!$A:$A,'Dados Funil'!$K:$K,"")</f>
        <v/>
      </c>
      <c r="W548" s="4" t="str">
        <f t="array" ref="W548">XLOOKUP(R548,'Dados Funil'!$A:$A,'Dados Funil'!$L:$L,"")</f>
        <v/>
      </c>
      <c r="X548" s="4"/>
      <c r="Y548" s="4"/>
      <c r="Z548" s="7" t="str">
        <f t="shared" si="5"/>
        <v/>
      </c>
      <c r="AA548" s="4" t="str">
        <f t="shared" si="13"/>
        <v/>
      </c>
      <c r="AB548" s="4" t="str">
        <f t="array" ref="AB548">XLOOKUP(X548,'Dados Funil'!A:A,'Dados Funil'!O:O,"")</f>
        <v/>
      </c>
      <c r="AE548" s="7" t="str">
        <f t="shared" si="6"/>
        <v/>
      </c>
      <c r="AG548" s="4" t="str">
        <f t="array" ref="AG548">XLOOKUP(AC548,'Dados Funil'!A:A,'Dados Funil'!AM:AM,"")</f>
        <v/>
      </c>
      <c r="AH548" s="4" t="str">
        <f t="array" ref="AH548">XLOOKUP(AC548,'Dados Funil'!A:A,'Dados Funil'!AN:AN,"")</f>
        <v/>
      </c>
    </row>
    <row r="549">
      <c r="A549" s="4"/>
      <c r="B549" s="4"/>
      <c r="C549" s="7" t="str">
        <f t="shared" si="1"/>
        <v/>
      </c>
      <c r="D549" s="4" t="str">
        <f t="shared" si="9"/>
        <v/>
      </c>
      <c r="E549" s="4" t="str">
        <f t="array" ref="E549">XLOOKUP(A549,'Dados Funil'!$A:$A,'Dados Funil'!$K:$K,"")</f>
        <v/>
      </c>
      <c r="F549" s="4" t="str">
        <f t="array" ref="F549">XLOOKUP(A549,'Dados Funil'!$A:$A,'Dados Funil'!$L:$L,"")</f>
        <v/>
      </c>
      <c r="G549" s="4"/>
      <c r="H549" s="4"/>
      <c r="I549" s="7" t="str">
        <f t="shared" si="2"/>
        <v/>
      </c>
      <c r="J549" s="4" t="str">
        <f t="shared" si="10"/>
        <v/>
      </c>
      <c r="K549" s="4" t="str">
        <f t="array" ref="K549">XLOOKUP(G549,'Dados Funil'!A:A,'Dados Funil'!O:O,"")</f>
        <v/>
      </c>
      <c r="L549" s="4"/>
      <c r="M549" s="4"/>
      <c r="N549" s="7" t="str">
        <f t="shared" si="3"/>
        <v/>
      </c>
      <c r="O549" s="4" t="str">
        <f t="shared" si="11"/>
        <v/>
      </c>
      <c r="P549" s="4" t="str">
        <f t="array" ref="P549">XLOOKUP(L549,'Dados Funil'!A:A,'Dados Funil'!AM:AM,"")</f>
        <v/>
      </c>
      <c r="Q549" s="4" t="str">
        <f t="array" ref="Q549">XLOOKUP(L549,'Dados Funil'!A:A,'Dados Funil'!AN:AN,"")</f>
        <v/>
      </c>
      <c r="T549" s="7" t="str">
        <f t="shared" si="4"/>
        <v/>
      </c>
      <c r="U549" s="4" t="str">
        <f t="shared" si="12"/>
        <v/>
      </c>
      <c r="V549" s="4" t="str">
        <f t="array" ref="V549">XLOOKUP(R549,'Dados Funil'!$A:$A,'Dados Funil'!$K:$K,"")</f>
        <v/>
      </c>
      <c r="W549" s="4" t="str">
        <f t="array" ref="W549">XLOOKUP(R549,'Dados Funil'!$A:$A,'Dados Funil'!$L:$L,"")</f>
        <v/>
      </c>
      <c r="X549" s="4"/>
      <c r="Y549" s="4"/>
      <c r="Z549" s="7" t="str">
        <f t="shared" si="5"/>
        <v/>
      </c>
      <c r="AA549" s="4" t="str">
        <f t="shared" si="13"/>
        <v/>
      </c>
      <c r="AB549" s="4" t="str">
        <f t="array" ref="AB549">XLOOKUP(X549,'Dados Funil'!A:A,'Dados Funil'!O:O,"")</f>
        <v/>
      </c>
      <c r="AE549" s="7" t="str">
        <f t="shared" si="6"/>
        <v/>
      </c>
      <c r="AG549" s="4" t="str">
        <f t="array" ref="AG549">XLOOKUP(AC549,'Dados Funil'!A:A,'Dados Funil'!AM:AM,"")</f>
        <v/>
      </c>
      <c r="AH549" s="4" t="str">
        <f t="array" ref="AH549">XLOOKUP(AC549,'Dados Funil'!A:A,'Dados Funil'!AN:AN,"")</f>
        <v/>
      </c>
    </row>
    <row r="550">
      <c r="A550" s="4"/>
      <c r="B550" s="4"/>
      <c r="C550" s="7" t="str">
        <f t="shared" si="1"/>
        <v/>
      </c>
      <c r="D550" s="4" t="str">
        <f t="shared" si="9"/>
        <v/>
      </c>
      <c r="E550" s="4" t="str">
        <f t="array" ref="E550">XLOOKUP(A550,'Dados Funil'!$A:$A,'Dados Funil'!$K:$K,"")</f>
        <v/>
      </c>
      <c r="F550" s="4" t="str">
        <f t="array" ref="F550">XLOOKUP(A550,'Dados Funil'!$A:$A,'Dados Funil'!$L:$L,"")</f>
        <v/>
      </c>
      <c r="G550" s="4"/>
      <c r="H550" s="4"/>
      <c r="I550" s="7" t="str">
        <f t="shared" si="2"/>
        <v/>
      </c>
      <c r="J550" s="4" t="str">
        <f t="shared" si="10"/>
        <v/>
      </c>
      <c r="K550" s="4" t="str">
        <f t="array" ref="K550">XLOOKUP(G550,'Dados Funil'!A:A,'Dados Funil'!O:O,"")</f>
        <v/>
      </c>
      <c r="L550" s="4"/>
      <c r="M550" s="4"/>
      <c r="N550" s="7" t="str">
        <f t="shared" si="3"/>
        <v/>
      </c>
      <c r="O550" s="4" t="str">
        <f t="shared" si="11"/>
        <v/>
      </c>
      <c r="P550" s="4" t="str">
        <f t="array" ref="P550">XLOOKUP(L550,'Dados Funil'!A:A,'Dados Funil'!AM:AM,"")</f>
        <v/>
      </c>
      <c r="Q550" s="4" t="str">
        <f t="array" ref="Q550">XLOOKUP(L550,'Dados Funil'!A:A,'Dados Funil'!AN:AN,"")</f>
        <v/>
      </c>
      <c r="T550" s="7" t="str">
        <f t="shared" si="4"/>
        <v/>
      </c>
      <c r="U550" s="4" t="str">
        <f t="shared" si="12"/>
        <v/>
      </c>
      <c r="V550" s="4" t="str">
        <f t="array" ref="V550">XLOOKUP(R550,'Dados Funil'!$A:$A,'Dados Funil'!$K:$K,"")</f>
        <v/>
      </c>
      <c r="W550" s="4" t="str">
        <f t="array" ref="W550">XLOOKUP(R550,'Dados Funil'!$A:$A,'Dados Funil'!$L:$L,"")</f>
        <v/>
      </c>
      <c r="X550" s="4"/>
      <c r="Y550" s="4"/>
      <c r="Z550" s="7" t="str">
        <f t="shared" si="5"/>
        <v/>
      </c>
      <c r="AA550" s="4" t="str">
        <f t="shared" si="13"/>
        <v/>
      </c>
      <c r="AB550" s="4" t="str">
        <f t="array" ref="AB550">XLOOKUP(X550,'Dados Funil'!A:A,'Dados Funil'!O:O,"")</f>
        <v/>
      </c>
      <c r="AE550" s="7" t="str">
        <f t="shared" si="6"/>
        <v/>
      </c>
      <c r="AG550" s="4" t="str">
        <f t="array" ref="AG550">XLOOKUP(AC550,'Dados Funil'!A:A,'Dados Funil'!AM:AM,"")</f>
        <v/>
      </c>
      <c r="AH550" s="4" t="str">
        <f t="array" ref="AH550">XLOOKUP(AC550,'Dados Funil'!A:A,'Dados Funil'!AN:AN,"")</f>
        <v/>
      </c>
    </row>
    <row r="551">
      <c r="A551" s="4"/>
      <c r="B551" s="4"/>
      <c r="C551" s="7" t="str">
        <f t="shared" si="1"/>
        <v/>
      </c>
      <c r="D551" s="4" t="str">
        <f t="shared" si="9"/>
        <v/>
      </c>
      <c r="E551" s="4" t="str">
        <f t="array" ref="E551">XLOOKUP(A551,'Dados Funil'!$A:$A,'Dados Funil'!$K:$K,"")</f>
        <v/>
      </c>
      <c r="F551" s="4" t="str">
        <f t="array" ref="F551">XLOOKUP(A551,'Dados Funil'!$A:$A,'Dados Funil'!$L:$L,"")</f>
        <v/>
      </c>
      <c r="G551" s="4"/>
      <c r="H551" s="4"/>
      <c r="I551" s="7" t="str">
        <f t="shared" si="2"/>
        <v/>
      </c>
      <c r="J551" s="4" t="str">
        <f t="shared" si="10"/>
        <v/>
      </c>
      <c r="K551" s="4" t="str">
        <f t="array" ref="K551">XLOOKUP(G551,'Dados Funil'!A:A,'Dados Funil'!O:O,"")</f>
        <v/>
      </c>
      <c r="L551" s="4"/>
      <c r="M551" s="4"/>
      <c r="N551" s="7" t="str">
        <f t="shared" si="3"/>
        <v/>
      </c>
      <c r="O551" s="4" t="str">
        <f t="shared" si="11"/>
        <v/>
      </c>
      <c r="P551" s="4" t="str">
        <f t="array" ref="P551">XLOOKUP(L551,'Dados Funil'!A:A,'Dados Funil'!AM:AM,"")</f>
        <v/>
      </c>
      <c r="Q551" s="4" t="str">
        <f t="array" ref="Q551">XLOOKUP(L551,'Dados Funil'!A:A,'Dados Funil'!AN:AN,"")</f>
        <v/>
      </c>
      <c r="T551" s="7" t="str">
        <f t="shared" si="4"/>
        <v/>
      </c>
      <c r="U551" s="4" t="str">
        <f t="shared" si="12"/>
        <v/>
      </c>
      <c r="V551" s="4" t="str">
        <f t="array" ref="V551">XLOOKUP(R551,'Dados Funil'!$A:$A,'Dados Funil'!$K:$K,"")</f>
        <v/>
      </c>
      <c r="W551" s="4" t="str">
        <f t="array" ref="W551">XLOOKUP(R551,'Dados Funil'!$A:$A,'Dados Funil'!$L:$L,"")</f>
        <v/>
      </c>
      <c r="X551" s="4"/>
      <c r="Y551" s="4"/>
      <c r="Z551" s="7" t="str">
        <f t="shared" si="5"/>
        <v/>
      </c>
      <c r="AA551" s="4" t="str">
        <f t="shared" si="13"/>
        <v/>
      </c>
      <c r="AB551" s="4" t="str">
        <f t="array" ref="AB551">XLOOKUP(X551,'Dados Funil'!A:A,'Dados Funil'!O:O,"")</f>
        <v/>
      </c>
      <c r="AE551" s="7" t="str">
        <f t="shared" si="6"/>
        <v/>
      </c>
      <c r="AG551" s="4" t="str">
        <f t="array" ref="AG551">XLOOKUP(AC551,'Dados Funil'!A:A,'Dados Funil'!AM:AM,"")</f>
        <v/>
      </c>
      <c r="AH551" s="4" t="str">
        <f t="array" ref="AH551">XLOOKUP(AC551,'Dados Funil'!A:A,'Dados Funil'!AN:AN,"")</f>
        <v/>
      </c>
    </row>
    <row r="552">
      <c r="A552" s="4"/>
      <c r="B552" s="4"/>
      <c r="C552" s="7" t="str">
        <f t="shared" si="1"/>
        <v/>
      </c>
      <c r="D552" s="4" t="str">
        <f t="shared" si="9"/>
        <v/>
      </c>
      <c r="E552" s="4" t="str">
        <f t="array" ref="E552">XLOOKUP(A552,'Dados Funil'!$A:$A,'Dados Funil'!$K:$K,"")</f>
        <v/>
      </c>
      <c r="F552" s="4" t="str">
        <f t="array" ref="F552">XLOOKUP(A552,'Dados Funil'!$A:$A,'Dados Funil'!$L:$L,"")</f>
        <v/>
      </c>
      <c r="G552" s="4"/>
      <c r="H552" s="4"/>
      <c r="I552" s="7" t="str">
        <f t="shared" si="2"/>
        <v/>
      </c>
      <c r="J552" s="4" t="str">
        <f t="shared" si="10"/>
        <v/>
      </c>
      <c r="K552" s="4" t="str">
        <f t="array" ref="K552">XLOOKUP(G552,'Dados Funil'!A:A,'Dados Funil'!O:O,"")</f>
        <v/>
      </c>
      <c r="L552" s="4"/>
      <c r="M552" s="4"/>
      <c r="N552" s="7" t="str">
        <f t="shared" si="3"/>
        <v/>
      </c>
      <c r="O552" s="4" t="str">
        <f t="shared" si="11"/>
        <v/>
      </c>
      <c r="P552" s="4" t="str">
        <f t="array" ref="P552">XLOOKUP(L552,'Dados Funil'!A:A,'Dados Funil'!AM:AM,"")</f>
        <v/>
      </c>
      <c r="Q552" s="4" t="str">
        <f t="array" ref="Q552">XLOOKUP(L552,'Dados Funil'!A:A,'Dados Funil'!AN:AN,"")</f>
        <v/>
      </c>
      <c r="T552" s="7" t="str">
        <f t="shared" si="4"/>
        <v/>
      </c>
      <c r="U552" s="4" t="str">
        <f t="shared" si="12"/>
        <v/>
      </c>
      <c r="V552" s="4" t="str">
        <f t="array" ref="V552">XLOOKUP(R552,'Dados Funil'!$A:$A,'Dados Funil'!$K:$K,"")</f>
        <v/>
      </c>
      <c r="W552" s="4" t="str">
        <f t="array" ref="W552">XLOOKUP(R552,'Dados Funil'!$A:$A,'Dados Funil'!$L:$L,"")</f>
        <v/>
      </c>
      <c r="X552" s="4"/>
      <c r="Y552" s="4"/>
      <c r="Z552" s="7" t="str">
        <f t="shared" si="5"/>
        <v/>
      </c>
      <c r="AA552" s="4" t="str">
        <f t="shared" si="13"/>
        <v/>
      </c>
      <c r="AB552" s="4" t="str">
        <f t="array" ref="AB552">XLOOKUP(X552,'Dados Funil'!A:A,'Dados Funil'!O:O,"")</f>
        <v/>
      </c>
      <c r="AE552" s="7" t="str">
        <f t="shared" si="6"/>
        <v/>
      </c>
      <c r="AG552" s="4" t="str">
        <f t="array" ref="AG552">XLOOKUP(AC552,'Dados Funil'!A:A,'Dados Funil'!AM:AM,"")</f>
        <v/>
      </c>
      <c r="AH552" s="4" t="str">
        <f t="array" ref="AH552">XLOOKUP(AC552,'Dados Funil'!A:A,'Dados Funil'!AN:AN,"")</f>
        <v/>
      </c>
    </row>
    <row r="553">
      <c r="A553" s="4"/>
      <c r="B553" s="4"/>
      <c r="C553" s="7" t="str">
        <f t="shared" si="1"/>
        <v/>
      </c>
      <c r="D553" s="4" t="str">
        <f t="shared" si="9"/>
        <v/>
      </c>
      <c r="E553" s="4" t="str">
        <f t="array" ref="E553">XLOOKUP(A553,'Dados Funil'!$A:$A,'Dados Funil'!$K:$K,"")</f>
        <v/>
      </c>
      <c r="F553" s="4" t="str">
        <f t="array" ref="F553">XLOOKUP(A553,'Dados Funil'!$A:$A,'Dados Funil'!$L:$L,"")</f>
        <v/>
      </c>
      <c r="G553" s="4"/>
      <c r="H553" s="4"/>
      <c r="I553" s="7" t="str">
        <f t="shared" si="2"/>
        <v/>
      </c>
      <c r="J553" s="4" t="str">
        <f t="shared" si="10"/>
        <v/>
      </c>
      <c r="K553" s="4" t="str">
        <f t="array" ref="K553">XLOOKUP(G553,'Dados Funil'!A:A,'Dados Funil'!O:O,"")</f>
        <v/>
      </c>
      <c r="L553" s="4"/>
      <c r="M553" s="4"/>
      <c r="N553" s="7" t="str">
        <f t="shared" si="3"/>
        <v/>
      </c>
      <c r="O553" s="4" t="str">
        <f t="shared" si="11"/>
        <v/>
      </c>
      <c r="P553" s="4" t="str">
        <f t="array" ref="P553">XLOOKUP(L553,'Dados Funil'!A:A,'Dados Funil'!AM:AM,"")</f>
        <v/>
      </c>
      <c r="Q553" s="4" t="str">
        <f t="array" ref="Q553">XLOOKUP(L553,'Dados Funil'!A:A,'Dados Funil'!AN:AN,"")</f>
        <v/>
      </c>
      <c r="T553" s="7" t="str">
        <f t="shared" si="4"/>
        <v/>
      </c>
      <c r="U553" s="4" t="str">
        <f t="shared" si="12"/>
        <v/>
      </c>
      <c r="V553" s="4" t="str">
        <f t="array" ref="V553">XLOOKUP(R553,'Dados Funil'!$A:$A,'Dados Funil'!$K:$K,"")</f>
        <v/>
      </c>
      <c r="W553" s="4" t="str">
        <f t="array" ref="W553">XLOOKUP(R553,'Dados Funil'!$A:$A,'Dados Funil'!$L:$L,"")</f>
        <v/>
      </c>
      <c r="X553" s="4"/>
      <c r="Y553" s="4"/>
      <c r="Z553" s="7" t="str">
        <f t="shared" si="5"/>
        <v/>
      </c>
      <c r="AA553" s="4" t="str">
        <f t="shared" si="13"/>
        <v/>
      </c>
      <c r="AB553" s="4" t="str">
        <f t="array" ref="AB553">XLOOKUP(X553,'Dados Funil'!A:A,'Dados Funil'!O:O,"")</f>
        <v/>
      </c>
      <c r="AE553" s="7" t="str">
        <f t="shared" si="6"/>
        <v/>
      </c>
      <c r="AG553" s="4" t="str">
        <f t="array" ref="AG553">XLOOKUP(AC553,'Dados Funil'!A:A,'Dados Funil'!AM:AM,"")</f>
        <v/>
      </c>
      <c r="AH553" s="4" t="str">
        <f t="array" ref="AH553">XLOOKUP(AC553,'Dados Funil'!A:A,'Dados Funil'!AN:AN,"")</f>
        <v/>
      </c>
    </row>
    <row r="554">
      <c r="A554" s="4"/>
      <c r="B554" s="4"/>
      <c r="C554" s="7" t="str">
        <f t="shared" si="1"/>
        <v/>
      </c>
      <c r="D554" s="4" t="str">
        <f t="shared" si="9"/>
        <v/>
      </c>
      <c r="E554" s="4" t="str">
        <f t="array" ref="E554">XLOOKUP(A554,'Dados Funil'!$A:$A,'Dados Funil'!$K:$K,"")</f>
        <v/>
      </c>
      <c r="F554" s="4" t="str">
        <f t="array" ref="F554">XLOOKUP(A554,'Dados Funil'!$A:$A,'Dados Funil'!$L:$L,"")</f>
        <v/>
      </c>
      <c r="G554" s="4"/>
      <c r="H554" s="4"/>
      <c r="I554" s="7" t="str">
        <f t="shared" si="2"/>
        <v/>
      </c>
      <c r="J554" s="4" t="str">
        <f t="shared" si="10"/>
        <v/>
      </c>
      <c r="K554" s="4" t="str">
        <f t="array" ref="K554">XLOOKUP(G554,'Dados Funil'!A:A,'Dados Funil'!O:O,"")</f>
        <v/>
      </c>
      <c r="L554" s="4"/>
      <c r="M554" s="4"/>
      <c r="N554" s="7" t="str">
        <f t="shared" si="3"/>
        <v/>
      </c>
      <c r="O554" s="4" t="str">
        <f t="shared" si="11"/>
        <v/>
      </c>
      <c r="P554" s="4" t="str">
        <f t="array" ref="P554">XLOOKUP(L554,'Dados Funil'!A:A,'Dados Funil'!AM:AM,"")</f>
        <v/>
      </c>
      <c r="Q554" s="4" t="str">
        <f t="array" ref="Q554">XLOOKUP(L554,'Dados Funil'!A:A,'Dados Funil'!AN:AN,"")</f>
        <v/>
      </c>
      <c r="T554" s="7" t="str">
        <f t="shared" si="4"/>
        <v/>
      </c>
      <c r="U554" s="4" t="str">
        <f t="shared" si="12"/>
        <v/>
      </c>
      <c r="V554" s="4" t="str">
        <f t="array" ref="V554">XLOOKUP(R554,'Dados Funil'!$A:$A,'Dados Funil'!$K:$K,"")</f>
        <v/>
      </c>
      <c r="W554" s="4" t="str">
        <f t="array" ref="W554">XLOOKUP(R554,'Dados Funil'!$A:$A,'Dados Funil'!$L:$L,"")</f>
        <v/>
      </c>
      <c r="X554" s="4"/>
      <c r="Y554" s="4"/>
      <c r="Z554" s="7" t="str">
        <f t="shared" si="5"/>
        <v/>
      </c>
      <c r="AA554" s="4" t="str">
        <f t="shared" si="13"/>
        <v/>
      </c>
      <c r="AB554" s="4" t="str">
        <f t="array" ref="AB554">XLOOKUP(X554,'Dados Funil'!A:A,'Dados Funil'!O:O,"")</f>
        <v/>
      </c>
      <c r="AE554" s="7" t="str">
        <f t="shared" si="6"/>
        <v/>
      </c>
      <c r="AG554" s="4" t="str">
        <f t="array" ref="AG554">XLOOKUP(AC554,'Dados Funil'!A:A,'Dados Funil'!AM:AM,"")</f>
        <v/>
      </c>
      <c r="AH554" s="4" t="str">
        <f t="array" ref="AH554">XLOOKUP(AC554,'Dados Funil'!A:A,'Dados Funil'!AN:AN,"")</f>
        <v/>
      </c>
    </row>
    <row r="555">
      <c r="A555" s="4"/>
      <c r="B555" s="4"/>
      <c r="C555" s="7" t="str">
        <f t="shared" si="1"/>
        <v/>
      </c>
      <c r="D555" s="4" t="str">
        <f t="shared" si="9"/>
        <v/>
      </c>
      <c r="E555" s="4" t="str">
        <f t="array" ref="E555">XLOOKUP(A555,'Dados Funil'!$A:$A,'Dados Funil'!$K:$K,"")</f>
        <v/>
      </c>
      <c r="F555" s="4" t="str">
        <f t="array" ref="F555">XLOOKUP(A555,'Dados Funil'!$A:$A,'Dados Funil'!$L:$L,"")</f>
        <v/>
      </c>
      <c r="G555" s="4"/>
      <c r="H555" s="4"/>
      <c r="I555" s="7" t="str">
        <f t="shared" si="2"/>
        <v/>
      </c>
      <c r="J555" s="4" t="str">
        <f t="shared" si="10"/>
        <v/>
      </c>
      <c r="K555" s="4" t="str">
        <f t="array" ref="K555">XLOOKUP(G555,'Dados Funil'!A:A,'Dados Funil'!O:O,"")</f>
        <v/>
      </c>
      <c r="L555" s="4"/>
      <c r="M555" s="4"/>
      <c r="N555" s="7" t="str">
        <f t="shared" si="3"/>
        <v/>
      </c>
      <c r="O555" s="4" t="str">
        <f t="shared" si="11"/>
        <v/>
      </c>
      <c r="P555" s="4" t="str">
        <f t="array" ref="P555">XLOOKUP(L555,'Dados Funil'!A:A,'Dados Funil'!AM:AM,"")</f>
        <v/>
      </c>
      <c r="Q555" s="4" t="str">
        <f t="array" ref="Q555">XLOOKUP(L555,'Dados Funil'!A:A,'Dados Funil'!AN:AN,"")</f>
        <v/>
      </c>
      <c r="T555" s="7" t="str">
        <f t="shared" si="4"/>
        <v/>
      </c>
      <c r="U555" s="4" t="str">
        <f t="shared" si="12"/>
        <v/>
      </c>
      <c r="V555" s="4" t="str">
        <f t="array" ref="V555">XLOOKUP(R555,'Dados Funil'!$A:$A,'Dados Funil'!$K:$K,"")</f>
        <v/>
      </c>
      <c r="W555" s="4" t="str">
        <f t="array" ref="W555">XLOOKUP(R555,'Dados Funil'!$A:$A,'Dados Funil'!$L:$L,"")</f>
        <v/>
      </c>
      <c r="X555" s="4"/>
      <c r="Y555" s="4"/>
      <c r="Z555" s="7" t="str">
        <f t="shared" si="5"/>
        <v/>
      </c>
      <c r="AA555" s="4" t="str">
        <f t="shared" si="13"/>
        <v/>
      </c>
      <c r="AB555" s="4" t="str">
        <f t="array" ref="AB555">XLOOKUP(X555,'Dados Funil'!A:A,'Dados Funil'!O:O,"")</f>
        <v/>
      </c>
      <c r="AE555" s="7" t="str">
        <f t="shared" si="6"/>
        <v/>
      </c>
      <c r="AG555" s="4" t="str">
        <f t="array" ref="AG555">XLOOKUP(AC555,'Dados Funil'!A:A,'Dados Funil'!AM:AM,"")</f>
        <v/>
      </c>
      <c r="AH555" s="4" t="str">
        <f t="array" ref="AH555">XLOOKUP(AC555,'Dados Funil'!A:A,'Dados Funil'!AN:AN,"")</f>
        <v/>
      </c>
    </row>
    <row r="556">
      <c r="A556" s="4"/>
      <c r="B556" s="4"/>
      <c r="C556" s="7" t="str">
        <f t="shared" si="1"/>
        <v/>
      </c>
      <c r="D556" s="4" t="str">
        <f t="shared" si="9"/>
        <v/>
      </c>
      <c r="E556" s="4" t="str">
        <f t="array" ref="E556">XLOOKUP(A556,'Dados Funil'!$A:$A,'Dados Funil'!$K:$K,"")</f>
        <v/>
      </c>
      <c r="F556" s="4" t="str">
        <f t="array" ref="F556">XLOOKUP(A556,'Dados Funil'!$A:$A,'Dados Funil'!$L:$L,"")</f>
        <v/>
      </c>
      <c r="G556" s="4"/>
      <c r="H556" s="4"/>
      <c r="I556" s="7" t="str">
        <f t="shared" si="2"/>
        <v/>
      </c>
      <c r="J556" s="4" t="str">
        <f t="shared" si="10"/>
        <v/>
      </c>
      <c r="K556" s="4" t="str">
        <f t="array" ref="K556">XLOOKUP(G556,'Dados Funil'!A:A,'Dados Funil'!O:O,"")</f>
        <v/>
      </c>
      <c r="L556" s="4"/>
      <c r="M556" s="4"/>
      <c r="N556" s="7" t="str">
        <f t="shared" si="3"/>
        <v/>
      </c>
      <c r="O556" s="4" t="str">
        <f t="shared" si="11"/>
        <v/>
      </c>
      <c r="P556" s="4" t="str">
        <f t="array" ref="P556">XLOOKUP(L556,'Dados Funil'!A:A,'Dados Funil'!AM:AM,"")</f>
        <v/>
      </c>
      <c r="Q556" s="4" t="str">
        <f t="array" ref="Q556">XLOOKUP(L556,'Dados Funil'!A:A,'Dados Funil'!AN:AN,"")</f>
        <v/>
      </c>
      <c r="T556" s="7" t="str">
        <f t="shared" si="4"/>
        <v/>
      </c>
      <c r="U556" s="4" t="str">
        <f t="shared" si="12"/>
        <v/>
      </c>
      <c r="V556" s="4" t="str">
        <f t="array" ref="V556">XLOOKUP(R556,'Dados Funil'!$A:$A,'Dados Funil'!$K:$K,"")</f>
        <v/>
      </c>
      <c r="W556" s="4" t="str">
        <f t="array" ref="W556">XLOOKUP(R556,'Dados Funil'!$A:$A,'Dados Funil'!$L:$L,"")</f>
        <v/>
      </c>
      <c r="X556" s="4"/>
      <c r="Y556" s="4"/>
      <c r="Z556" s="7" t="str">
        <f t="shared" si="5"/>
        <v/>
      </c>
      <c r="AA556" s="4" t="str">
        <f t="shared" si="13"/>
        <v/>
      </c>
      <c r="AB556" s="4" t="str">
        <f t="array" ref="AB556">XLOOKUP(X556,'Dados Funil'!A:A,'Dados Funil'!O:O,"")</f>
        <v/>
      </c>
      <c r="AE556" s="7" t="str">
        <f t="shared" si="6"/>
        <v/>
      </c>
      <c r="AG556" s="4" t="str">
        <f t="array" ref="AG556">XLOOKUP(AC556,'Dados Funil'!A:A,'Dados Funil'!AM:AM,"")</f>
        <v/>
      </c>
      <c r="AH556" s="4" t="str">
        <f t="array" ref="AH556">XLOOKUP(AC556,'Dados Funil'!A:A,'Dados Funil'!AN:AN,"")</f>
        <v/>
      </c>
    </row>
    <row r="557">
      <c r="A557" s="4"/>
      <c r="B557" s="4"/>
      <c r="C557" s="7" t="str">
        <f t="shared" si="1"/>
        <v/>
      </c>
      <c r="D557" s="4" t="str">
        <f t="shared" si="9"/>
        <v/>
      </c>
      <c r="E557" s="4" t="str">
        <f t="array" ref="E557">XLOOKUP(A557,'Dados Funil'!$A:$A,'Dados Funil'!$K:$K,"")</f>
        <v/>
      </c>
      <c r="F557" s="4" t="str">
        <f t="array" ref="F557">XLOOKUP(A557,'Dados Funil'!$A:$A,'Dados Funil'!$L:$L,"")</f>
        <v/>
      </c>
      <c r="G557" s="4"/>
      <c r="H557" s="4"/>
      <c r="I557" s="7" t="str">
        <f t="shared" si="2"/>
        <v/>
      </c>
      <c r="J557" s="4" t="str">
        <f t="shared" si="10"/>
        <v/>
      </c>
      <c r="K557" s="4" t="str">
        <f t="array" ref="K557">XLOOKUP(G557,'Dados Funil'!A:A,'Dados Funil'!O:O,"")</f>
        <v/>
      </c>
      <c r="L557" s="4"/>
      <c r="M557" s="4"/>
      <c r="N557" s="7" t="str">
        <f t="shared" si="3"/>
        <v/>
      </c>
      <c r="O557" s="4" t="str">
        <f t="shared" si="11"/>
        <v/>
      </c>
      <c r="P557" s="4" t="str">
        <f t="array" ref="P557">XLOOKUP(L557,'Dados Funil'!A:A,'Dados Funil'!AM:AM,"")</f>
        <v/>
      </c>
      <c r="Q557" s="4" t="str">
        <f t="array" ref="Q557">XLOOKUP(L557,'Dados Funil'!A:A,'Dados Funil'!AN:AN,"")</f>
        <v/>
      </c>
      <c r="T557" s="7" t="str">
        <f t="shared" si="4"/>
        <v/>
      </c>
      <c r="U557" s="4" t="str">
        <f t="shared" si="12"/>
        <v/>
      </c>
      <c r="V557" s="4" t="str">
        <f t="array" ref="V557">XLOOKUP(R557,'Dados Funil'!$A:$A,'Dados Funil'!$K:$K,"")</f>
        <v/>
      </c>
      <c r="W557" s="4" t="str">
        <f t="array" ref="W557">XLOOKUP(R557,'Dados Funil'!$A:$A,'Dados Funil'!$L:$L,"")</f>
        <v/>
      </c>
      <c r="X557" s="4"/>
      <c r="Y557" s="4"/>
      <c r="Z557" s="7" t="str">
        <f t="shared" si="5"/>
        <v/>
      </c>
      <c r="AA557" s="4" t="str">
        <f t="shared" si="13"/>
        <v/>
      </c>
      <c r="AB557" s="4" t="str">
        <f t="array" ref="AB557">XLOOKUP(X557,'Dados Funil'!A:A,'Dados Funil'!O:O,"")</f>
        <v/>
      </c>
      <c r="AE557" s="7" t="str">
        <f t="shared" si="6"/>
        <v/>
      </c>
      <c r="AG557" s="4" t="str">
        <f t="array" ref="AG557">XLOOKUP(AC557,'Dados Funil'!A:A,'Dados Funil'!AM:AM,"")</f>
        <v/>
      </c>
      <c r="AH557" s="4" t="str">
        <f t="array" ref="AH557">XLOOKUP(AC557,'Dados Funil'!A:A,'Dados Funil'!AN:AN,"")</f>
        <v/>
      </c>
    </row>
    <row r="558">
      <c r="A558" s="4"/>
      <c r="B558" s="4"/>
      <c r="C558" s="7" t="str">
        <f t="shared" si="1"/>
        <v/>
      </c>
      <c r="D558" s="4" t="str">
        <f t="shared" si="9"/>
        <v/>
      </c>
      <c r="E558" s="4" t="str">
        <f t="array" ref="E558">XLOOKUP(A558,'Dados Funil'!$A:$A,'Dados Funil'!$K:$K,"")</f>
        <v/>
      </c>
      <c r="F558" s="4" t="str">
        <f t="array" ref="F558">XLOOKUP(A558,'Dados Funil'!$A:$A,'Dados Funil'!$L:$L,"")</f>
        <v/>
      </c>
      <c r="G558" s="4"/>
      <c r="H558" s="4"/>
      <c r="I558" s="7" t="str">
        <f t="shared" si="2"/>
        <v/>
      </c>
      <c r="J558" s="4" t="str">
        <f t="shared" si="10"/>
        <v/>
      </c>
      <c r="K558" s="4" t="str">
        <f t="array" ref="K558">XLOOKUP(G558,'Dados Funil'!A:A,'Dados Funil'!O:O,"")</f>
        <v/>
      </c>
      <c r="L558" s="4"/>
      <c r="M558" s="4"/>
      <c r="N558" s="7" t="str">
        <f t="shared" si="3"/>
        <v/>
      </c>
      <c r="O558" s="4" t="str">
        <f t="shared" si="11"/>
        <v/>
      </c>
      <c r="P558" s="4" t="str">
        <f t="array" ref="P558">XLOOKUP(L558,'Dados Funil'!A:A,'Dados Funil'!AM:AM,"")</f>
        <v/>
      </c>
      <c r="Q558" s="4" t="str">
        <f t="array" ref="Q558">XLOOKUP(L558,'Dados Funil'!A:A,'Dados Funil'!AN:AN,"")</f>
        <v/>
      </c>
      <c r="T558" s="7" t="str">
        <f t="shared" si="4"/>
        <v/>
      </c>
      <c r="U558" s="4" t="str">
        <f t="shared" si="12"/>
        <v/>
      </c>
      <c r="V558" s="4" t="str">
        <f t="array" ref="V558">XLOOKUP(R558,'Dados Funil'!$A:$A,'Dados Funil'!$K:$K,"")</f>
        <v/>
      </c>
      <c r="W558" s="4" t="str">
        <f t="array" ref="W558">XLOOKUP(R558,'Dados Funil'!$A:$A,'Dados Funil'!$L:$L,"")</f>
        <v/>
      </c>
      <c r="X558" s="4"/>
      <c r="Y558" s="4"/>
      <c r="Z558" s="7" t="str">
        <f t="shared" si="5"/>
        <v/>
      </c>
      <c r="AA558" s="4" t="str">
        <f t="shared" si="13"/>
        <v/>
      </c>
      <c r="AB558" s="4" t="str">
        <f t="array" ref="AB558">XLOOKUP(X558,'Dados Funil'!A:A,'Dados Funil'!O:O,"")</f>
        <v/>
      </c>
      <c r="AE558" s="7" t="str">
        <f t="shared" si="6"/>
        <v/>
      </c>
      <c r="AG558" s="4" t="str">
        <f t="array" ref="AG558">XLOOKUP(AC558,'Dados Funil'!A:A,'Dados Funil'!AM:AM,"")</f>
        <v/>
      </c>
      <c r="AH558" s="4" t="str">
        <f t="array" ref="AH558">XLOOKUP(AC558,'Dados Funil'!A:A,'Dados Funil'!AN:AN,"")</f>
        <v/>
      </c>
    </row>
    <row r="559">
      <c r="A559" s="4"/>
      <c r="B559" s="4"/>
      <c r="C559" s="7" t="str">
        <f t="shared" si="1"/>
        <v/>
      </c>
      <c r="D559" s="4" t="str">
        <f t="shared" si="9"/>
        <v/>
      </c>
      <c r="E559" s="4" t="str">
        <f t="array" ref="E559">XLOOKUP(A559,'Dados Funil'!$A:$A,'Dados Funil'!$K:$K,"")</f>
        <v/>
      </c>
      <c r="F559" s="4" t="str">
        <f t="array" ref="F559">XLOOKUP(A559,'Dados Funil'!$A:$A,'Dados Funil'!$L:$L,"")</f>
        <v/>
      </c>
      <c r="G559" s="4"/>
      <c r="H559" s="4"/>
      <c r="I559" s="7" t="str">
        <f t="shared" si="2"/>
        <v/>
      </c>
      <c r="J559" s="4" t="str">
        <f t="shared" si="10"/>
        <v/>
      </c>
      <c r="K559" s="4" t="str">
        <f t="array" ref="K559">XLOOKUP(G559,'Dados Funil'!A:A,'Dados Funil'!O:O,"")</f>
        <v/>
      </c>
      <c r="L559" s="4"/>
      <c r="M559" s="4"/>
      <c r="N559" s="7" t="str">
        <f t="shared" si="3"/>
        <v/>
      </c>
      <c r="O559" s="4" t="str">
        <f t="shared" si="11"/>
        <v/>
      </c>
      <c r="P559" s="4" t="str">
        <f t="array" ref="P559">XLOOKUP(L559,'Dados Funil'!A:A,'Dados Funil'!AM:AM,"")</f>
        <v/>
      </c>
      <c r="Q559" s="4" t="str">
        <f t="array" ref="Q559">XLOOKUP(L559,'Dados Funil'!A:A,'Dados Funil'!AN:AN,"")</f>
        <v/>
      </c>
      <c r="T559" s="7" t="str">
        <f t="shared" si="4"/>
        <v/>
      </c>
      <c r="U559" s="4" t="str">
        <f t="shared" si="12"/>
        <v/>
      </c>
      <c r="V559" s="4" t="str">
        <f t="array" ref="V559">XLOOKUP(R559,'Dados Funil'!$A:$A,'Dados Funil'!$K:$K,"")</f>
        <v/>
      </c>
      <c r="W559" s="4" t="str">
        <f t="array" ref="W559">XLOOKUP(R559,'Dados Funil'!$A:$A,'Dados Funil'!$L:$L,"")</f>
        <v/>
      </c>
      <c r="X559" s="4"/>
      <c r="Y559" s="4"/>
      <c r="Z559" s="7" t="str">
        <f t="shared" si="5"/>
        <v/>
      </c>
      <c r="AA559" s="4" t="str">
        <f t="shared" si="13"/>
        <v/>
      </c>
      <c r="AB559" s="4" t="str">
        <f t="array" ref="AB559">XLOOKUP(X559,'Dados Funil'!A:A,'Dados Funil'!O:O,"")</f>
        <v/>
      </c>
      <c r="AE559" s="7" t="str">
        <f t="shared" si="6"/>
        <v/>
      </c>
      <c r="AG559" s="4" t="str">
        <f t="array" ref="AG559">XLOOKUP(AC559,'Dados Funil'!A:A,'Dados Funil'!AM:AM,"")</f>
        <v/>
      </c>
      <c r="AH559" s="4" t="str">
        <f t="array" ref="AH559">XLOOKUP(AC559,'Dados Funil'!A:A,'Dados Funil'!AN:AN,"")</f>
        <v/>
      </c>
    </row>
    <row r="560">
      <c r="A560" s="4"/>
      <c r="B560" s="4"/>
      <c r="C560" s="7" t="str">
        <f t="shared" si="1"/>
        <v/>
      </c>
      <c r="D560" s="4" t="str">
        <f t="shared" si="9"/>
        <v/>
      </c>
      <c r="E560" s="4" t="str">
        <f t="array" ref="E560">XLOOKUP(A560,'Dados Funil'!$A:$A,'Dados Funil'!$K:$K,"")</f>
        <v/>
      </c>
      <c r="F560" s="4" t="str">
        <f t="array" ref="F560">XLOOKUP(A560,'Dados Funil'!$A:$A,'Dados Funil'!$L:$L,"")</f>
        <v/>
      </c>
      <c r="G560" s="4"/>
      <c r="H560" s="4"/>
      <c r="I560" s="7" t="str">
        <f t="shared" si="2"/>
        <v/>
      </c>
      <c r="J560" s="4" t="str">
        <f t="shared" si="10"/>
        <v/>
      </c>
      <c r="K560" s="4" t="str">
        <f t="array" ref="K560">XLOOKUP(G560,'Dados Funil'!A:A,'Dados Funil'!O:O,"")</f>
        <v/>
      </c>
      <c r="L560" s="4"/>
      <c r="M560" s="4"/>
      <c r="N560" s="7" t="str">
        <f t="shared" si="3"/>
        <v/>
      </c>
      <c r="O560" s="4" t="str">
        <f t="shared" si="11"/>
        <v/>
      </c>
      <c r="P560" s="4" t="str">
        <f t="array" ref="P560">XLOOKUP(L560,'Dados Funil'!A:A,'Dados Funil'!AM:AM,"")</f>
        <v/>
      </c>
      <c r="Q560" s="4" t="str">
        <f t="array" ref="Q560">XLOOKUP(L560,'Dados Funil'!A:A,'Dados Funil'!AN:AN,"")</f>
        <v/>
      </c>
      <c r="T560" s="7" t="str">
        <f t="shared" si="4"/>
        <v/>
      </c>
      <c r="U560" s="4" t="str">
        <f t="shared" si="12"/>
        <v/>
      </c>
      <c r="V560" s="4" t="str">
        <f t="array" ref="V560">XLOOKUP(R560,'Dados Funil'!$A:$A,'Dados Funil'!$K:$K,"")</f>
        <v/>
      </c>
      <c r="W560" s="4" t="str">
        <f t="array" ref="W560">XLOOKUP(R560,'Dados Funil'!$A:$A,'Dados Funil'!$L:$L,"")</f>
        <v/>
      </c>
      <c r="X560" s="4"/>
      <c r="Y560" s="4"/>
      <c r="Z560" s="7" t="str">
        <f t="shared" si="5"/>
        <v/>
      </c>
      <c r="AA560" s="4" t="str">
        <f t="shared" si="13"/>
        <v/>
      </c>
      <c r="AB560" s="4" t="str">
        <f t="array" ref="AB560">XLOOKUP(X560,'Dados Funil'!A:A,'Dados Funil'!O:O,"")</f>
        <v/>
      </c>
      <c r="AE560" s="7" t="str">
        <f t="shared" si="6"/>
        <v/>
      </c>
      <c r="AG560" s="4" t="str">
        <f t="array" ref="AG560">XLOOKUP(AC560,'Dados Funil'!A:A,'Dados Funil'!AM:AM,"")</f>
        <v/>
      </c>
      <c r="AH560" s="4" t="str">
        <f t="array" ref="AH560">XLOOKUP(AC560,'Dados Funil'!A:A,'Dados Funil'!AN:AN,"")</f>
        <v/>
      </c>
    </row>
    <row r="561">
      <c r="A561" s="4"/>
      <c r="B561" s="4"/>
      <c r="C561" s="7" t="str">
        <f t="shared" si="1"/>
        <v/>
      </c>
      <c r="D561" s="4" t="str">
        <f t="shared" si="9"/>
        <v/>
      </c>
      <c r="E561" s="4" t="str">
        <f t="array" ref="E561">XLOOKUP(A561,'Dados Funil'!$A:$A,'Dados Funil'!$K:$K,"")</f>
        <v/>
      </c>
      <c r="F561" s="4" t="str">
        <f t="array" ref="F561">XLOOKUP(A561,'Dados Funil'!$A:$A,'Dados Funil'!$L:$L,"")</f>
        <v/>
      </c>
      <c r="G561" s="4"/>
      <c r="H561" s="4"/>
      <c r="I561" s="7" t="str">
        <f t="shared" si="2"/>
        <v/>
      </c>
      <c r="J561" s="4" t="str">
        <f t="shared" si="10"/>
        <v/>
      </c>
      <c r="K561" s="4" t="str">
        <f t="array" ref="K561">XLOOKUP(G561,'Dados Funil'!A:A,'Dados Funil'!O:O,"")</f>
        <v/>
      </c>
      <c r="L561" s="4"/>
      <c r="M561" s="4"/>
      <c r="N561" s="7" t="str">
        <f t="shared" si="3"/>
        <v/>
      </c>
      <c r="O561" s="4" t="str">
        <f t="shared" si="11"/>
        <v/>
      </c>
      <c r="P561" s="4" t="str">
        <f t="array" ref="P561">XLOOKUP(L561,'Dados Funil'!A:A,'Dados Funil'!AM:AM,"")</f>
        <v/>
      </c>
      <c r="Q561" s="4" t="str">
        <f t="array" ref="Q561">XLOOKUP(L561,'Dados Funil'!A:A,'Dados Funil'!AN:AN,"")</f>
        <v/>
      </c>
      <c r="T561" s="7" t="str">
        <f t="shared" si="4"/>
        <v/>
      </c>
      <c r="U561" s="4" t="str">
        <f t="shared" si="12"/>
        <v/>
      </c>
      <c r="V561" s="4" t="str">
        <f t="array" ref="V561">XLOOKUP(R561,'Dados Funil'!$A:$A,'Dados Funil'!$K:$K,"")</f>
        <v/>
      </c>
      <c r="W561" s="4" t="str">
        <f t="array" ref="W561">XLOOKUP(R561,'Dados Funil'!$A:$A,'Dados Funil'!$L:$L,"")</f>
        <v/>
      </c>
      <c r="X561" s="4"/>
      <c r="Y561" s="4"/>
      <c r="Z561" s="7" t="str">
        <f t="shared" si="5"/>
        <v/>
      </c>
      <c r="AA561" s="4" t="str">
        <f t="shared" si="13"/>
        <v/>
      </c>
      <c r="AB561" s="4" t="str">
        <f t="array" ref="AB561">XLOOKUP(X561,'Dados Funil'!A:A,'Dados Funil'!O:O,"")</f>
        <v/>
      </c>
      <c r="AE561" s="7" t="str">
        <f t="shared" si="6"/>
        <v/>
      </c>
      <c r="AG561" s="4" t="str">
        <f t="array" ref="AG561">XLOOKUP(AC561,'Dados Funil'!A:A,'Dados Funil'!AM:AM,"")</f>
        <v/>
      </c>
      <c r="AH561" s="4" t="str">
        <f t="array" ref="AH561">XLOOKUP(AC561,'Dados Funil'!A:A,'Dados Funil'!AN:AN,"")</f>
        <v/>
      </c>
    </row>
    <row r="562">
      <c r="A562" s="4"/>
      <c r="B562" s="4"/>
      <c r="C562" s="7" t="str">
        <f t="shared" si="1"/>
        <v/>
      </c>
      <c r="D562" s="4" t="str">
        <f t="shared" si="9"/>
        <v/>
      </c>
      <c r="E562" s="4" t="str">
        <f t="array" ref="E562">XLOOKUP(A562,'Dados Funil'!$A:$A,'Dados Funil'!$K:$K,"")</f>
        <v/>
      </c>
      <c r="F562" s="4" t="str">
        <f t="array" ref="F562">XLOOKUP(A562,'Dados Funil'!$A:$A,'Dados Funil'!$L:$L,"")</f>
        <v/>
      </c>
      <c r="G562" s="4"/>
      <c r="H562" s="4"/>
      <c r="I562" s="7" t="str">
        <f t="shared" si="2"/>
        <v/>
      </c>
      <c r="J562" s="4" t="str">
        <f t="shared" si="10"/>
        <v/>
      </c>
      <c r="K562" s="4" t="str">
        <f t="array" ref="K562">XLOOKUP(G562,'Dados Funil'!A:A,'Dados Funil'!O:O,"")</f>
        <v/>
      </c>
      <c r="L562" s="4"/>
      <c r="M562" s="4"/>
      <c r="N562" s="7" t="str">
        <f t="shared" si="3"/>
        <v/>
      </c>
      <c r="O562" s="4" t="str">
        <f t="shared" si="11"/>
        <v/>
      </c>
      <c r="P562" s="4" t="str">
        <f t="array" ref="P562">XLOOKUP(L562,'Dados Funil'!A:A,'Dados Funil'!AM:AM,"")</f>
        <v/>
      </c>
      <c r="Q562" s="4" t="str">
        <f t="array" ref="Q562">XLOOKUP(L562,'Dados Funil'!A:A,'Dados Funil'!AN:AN,"")</f>
        <v/>
      </c>
      <c r="T562" s="7" t="str">
        <f t="shared" si="4"/>
        <v/>
      </c>
      <c r="U562" s="4" t="str">
        <f t="shared" si="12"/>
        <v/>
      </c>
      <c r="V562" s="4" t="str">
        <f t="array" ref="V562">XLOOKUP(R562,'Dados Funil'!$A:$A,'Dados Funil'!$K:$K,"")</f>
        <v/>
      </c>
      <c r="W562" s="4" t="str">
        <f t="array" ref="W562">XLOOKUP(R562,'Dados Funil'!$A:$A,'Dados Funil'!$L:$L,"")</f>
        <v/>
      </c>
      <c r="X562" s="4"/>
      <c r="Y562" s="4"/>
      <c r="Z562" s="7" t="str">
        <f t="shared" si="5"/>
        <v/>
      </c>
      <c r="AA562" s="4" t="str">
        <f t="shared" si="13"/>
        <v/>
      </c>
      <c r="AB562" s="4" t="str">
        <f t="array" ref="AB562">XLOOKUP(X562,'Dados Funil'!A:A,'Dados Funil'!O:O,"")</f>
        <v/>
      </c>
      <c r="AE562" s="7" t="str">
        <f t="shared" si="6"/>
        <v/>
      </c>
      <c r="AG562" s="4" t="str">
        <f t="array" ref="AG562">XLOOKUP(AC562,'Dados Funil'!A:A,'Dados Funil'!AM:AM,"")</f>
        <v/>
      </c>
      <c r="AH562" s="4" t="str">
        <f t="array" ref="AH562">XLOOKUP(AC562,'Dados Funil'!A:A,'Dados Funil'!AN:AN,"")</f>
        <v/>
      </c>
    </row>
    <row r="563">
      <c r="A563" s="4"/>
      <c r="B563" s="4"/>
      <c r="C563" s="7" t="str">
        <f t="shared" si="1"/>
        <v/>
      </c>
      <c r="D563" s="4" t="str">
        <f t="shared" si="9"/>
        <v/>
      </c>
      <c r="E563" s="4" t="str">
        <f t="array" ref="E563">XLOOKUP(A563,'Dados Funil'!$A:$A,'Dados Funil'!$K:$K,"")</f>
        <v/>
      </c>
      <c r="F563" s="4" t="str">
        <f t="array" ref="F563">XLOOKUP(A563,'Dados Funil'!$A:$A,'Dados Funil'!$L:$L,"")</f>
        <v/>
      </c>
      <c r="G563" s="4"/>
      <c r="H563" s="4"/>
      <c r="I563" s="7" t="str">
        <f t="shared" si="2"/>
        <v/>
      </c>
      <c r="J563" s="4" t="str">
        <f t="shared" si="10"/>
        <v/>
      </c>
      <c r="K563" s="4" t="str">
        <f t="array" ref="K563">XLOOKUP(G563,'Dados Funil'!A:A,'Dados Funil'!O:O,"")</f>
        <v/>
      </c>
      <c r="L563" s="4"/>
      <c r="M563" s="4"/>
      <c r="N563" s="7" t="str">
        <f t="shared" si="3"/>
        <v/>
      </c>
      <c r="O563" s="4" t="str">
        <f t="shared" si="11"/>
        <v/>
      </c>
      <c r="P563" s="4" t="str">
        <f t="array" ref="P563">XLOOKUP(L563,'Dados Funil'!A:A,'Dados Funil'!AM:AM,"")</f>
        <v/>
      </c>
      <c r="Q563" s="4" t="str">
        <f t="array" ref="Q563">XLOOKUP(L563,'Dados Funil'!A:A,'Dados Funil'!AN:AN,"")</f>
        <v/>
      </c>
      <c r="T563" s="7" t="str">
        <f t="shared" si="4"/>
        <v/>
      </c>
      <c r="U563" s="4" t="str">
        <f t="shared" si="12"/>
        <v/>
      </c>
      <c r="V563" s="4" t="str">
        <f t="array" ref="V563">XLOOKUP(R563,'Dados Funil'!$A:$A,'Dados Funil'!$K:$K,"")</f>
        <v/>
      </c>
      <c r="W563" s="4" t="str">
        <f t="array" ref="W563">XLOOKUP(R563,'Dados Funil'!$A:$A,'Dados Funil'!$L:$L,"")</f>
        <v/>
      </c>
      <c r="X563" s="4"/>
      <c r="Y563" s="4"/>
      <c r="Z563" s="7" t="str">
        <f t="shared" si="5"/>
        <v/>
      </c>
      <c r="AA563" s="4" t="str">
        <f t="shared" si="13"/>
        <v/>
      </c>
      <c r="AB563" s="4" t="str">
        <f t="array" ref="AB563">XLOOKUP(X563,'Dados Funil'!A:A,'Dados Funil'!O:O,"")</f>
        <v/>
      </c>
      <c r="AE563" s="7" t="str">
        <f t="shared" si="6"/>
        <v/>
      </c>
      <c r="AG563" s="4" t="str">
        <f t="array" ref="AG563">XLOOKUP(AC563,'Dados Funil'!A:A,'Dados Funil'!AM:AM,"")</f>
        <v/>
      </c>
      <c r="AH563" s="4" t="str">
        <f t="array" ref="AH563">XLOOKUP(AC563,'Dados Funil'!A:A,'Dados Funil'!AN:AN,"")</f>
        <v/>
      </c>
    </row>
    <row r="564">
      <c r="A564" s="4"/>
      <c r="B564" s="4"/>
      <c r="C564" s="7" t="str">
        <f t="shared" si="1"/>
        <v/>
      </c>
      <c r="D564" s="4" t="str">
        <f t="shared" si="9"/>
        <v/>
      </c>
      <c r="E564" s="4" t="str">
        <f t="array" ref="E564">XLOOKUP(A564,'Dados Funil'!$A:$A,'Dados Funil'!$K:$K,"")</f>
        <v/>
      </c>
      <c r="F564" s="4" t="str">
        <f t="array" ref="F564">XLOOKUP(A564,'Dados Funil'!$A:$A,'Dados Funil'!$L:$L,"")</f>
        <v/>
      </c>
      <c r="G564" s="4"/>
      <c r="H564" s="4"/>
      <c r="I564" s="7" t="str">
        <f t="shared" si="2"/>
        <v/>
      </c>
      <c r="J564" s="4" t="str">
        <f t="shared" si="10"/>
        <v/>
      </c>
      <c r="K564" s="4" t="str">
        <f t="array" ref="K564">XLOOKUP(G564,'Dados Funil'!A:A,'Dados Funil'!O:O,"")</f>
        <v/>
      </c>
      <c r="L564" s="4"/>
      <c r="M564" s="4"/>
      <c r="N564" s="7" t="str">
        <f t="shared" si="3"/>
        <v/>
      </c>
      <c r="O564" s="4" t="str">
        <f t="shared" si="11"/>
        <v/>
      </c>
      <c r="P564" s="4" t="str">
        <f t="array" ref="P564">XLOOKUP(L564,'Dados Funil'!A:A,'Dados Funil'!AM:AM,"")</f>
        <v/>
      </c>
      <c r="Q564" s="4" t="str">
        <f t="array" ref="Q564">XLOOKUP(L564,'Dados Funil'!A:A,'Dados Funil'!AN:AN,"")</f>
        <v/>
      </c>
      <c r="T564" s="7" t="str">
        <f t="shared" si="4"/>
        <v/>
      </c>
      <c r="U564" s="4" t="str">
        <f t="shared" si="12"/>
        <v/>
      </c>
      <c r="V564" s="4" t="str">
        <f t="array" ref="V564">XLOOKUP(R564,'Dados Funil'!$A:$A,'Dados Funil'!$K:$K,"")</f>
        <v/>
      </c>
      <c r="W564" s="4" t="str">
        <f t="array" ref="W564">XLOOKUP(R564,'Dados Funil'!$A:$A,'Dados Funil'!$L:$L,"")</f>
        <v/>
      </c>
      <c r="X564" s="4"/>
      <c r="Y564" s="4"/>
      <c r="Z564" s="7" t="str">
        <f t="shared" si="5"/>
        <v/>
      </c>
      <c r="AA564" s="4" t="str">
        <f t="shared" si="13"/>
        <v/>
      </c>
      <c r="AB564" s="4" t="str">
        <f t="array" ref="AB564">XLOOKUP(X564,'Dados Funil'!A:A,'Dados Funil'!O:O,"")</f>
        <v/>
      </c>
      <c r="AE564" s="7" t="str">
        <f t="shared" si="6"/>
        <v/>
      </c>
      <c r="AG564" s="4" t="str">
        <f t="array" ref="AG564">XLOOKUP(AC564,'Dados Funil'!A:A,'Dados Funil'!AM:AM,"")</f>
        <v/>
      </c>
      <c r="AH564" s="4" t="str">
        <f t="array" ref="AH564">XLOOKUP(AC564,'Dados Funil'!A:A,'Dados Funil'!AN:AN,"")</f>
        <v/>
      </c>
    </row>
    <row r="565">
      <c r="A565" s="4"/>
      <c r="B565" s="4"/>
      <c r="C565" s="7" t="str">
        <f t="shared" si="1"/>
        <v/>
      </c>
      <c r="D565" s="4" t="str">
        <f t="shared" si="9"/>
        <v/>
      </c>
      <c r="E565" s="4" t="str">
        <f t="array" ref="E565">XLOOKUP(A565,'Dados Funil'!$A:$A,'Dados Funil'!$K:$K,"")</f>
        <v/>
      </c>
      <c r="F565" s="4" t="str">
        <f t="array" ref="F565">XLOOKUP(A565,'Dados Funil'!$A:$A,'Dados Funil'!$L:$L,"")</f>
        <v/>
      </c>
      <c r="G565" s="4"/>
      <c r="H565" s="4"/>
      <c r="I565" s="7" t="str">
        <f t="shared" si="2"/>
        <v/>
      </c>
      <c r="J565" s="4" t="str">
        <f t="shared" si="10"/>
        <v/>
      </c>
      <c r="K565" s="4" t="str">
        <f t="array" ref="K565">XLOOKUP(G565,'Dados Funil'!A:A,'Dados Funil'!O:O,"")</f>
        <v/>
      </c>
      <c r="L565" s="4"/>
      <c r="M565" s="4"/>
      <c r="N565" s="7" t="str">
        <f t="shared" si="3"/>
        <v/>
      </c>
      <c r="O565" s="4" t="str">
        <f t="shared" si="11"/>
        <v/>
      </c>
      <c r="P565" s="4" t="str">
        <f t="array" ref="P565">XLOOKUP(L565,'Dados Funil'!A:A,'Dados Funil'!AM:AM,"")</f>
        <v/>
      </c>
      <c r="Q565" s="4" t="str">
        <f t="array" ref="Q565">XLOOKUP(L565,'Dados Funil'!A:A,'Dados Funil'!AN:AN,"")</f>
        <v/>
      </c>
      <c r="T565" s="7" t="str">
        <f t="shared" si="4"/>
        <v/>
      </c>
      <c r="U565" s="4" t="str">
        <f t="shared" si="12"/>
        <v/>
      </c>
      <c r="V565" s="4" t="str">
        <f t="array" ref="V565">XLOOKUP(R565,'Dados Funil'!$A:$A,'Dados Funil'!$K:$K,"")</f>
        <v/>
      </c>
      <c r="W565" s="4" t="str">
        <f t="array" ref="W565">XLOOKUP(R565,'Dados Funil'!$A:$A,'Dados Funil'!$L:$L,"")</f>
        <v/>
      </c>
      <c r="X565" s="4"/>
      <c r="Y565" s="4"/>
      <c r="Z565" s="7" t="str">
        <f t="shared" si="5"/>
        <v/>
      </c>
      <c r="AA565" s="4" t="str">
        <f t="shared" si="13"/>
        <v/>
      </c>
      <c r="AB565" s="4" t="str">
        <f t="array" ref="AB565">XLOOKUP(X565,'Dados Funil'!A:A,'Dados Funil'!O:O,"")</f>
        <v/>
      </c>
      <c r="AE565" s="7" t="str">
        <f t="shared" si="6"/>
        <v/>
      </c>
      <c r="AG565" s="4" t="str">
        <f t="array" ref="AG565">XLOOKUP(AC565,'Dados Funil'!A:A,'Dados Funil'!AM:AM,"")</f>
        <v/>
      </c>
      <c r="AH565" s="4" t="str">
        <f t="array" ref="AH565">XLOOKUP(AC565,'Dados Funil'!A:A,'Dados Funil'!AN:AN,"")</f>
        <v/>
      </c>
    </row>
    <row r="566">
      <c r="A566" s="4"/>
      <c r="B566" s="4"/>
      <c r="C566" s="7" t="str">
        <f t="shared" si="1"/>
        <v/>
      </c>
      <c r="D566" s="4" t="str">
        <f t="shared" si="9"/>
        <v/>
      </c>
      <c r="E566" s="4" t="str">
        <f t="array" ref="E566">XLOOKUP(A566,'Dados Funil'!$A:$A,'Dados Funil'!$K:$K,"")</f>
        <v/>
      </c>
      <c r="F566" s="4" t="str">
        <f t="array" ref="F566">XLOOKUP(A566,'Dados Funil'!$A:$A,'Dados Funil'!$L:$L,"")</f>
        <v/>
      </c>
      <c r="G566" s="4"/>
      <c r="H566" s="4"/>
      <c r="I566" s="7" t="str">
        <f t="shared" si="2"/>
        <v/>
      </c>
      <c r="J566" s="4" t="str">
        <f t="shared" si="10"/>
        <v/>
      </c>
      <c r="K566" s="4" t="str">
        <f t="array" ref="K566">XLOOKUP(G566,'Dados Funil'!A:A,'Dados Funil'!O:O,"")</f>
        <v/>
      </c>
      <c r="L566" s="4"/>
      <c r="M566" s="4"/>
      <c r="N566" s="7" t="str">
        <f t="shared" si="3"/>
        <v/>
      </c>
      <c r="O566" s="4" t="str">
        <f t="shared" si="11"/>
        <v/>
      </c>
      <c r="P566" s="4" t="str">
        <f t="array" ref="P566">XLOOKUP(L566,'Dados Funil'!A:A,'Dados Funil'!AM:AM,"")</f>
        <v/>
      </c>
      <c r="Q566" s="4" t="str">
        <f t="array" ref="Q566">XLOOKUP(L566,'Dados Funil'!A:A,'Dados Funil'!AN:AN,"")</f>
        <v/>
      </c>
      <c r="T566" s="7" t="str">
        <f t="shared" si="4"/>
        <v/>
      </c>
      <c r="U566" s="4" t="str">
        <f t="shared" si="12"/>
        <v/>
      </c>
      <c r="V566" s="4" t="str">
        <f t="array" ref="V566">XLOOKUP(R566,'Dados Funil'!$A:$A,'Dados Funil'!$K:$K,"")</f>
        <v/>
      </c>
      <c r="W566" s="4" t="str">
        <f t="array" ref="W566">XLOOKUP(R566,'Dados Funil'!$A:$A,'Dados Funil'!$L:$L,"")</f>
        <v/>
      </c>
      <c r="X566" s="4"/>
      <c r="Y566" s="4"/>
      <c r="Z566" s="7" t="str">
        <f t="shared" si="5"/>
        <v/>
      </c>
      <c r="AA566" s="4" t="str">
        <f t="shared" si="13"/>
        <v/>
      </c>
      <c r="AB566" s="4" t="str">
        <f t="array" ref="AB566">XLOOKUP(X566,'Dados Funil'!A:A,'Dados Funil'!O:O,"")</f>
        <v/>
      </c>
      <c r="AE566" s="7" t="str">
        <f t="shared" si="6"/>
        <v/>
      </c>
      <c r="AG566" s="4" t="str">
        <f t="array" ref="AG566">XLOOKUP(AC566,'Dados Funil'!A:A,'Dados Funil'!AM:AM,"")</f>
        <v/>
      </c>
      <c r="AH566" s="4" t="str">
        <f t="array" ref="AH566">XLOOKUP(AC566,'Dados Funil'!A:A,'Dados Funil'!AN:AN,"")</f>
        <v/>
      </c>
    </row>
    <row r="567">
      <c r="A567" s="4"/>
      <c r="B567" s="4"/>
      <c r="C567" s="7" t="str">
        <f t="shared" si="1"/>
        <v/>
      </c>
      <c r="D567" s="4" t="str">
        <f t="shared" si="9"/>
        <v/>
      </c>
      <c r="E567" s="4" t="str">
        <f t="array" ref="E567">XLOOKUP(A567,'Dados Funil'!$A:$A,'Dados Funil'!$K:$K,"")</f>
        <v/>
      </c>
      <c r="F567" s="4" t="str">
        <f t="array" ref="F567">XLOOKUP(A567,'Dados Funil'!$A:$A,'Dados Funil'!$L:$L,"")</f>
        <v/>
      </c>
      <c r="G567" s="4"/>
      <c r="H567" s="4"/>
      <c r="I567" s="7" t="str">
        <f t="shared" si="2"/>
        <v/>
      </c>
      <c r="J567" s="4" t="str">
        <f t="shared" si="10"/>
        <v/>
      </c>
      <c r="K567" s="4" t="str">
        <f t="array" ref="K567">XLOOKUP(G567,'Dados Funil'!A:A,'Dados Funil'!O:O,"")</f>
        <v/>
      </c>
      <c r="L567" s="4"/>
      <c r="M567" s="4"/>
      <c r="N567" s="7" t="str">
        <f t="shared" si="3"/>
        <v/>
      </c>
      <c r="O567" s="4" t="str">
        <f t="shared" si="11"/>
        <v/>
      </c>
      <c r="P567" s="4" t="str">
        <f t="array" ref="P567">XLOOKUP(L567,'Dados Funil'!A:A,'Dados Funil'!AM:AM,"")</f>
        <v/>
      </c>
      <c r="Q567" s="4" t="str">
        <f t="array" ref="Q567">XLOOKUP(L567,'Dados Funil'!A:A,'Dados Funil'!AN:AN,"")</f>
        <v/>
      </c>
      <c r="T567" s="7" t="str">
        <f t="shared" si="4"/>
        <v/>
      </c>
      <c r="U567" s="4" t="str">
        <f t="shared" si="12"/>
        <v/>
      </c>
      <c r="V567" s="4" t="str">
        <f t="array" ref="V567">XLOOKUP(R567,'Dados Funil'!$A:$A,'Dados Funil'!$K:$K,"")</f>
        <v/>
      </c>
      <c r="W567" s="4" t="str">
        <f t="array" ref="W567">XLOOKUP(R567,'Dados Funil'!$A:$A,'Dados Funil'!$L:$L,"")</f>
        <v/>
      </c>
      <c r="X567" s="4"/>
      <c r="Y567" s="4"/>
      <c r="Z567" s="7" t="str">
        <f t="shared" si="5"/>
        <v/>
      </c>
      <c r="AA567" s="4" t="str">
        <f t="shared" si="13"/>
        <v/>
      </c>
      <c r="AB567" s="4" t="str">
        <f t="array" ref="AB567">XLOOKUP(X567,'Dados Funil'!A:A,'Dados Funil'!O:O,"")</f>
        <v/>
      </c>
      <c r="AE567" s="7" t="str">
        <f t="shared" si="6"/>
        <v/>
      </c>
      <c r="AG567" s="4" t="str">
        <f t="array" ref="AG567">XLOOKUP(AC567,'Dados Funil'!A:A,'Dados Funil'!AM:AM,"")</f>
        <v/>
      </c>
      <c r="AH567" s="4" t="str">
        <f t="array" ref="AH567">XLOOKUP(AC567,'Dados Funil'!A:A,'Dados Funil'!AN:AN,"")</f>
        <v/>
      </c>
    </row>
    <row r="568">
      <c r="A568" s="4"/>
      <c r="B568" s="4"/>
      <c r="C568" s="7" t="str">
        <f t="shared" si="1"/>
        <v/>
      </c>
      <c r="D568" s="4" t="str">
        <f t="shared" si="9"/>
        <v/>
      </c>
      <c r="E568" s="4" t="str">
        <f t="array" ref="E568">XLOOKUP(A568,'Dados Funil'!$A:$A,'Dados Funil'!$K:$K,"")</f>
        <v/>
      </c>
      <c r="F568" s="4" t="str">
        <f t="array" ref="F568">XLOOKUP(A568,'Dados Funil'!$A:$A,'Dados Funil'!$L:$L,"")</f>
        <v/>
      </c>
      <c r="G568" s="4"/>
      <c r="H568" s="4"/>
      <c r="I568" s="7" t="str">
        <f t="shared" si="2"/>
        <v/>
      </c>
      <c r="J568" s="4" t="str">
        <f t="shared" si="10"/>
        <v/>
      </c>
      <c r="K568" s="4" t="str">
        <f t="array" ref="K568">XLOOKUP(G568,'Dados Funil'!A:A,'Dados Funil'!O:O,"")</f>
        <v/>
      </c>
      <c r="L568" s="4"/>
      <c r="M568" s="4"/>
      <c r="N568" s="7" t="str">
        <f t="shared" si="3"/>
        <v/>
      </c>
      <c r="O568" s="4" t="str">
        <f t="shared" si="11"/>
        <v/>
      </c>
      <c r="P568" s="4" t="str">
        <f t="array" ref="P568">XLOOKUP(L568,'Dados Funil'!A:A,'Dados Funil'!AM:AM,"")</f>
        <v/>
      </c>
      <c r="Q568" s="4" t="str">
        <f t="array" ref="Q568">XLOOKUP(L568,'Dados Funil'!A:A,'Dados Funil'!AN:AN,"")</f>
        <v/>
      </c>
      <c r="T568" s="7" t="str">
        <f t="shared" si="4"/>
        <v/>
      </c>
      <c r="U568" s="4" t="str">
        <f t="shared" si="12"/>
        <v/>
      </c>
      <c r="V568" s="4" t="str">
        <f t="array" ref="V568">XLOOKUP(R568,'Dados Funil'!$A:$A,'Dados Funil'!$K:$K,"")</f>
        <v/>
      </c>
      <c r="W568" s="4" t="str">
        <f t="array" ref="W568">XLOOKUP(R568,'Dados Funil'!$A:$A,'Dados Funil'!$L:$L,"")</f>
        <v/>
      </c>
      <c r="X568" s="4"/>
      <c r="Y568" s="4"/>
      <c r="Z568" s="7" t="str">
        <f t="shared" si="5"/>
        <v/>
      </c>
      <c r="AA568" s="4" t="str">
        <f t="shared" si="13"/>
        <v/>
      </c>
      <c r="AB568" s="4" t="str">
        <f t="array" ref="AB568">XLOOKUP(X568,'Dados Funil'!A:A,'Dados Funil'!O:O,"")</f>
        <v/>
      </c>
      <c r="AE568" s="7" t="str">
        <f t="shared" si="6"/>
        <v/>
      </c>
      <c r="AG568" s="4" t="str">
        <f t="array" ref="AG568">XLOOKUP(AC568,'Dados Funil'!A:A,'Dados Funil'!AM:AM,"")</f>
        <v/>
      </c>
      <c r="AH568" s="4" t="str">
        <f t="array" ref="AH568">XLOOKUP(AC568,'Dados Funil'!A:A,'Dados Funil'!AN:AN,"")</f>
        <v/>
      </c>
    </row>
    <row r="569">
      <c r="A569" s="4"/>
      <c r="B569" s="4"/>
      <c r="C569" s="7" t="str">
        <f t="shared" si="1"/>
        <v/>
      </c>
      <c r="D569" s="4" t="str">
        <f t="shared" si="9"/>
        <v/>
      </c>
      <c r="E569" s="4" t="str">
        <f t="array" ref="E569">XLOOKUP(A569,'Dados Funil'!$A:$A,'Dados Funil'!$K:$K,"")</f>
        <v/>
      </c>
      <c r="F569" s="4" t="str">
        <f t="array" ref="F569">XLOOKUP(A569,'Dados Funil'!$A:$A,'Dados Funil'!$L:$L,"")</f>
        <v/>
      </c>
      <c r="G569" s="4"/>
      <c r="H569" s="4"/>
      <c r="I569" s="7" t="str">
        <f t="shared" si="2"/>
        <v/>
      </c>
      <c r="J569" s="4" t="str">
        <f t="shared" si="10"/>
        <v/>
      </c>
      <c r="K569" s="4" t="str">
        <f t="array" ref="K569">XLOOKUP(G569,'Dados Funil'!A:A,'Dados Funil'!O:O,"")</f>
        <v/>
      </c>
      <c r="L569" s="4"/>
      <c r="M569" s="4"/>
      <c r="N569" s="7" t="str">
        <f t="shared" si="3"/>
        <v/>
      </c>
      <c r="O569" s="4" t="str">
        <f t="shared" si="11"/>
        <v/>
      </c>
      <c r="P569" s="4" t="str">
        <f t="array" ref="P569">XLOOKUP(L569,'Dados Funil'!A:A,'Dados Funil'!AM:AM,"")</f>
        <v/>
      </c>
      <c r="Q569" s="4" t="str">
        <f t="array" ref="Q569">XLOOKUP(L569,'Dados Funil'!A:A,'Dados Funil'!AN:AN,"")</f>
        <v/>
      </c>
      <c r="T569" s="7" t="str">
        <f t="shared" si="4"/>
        <v/>
      </c>
      <c r="U569" s="4" t="str">
        <f t="shared" si="12"/>
        <v/>
      </c>
      <c r="V569" s="4" t="str">
        <f t="array" ref="V569">XLOOKUP(R569,'Dados Funil'!$A:$A,'Dados Funil'!$K:$K,"")</f>
        <v/>
      </c>
      <c r="W569" s="4" t="str">
        <f t="array" ref="W569">XLOOKUP(R569,'Dados Funil'!$A:$A,'Dados Funil'!$L:$L,"")</f>
        <v/>
      </c>
      <c r="X569" s="4"/>
      <c r="Y569" s="4"/>
      <c r="Z569" s="7" t="str">
        <f t="shared" si="5"/>
        <v/>
      </c>
      <c r="AA569" s="4" t="str">
        <f t="shared" si="13"/>
        <v/>
      </c>
      <c r="AB569" s="4" t="str">
        <f t="array" ref="AB569">XLOOKUP(X569,'Dados Funil'!A:A,'Dados Funil'!O:O,"")</f>
        <v/>
      </c>
      <c r="AE569" s="7" t="str">
        <f t="shared" si="6"/>
        <v/>
      </c>
      <c r="AG569" s="4" t="str">
        <f t="array" ref="AG569">XLOOKUP(AC569,'Dados Funil'!A:A,'Dados Funil'!AM:AM,"")</f>
        <v/>
      </c>
      <c r="AH569" s="4" t="str">
        <f t="array" ref="AH569">XLOOKUP(AC569,'Dados Funil'!A:A,'Dados Funil'!AN:AN,"")</f>
        <v/>
      </c>
    </row>
    <row r="570">
      <c r="A570" s="4"/>
      <c r="B570" s="4"/>
      <c r="C570" s="7" t="str">
        <f t="shared" si="1"/>
        <v/>
      </c>
      <c r="D570" s="4" t="str">
        <f t="shared" si="9"/>
        <v/>
      </c>
      <c r="E570" s="4" t="str">
        <f t="array" ref="E570">XLOOKUP(A570,'Dados Funil'!$A:$A,'Dados Funil'!$K:$K,"")</f>
        <v/>
      </c>
      <c r="F570" s="4" t="str">
        <f t="array" ref="F570">XLOOKUP(A570,'Dados Funil'!$A:$A,'Dados Funil'!$L:$L,"")</f>
        <v/>
      </c>
      <c r="G570" s="4"/>
      <c r="H570" s="4"/>
      <c r="I570" s="7" t="str">
        <f t="shared" si="2"/>
        <v/>
      </c>
      <c r="J570" s="4" t="str">
        <f t="shared" si="10"/>
        <v/>
      </c>
      <c r="K570" s="4" t="str">
        <f t="array" ref="K570">XLOOKUP(G570,'Dados Funil'!A:A,'Dados Funil'!O:O,"")</f>
        <v/>
      </c>
      <c r="L570" s="4"/>
      <c r="M570" s="4"/>
      <c r="N570" s="7" t="str">
        <f t="shared" si="3"/>
        <v/>
      </c>
      <c r="O570" s="4" t="str">
        <f t="shared" si="11"/>
        <v/>
      </c>
      <c r="P570" s="4" t="str">
        <f t="array" ref="P570">XLOOKUP(L570,'Dados Funil'!A:A,'Dados Funil'!AM:AM,"")</f>
        <v/>
      </c>
      <c r="Q570" s="4" t="str">
        <f t="array" ref="Q570">XLOOKUP(L570,'Dados Funil'!A:A,'Dados Funil'!AN:AN,"")</f>
        <v/>
      </c>
      <c r="T570" s="7" t="str">
        <f t="shared" si="4"/>
        <v/>
      </c>
      <c r="U570" s="4" t="str">
        <f t="shared" si="12"/>
        <v/>
      </c>
      <c r="V570" s="4" t="str">
        <f t="array" ref="V570">XLOOKUP(R570,'Dados Funil'!$A:$A,'Dados Funil'!$K:$K,"")</f>
        <v/>
      </c>
      <c r="W570" s="4" t="str">
        <f t="array" ref="W570">XLOOKUP(R570,'Dados Funil'!$A:$A,'Dados Funil'!$L:$L,"")</f>
        <v/>
      </c>
      <c r="X570" s="4"/>
      <c r="Y570" s="4"/>
      <c r="Z570" s="7" t="str">
        <f t="shared" si="5"/>
        <v/>
      </c>
      <c r="AA570" s="4" t="str">
        <f t="shared" si="13"/>
        <v/>
      </c>
      <c r="AB570" s="4" t="str">
        <f t="array" ref="AB570">XLOOKUP(X570,'Dados Funil'!A:A,'Dados Funil'!O:O,"")</f>
        <v/>
      </c>
      <c r="AE570" s="7" t="str">
        <f t="shared" si="6"/>
        <v/>
      </c>
      <c r="AG570" s="4" t="str">
        <f t="array" ref="AG570">XLOOKUP(AC570,'Dados Funil'!A:A,'Dados Funil'!AM:AM,"")</f>
        <v/>
      </c>
      <c r="AH570" s="4" t="str">
        <f t="array" ref="AH570">XLOOKUP(AC570,'Dados Funil'!A:A,'Dados Funil'!AN:AN,"")</f>
        <v/>
      </c>
    </row>
    <row r="571">
      <c r="A571" s="4"/>
      <c r="B571" s="4"/>
      <c r="C571" s="7" t="str">
        <f t="shared" si="1"/>
        <v/>
      </c>
      <c r="D571" s="4" t="str">
        <f t="shared" si="9"/>
        <v/>
      </c>
      <c r="E571" s="4" t="str">
        <f t="array" ref="E571">XLOOKUP(A571,'Dados Funil'!$A:$A,'Dados Funil'!$K:$K,"")</f>
        <v/>
      </c>
      <c r="F571" s="4" t="str">
        <f t="array" ref="F571">XLOOKUP(A571,'Dados Funil'!$A:$A,'Dados Funil'!$L:$L,"")</f>
        <v/>
      </c>
      <c r="G571" s="4"/>
      <c r="H571" s="4"/>
      <c r="I571" s="7" t="str">
        <f t="shared" si="2"/>
        <v/>
      </c>
      <c r="J571" s="4" t="str">
        <f t="shared" si="10"/>
        <v/>
      </c>
      <c r="K571" s="4" t="str">
        <f t="array" ref="K571">XLOOKUP(G571,'Dados Funil'!A:A,'Dados Funil'!O:O,"")</f>
        <v/>
      </c>
      <c r="L571" s="4"/>
      <c r="M571" s="4"/>
      <c r="N571" s="7" t="str">
        <f t="shared" si="3"/>
        <v/>
      </c>
      <c r="O571" s="4" t="str">
        <f t="shared" si="11"/>
        <v/>
      </c>
      <c r="P571" s="4" t="str">
        <f t="array" ref="P571">XLOOKUP(L571,'Dados Funil'!A:A,'Dados Funil'!AM:AM,"")</f>
        <v/>
      </c>
      <c r="Q571" s="4" t="str">
        <f t="array" ref="Q571">XLOOKUP(L571,'Dados Funil'!A:A,'Dados Funil'!AN:AN,"")</f>
        <v/>
      </c>
      <c r="T571" s="7" t="str">
        <f t="shared" si="4"/>
        <v/>
      </c>
      <c r="U571" s="4" t="str">
        <f t="shared" si="12"/>
        <v/>
      </c>
      <c r="V571" s="4" t="str">
        <f t="array" ref="V571">XLOOKUP(R571,'Dados Funil'!$A:$A,'Dados Funil'!$K:$K,"")</f>
        <v/>
      </c>
      <c r="W571" s="4" t="str">
        <f t="array" ref="W571">XLOOKUP(R571,'Dados Funil'!$A:$A,'Dados Funil'!$L:$L,"")</f>
        <v/>
      </c>
      <c r="X571" s="4"/>
      <c r="Y571" s="4"/>
      <c r="Z571" s="7" t="str">
        <f t="shared" si="5"/>
        <v/>
      </c>
      <c r="AA571" s="4" t="str">
        <f t="shared" si="13"/>
        <v/>
      </c>
      <c r="AB571" s="4" t="str">
        <f t="array" ref="AB571">XLOOKUP(X571,'Dados Funil'!A:A,'Dados Funil'!O:O,"")</f>
        <v/>
      </c>
      <c r="AE571" s="7" t="str">
        <f t="shared" si="6"/>
        <v/>
      </c>
      <c r="AG571" s="4" t="str">
        <f t="array" ref="AG571">XLOOKUP(AC571,'Dados Funil'!A:A,'Dados Funil'!AM:AM,"")</f>
        <v/>
      </c>
      <c r="AH571" s="4" t="str">
        <f t="array" ref="AH571">XLOOKUP(AC571,'Dados Funil'!A:A,'Dados Funil'!AN:AN,"")</f>
        <v/>
      </c>
    </row>
    <row r="572">
      <c r="A572" s="4"/>
      <c r="B572" s="4"/>
      <c r="C572" s="7" t="str">
        <f t="shared" si="1"/>
        <v/>
      </c>
      <c r="D572" s="4" t="str">
        <f t="shared" si="9"/>
        <v/>
      </c>
      <c r="E572" s="4" t="str">
        <f t="array" ref="E572">XLOOKUP(A572,'Dados Funil'!$A:$A,'Dados Funil'!$K:$K,"")</f>
        <v/>
      </c>
      <c r="F572" s="4" t="str">
        <f t="array" ref="F572">XLOOKUP(A572,'Dados Funil'!$A:$A,'Dados Funil'!$L:$L,"")</f>
        <v/>
      </c>
      <c r="G572" s="4"/>
      <c r="H572" s="4"/>
      <c r="I572" s="7" t="str">
        <f t="shared" si="2"/>
        <v/>
      </c>
      <c r="J572" s="4" t="str">
        <f t="shared" si="10"/>
        <v/>
      </c>
      <c r="K572" s="4" t="str">
        <f t="array" ref="K572">XLOOKUP(G572,'Dados Funil'!A:A,'Dados Funil'!O:O,"")</f>
        <v/>
      </c>
      <c r="L572" s="4"/>
      <c r="M572" s="4"/>
      <c r="N572" s="7" t="str">
        <f t="shared" si="3"/>
        <v/>
      </c>
      <c r="O572" s="4" t="str">
        <f t="shared" si="11"/>
        <v/>
      </c>
      <c r="P572" s="4" t="str">
        <f t="array" ref="P572">XLOOKUP(L572,'Dados Funil'!A:A,'Dados Funil'!AM:AM,"")</f>
        <v/>
      </c>
      <c r="Q572" s="4" t="str">
        <f t="array" ref="Q572">XLOOKUP(L572,'Dados Funil'!A:A,'Dados Funil'!AN:AN,"")</f>
        <v/>
      </c>
      <c r="T572" s="7" t="str">
        <f t="shared" si="4"/>
        <v/>
      </c>
      <c r="U572" s="4" t="str">
        <f t="shared" si="12"/>
        <v/>
      </c>
      <c r="V572" s="4" t="str">
        <f t="array" ref="V572">XLOOKUP(R572,'Dados Funil'!$A:$A,'Dados Funil'!$K:$K,"")</f>
        <v/>
      </c>
      <c r="W572" s="4" t="str">
        <f t="array" ref="W572">XLOOKUP(R572,'Dados Funil'!$A:$A,'Dados Funil'!$L:$L,"")</f>
        <v/>
      </c>
      <c r="X572" s="4"/>
      <c r="Y572" s="4"/>
      <c r="Z572" s="7" t="str">
        <f t="shared" si="5"/>
        <v/>
      </c>
      <c r="AA572" s="4" t="str">
        <f t="shared" si="13"/>
        <v/>
      </c>
      <c r="AB572" s="4" t="str">
        <f t="array" ref="AB572">XLOOKUP(X572,'Dados Funil'!A:A,'Dados Funil'!O:O,"")</f>
        <v/>
      </c>
      <c r="AE572" s="7" t="str">
        <f t="shared" si="6"/>
        <v/>
      </c>
      <c r="AG572" s="4" t="str">
        <f t="array" ref="AG572">XLOOKUP(AC572,'Dados Funil'!A:A,'Dados Funil'!AM:AM,"")</f>
        <v/>
      </c>
      <c r="AH572" s="4" t="str">
        <f t="array" ref="AH572">XLOOKUP(AC572,'Dados Funil'!A:A,'Dados Funil'!AN:AN,"")</f>
        <v/>
      </c>
    </row>
    <row r="573">
      <c r="A573" s="4"/>
      <c r="B573" s="4"/>
      <c r="C573" s="7" t="str">
        <f t="shared" si="1"/>
        <v/>
      </c>
      <c r="D573" s="4" t="str">
        <f t="shared" si="9"/>
        <v/>
      </c>
      <c r="E573" s="4" t="str">
        <f t="array" ref="E573">XLOOKUP(A573,'Dados Funil'!$A:$A,'Dados Funil'!$K:$K,"")</f>
        <v/>
      </c>
      <c r="F573" s="4" t="str">
        <f t="array" ref="F573">XLOOKUP(A573,'Dados Funil'!$A:$A,'Dados Funil'!$L:$L,"")</f>
        <v/>
      </c>
      <c r="G573" s="4"/>
      <c r="H573" s="4"/>
      <c r="I573" s="7" t="str">
        <f t="shared" si="2"/>
        <v/>
      </c>
      <c r="J573" s="4" t="str">
        <f t="shared" si="10"/>
        <v/>
      </c>
      <c r="K573" s="4" t="str">
        <f t="array" ref="K573">XLOOKUP(G573,'Dados Funil'!A:A,'Dados Funil'!O:O,"")</f>
        <v/>
      </c>
      <c r="L573" s="4"/>
      <c r="M573" s="4"/>
      <c r="N573" s="7" t="str">
        <f t="shared" si="3"/>
        <v/>
      </c>
      <c r="O573" s="4" t="str">
        <f t="shared" si="11"/>
        <v/>
      </c>
      <c r="P573" s="4" t="str">
        <f t="array" ref="P573">XLOOKUP(L573,'Dados Funil'!A:A,'Dados Funil'!AM:AM,"")</f>
        <v/>
      </c>
      <c r="Q573" s="4" t="str">
        <f t="array" ref="Q573">XLOOKUP(L573,'Dados Funil'!A:A,'Dados Funil'!AN:AN,"")</f>
        <v/>
      </c>
      <c r="T573" s="7" t="str">
        <f t="shared" si="4"/>
        <v/>
      </c>
      <c r="U573" s="4" t="str">
        <f t="shared" si="12"/>
        <v/>
      </c>
      <c r="V573" s="4" t="str">
        <f t="array" ref="V573">XLOOKUP(R573,'Dados Funil'!$A:$A,'Dados Funil'!$K:$K,"")</f>
        <v/>
      </c>
      <c r="W573" s="4" t="str">
        <f t="array" ref="W573">XLOOKUP(R573,'Dados Funil'!$A:$A,'Dados Funil'!$L:$L,"")</f>
        <v/>
      </c>
      <c r="X573" s="4"/>
      <c r="Y573" s="4"/>
      <c r="Z573" s="7" t="str">
        <f t="shared" si="5"/>
        <v/>
      </c>
      <c r="AA573" s="4" t="str">
        <f t="shared" si="13"/>
        <v/>
      </c>
      <c r="AB573" s="4" t="str">
        <f t="array" ref="AB573">XLOOKUP(X573,'Dados Funil'!A:A,'Dados Funil'!O:O,"")</f>
        <v/>
      </c>
      <c r="AE573" s="7" t="str">
        <f t="shared" si="6"/>
        <v/>
      </c>
      <c r="AG573" s="4" t="str">
        <f t="array" ref="AG573">XLOOKUP(AC573,'Dados Funil'!A:A,'Dados Funil'!AM:AM,"")</f>
        <v/>
      </c>
      <c r="AH573" s="4" t="str">
        <f t="array" ref="AH573">XLOOKUP(AC573,'Dados Funil'!A:A,'Dados Funil'!AN:AN,"")</f>
        <v/>
      </c>
    </row>
    <row r="574">
      <c r="A574" s="4"/>
      <c r="B574" s="4"/>
      <c r="C574" s="7" t="str">
        <f t="shared" si="1"/>
        <v/>
      </c>
      <c r="D574" s="4" t="str">
        <f t="shared" si="9"/>
        <v/>
      </c>
      <c r="E574" s="4" t="str">
        <f t="array" ref="E574">XLOOKUP(A574,'Dados Funil'!$A:$A,'Dados Funil'!$K:$K,"")</f>
        <v/>
      </c>
      <c r="F574" s="4" t="str">
        <f t="array" ref="F574">XLOOKUP(A574,'Dados Funil'!$A:$A,'Dados Funil'!$L:$L,"")</f>
        <v/>
      </c>
      <c r="G574" s="4"/>
      <c r="H574" s="4"/>
      <c r="I574" s="7" t="str">
        <f t="shared" si="2"/>
        <v/>
      </c>
      <c r="J574" s="4" t="str">
        <f t="shared" si="10"/>
        <v/>
      </c>
      <c r="K574" s="4" t="str">
        <f t="array" ref="K574">XLOOKUP(G574,'Dados Funil'!A:A,'Dados Funil'!O:O,"")</f>
        <v/>
      </c>
      <c r="L574" s="4"/>
      <c r="M574" s="4"/>
      <c r="N574" s="7" t="str">
        <f t="shared" si="3"/>
        <v/>
      </c>
      <c r="O574" s="4" t="str">
        <f t="shared" si="11"/>
        <v/>
      </c>
      <c r="P574" s="4" t="str">
        <f t="array" ref="P574">XLOOKUP(L574,'Dados Funil'!A:A,'Dados Funil'!AM:AM,"")</f>
        <v/>
      </c>
      <c r="Q574" s="4" t="str">
        <f t="array" ref="Q574">XLOOKUP(L574,'Dados Funil'!A:A,'Dados Funil'!AN:AN,"")</f>
        <v/>
      </c>
      <c r="T574" s="7" t="str">
        <f t="shared" si="4"/>
        <v/>
      </c>
      <c r="U574" s="4" t="str">
        <f t="shared" si="12"/>
        <v/>
      </c>
      <c r="V574" s="4" t="str">
        <f t="array" ref="V574">XLOOKUP(R574,'Dados Funil'!$A:$A,'Dados Funil'!$K:$K,"")</f>
        <v/>
      </c>
      <c r="W574" s="4" t="str">
        <f t="array" ref="W574">XLOOKUP(R574,'Dados Funil'!$A:$A,'Dados Funil'!$L:$L,"")</f>
        <v/>
      </c>
      <c r="X574" s="4"/>
      <c r="Y574" s="4"/>
      <c r="Z574" s="7" t="str">
        <f t="shared" si="5"/>
        <v/>
      </c>
      <c r="AA574" s="4" t="str">
        <f t="shared" si="13"/>
        <v/>
      </c>
      <c r="AB574" s="4" t="str">
        <f t="array" ref="AB574">XLOOKUP(X574,'Dados Funil'!A:A,'Dados Funil'!O:O,"")</f>
        <v/>
      </c>
      <c r="AE574" s="7" t="str">
        <f t="shared" si="6"/>
        <v/>
      </c>
      <c r="AG574" s="4" t="str">
        <f t="array" ref="AG574">XLOOKUP(AC574,'Dados Funil'!A:A,'Dados Funil'!AM:AM,"")</f>
        <v/>
      </c>
      <c r="AH574" s="4" t="str">
        <f t="array" ref="AH574">XLOOKUP(AC574,'Dados Funil'!A:A,'Dados Funil'!AN:AN,"")</f>
        <v/>
      </c>
    </row>
    <row r="575">
      <c r="A575" s="4"/>
      <c r="B575" s="4"/>
      <c r="C575" s="7" t="str">
        <f t="shared" si="1"/>
        <v/>
      </c>
      <c r="D575" s="4" t="str">
        <f t="shared" si="9"/>
        <v/>
      </c>
      <c r="E575" s="4" t="str">
        <f t="array" ref="E575">XLOOKUP(A575,'Dados Funil'!$A:$A,'Dados Funil'!$K:$K,"")</f>
        <v/>
      </c>
      <c r="F575" s="4" t="str">
        <f t="array" ref="F575">XLOOKUP(A575,'Dados Funil'!$A:$A,'Dados Funil'!$L:$L,"")</f>
        <v/>
      </c>
      <c r="G575" s="4"/>
      <c r="H575" s="4"/>
      <c r="I575" s="7" t="str">
        <f t="shared" si="2"/>
        <v/>
      </c>
      <c r="J575" s="4" t="str">
        <f t="shared" si="10"/>
        <v/>
      </c>
      <c r="K575" s="4" t="str">
        <f t="array" ref="K575">XLOOKUP(G575,'Dados Funil'!A:A,'Dados Funil'!O:O,"")</f>
        <v/>
      </c>
      <c r="L575" s="4"/>
      <c r="M575" s="4"/>
      <c r="N575" s="7" t="str">
        <f t="shared" si="3"/>
        <v/>
      </c>
      <c r="O575" s="4" t="str">
        <f t="shared" si="11"/>
        <v/>
      </c>
      <c r="P575" s="4" t="str">
        <f t="array" ref="P575">XLOOKUP(L575,'Dados Funil'!A:A,'Dados Funil'!AM:AM,"")</f>
        <v/>
      </c>
      <c r="Q575" s="4" t="str">
        <f t="array" ref="Q575">XLOOKUP(L575,'Dados Funil'!A:A,'Dados Funil'!AN:AN,"")</f>
        <v/>
      </c>
      <c r="T575" s="7" t="str">
        <f t="shared" si="4"/>
        <v/>
      </c>
      <c r="U575" s="4" t="str">
        <f t="shared" si="12"/>
        <v/>
      </c>
      <c r="V575" s="4" t="str">
        <f t="array" ref="V575">XLOOKUP(R575,'Dados Funil'!$A:$A,'Dados Funil'!$K:$K,"")</f>
        <v/>
      </c>
      <c r="W575" s="4" t="str">
        <f t="array" ref="W575">XLOOKUP(R575,'Dados Funil'!$A:$A,'Dados Funil'!$L:$L,"")</f>
        <v/>
      </c>
      <c r="X575" s="4"/>
      <c r="Y575" s="4"/>
      <c r="Z575" s="7" t="str">
        <f t="shared" si="5"/>
        <v/>
      </c>
      <c r="AA575" s="4" t="str">
        <f t="shared" si="13"/>
        <v/>
      </c>
      <c r="AB575" s="4" t="str">
        <f t="array" ref="AB575">XLOOKUP(X575,'Dados Funil'!A:A,'Dados Funil'!O:O,"")</f>
        <v/>
      </c>
      <c r="AE575" s="7" t="str">
        <f t="shared" si="6"/>
        <v/>
      </c>
      <c r="AG575" s="4" t="str">
        <f t="array" ref="AG575">XLOOKUP(AC575,'Dados Funil'!A:A,'Dados Funil'!AM:AM,"")</f>
        <v/>
      </c>
      <c r="AH575" s="4" t="str">
        <f t="array" ref="AH575">XLOOKUP(AC575,'Dados Funil'!A:A,'Dados Funil'!AN:AN,"")</f>
        <v/>
      </c>
    </row>
    <row r="576">
      <c r="A576" s="4"/>
      <c r="B576" s="4"/>
      <c r="C576" s="7" t="str">
        <f t="shared" si="1"/>
        <v/>
      </c>
      <c r="D576" s="4" t="str">
        <f t="shared" si="9"/>
        <v/>
      </c>
      <c r="E576" s="4" t="str">
        <f t="array" ref="E576">XLOOKUP(A576,'Dados Funil'!$A:$A,'Dados Funil'!$K:$K,"")</f>
        <v/>
      </c>
      <c r="F576" s="4" t="str">
        <f t="array" ref="F576">XLOOKUP(A576,'Dados Funil'!$A:$A,'Dados Funil'!$L:$L,"")</f>
        <v/>
      </c>
      <c r="G576" s="4"/>
      <c r="H576" s="4"/>
      <c r="I576" s="7" t="str">
        <f t="shared" si="2"/>
        <v/>
      </c>
      <c r="J576" s="4" t="str">
        <f t="shared" si="10"/>
        <v/>
      </c>
      <c r="K576" s="4" t="str">
        <f t="array" ref="K576">XLOOKUP(G576,'Dados Funil'!A:A,'Dados Funil'!O:O,"")</f>
        <v/>
      </c>
      <c r="L576" s="4"/>
      <c r="M576" s="4"/>
      <c r="N576" s="7" t="str">
        <f t="shared" si="3"/>
        <v/>
      </c>
      <c r="O576" s="4" t="str">
        <f t="shared" si="11"/>
        <v/>
      </c>
      <c r="P576" s="4" t="str">
        <f t="array" ref="P576">XLOOKUP(L576,'Dados Funil'!A:A,'Dados Funil'!AM:AM,"")</f>
        <v/>
      </c>
      <c r="Q576" s="4" t="str">
        <f t="array" ref="Q576">XLOOKUP(L576,'Dados Funil'!A:A,'Dados Funil'!AN:AN,"")</f>
        <v/>
      </c>
      <c r="T576" s="7" t="str">
        <f t="shared" si="4"/>
        <v/>
      </c>
      <c r="U576" s="4" t="str">
        <f t="shared" si="12"/>
        <v/>
      </c>
      <c r="V576" s="4" t="str">
        <f t="array" ref="V576">XLOOKUP(R576,'Dados Funil'!$A:$A,'Dados Funil'!$K:$K,"")</f>
        <v/>
      </c>
      <c r="W576" s="4" t="str">
        <f t="array" ref="W576">XLOOKUP(R576,'Dados Funil'!$A:$A,'Dados Funil'!$L:$L,"")</f>
        <v/>
      </c>
      <c r="X576" s="4"/>
      <c r="Y576" s="4"/>
      <c r="Z576" s="7" t="str">
        <f t="shared" si="5"/>
        <v/>
      </c>
      <c r="AA576" s="4" t="str">
        <f t="shared" si="13"/>
        <v/>
      </c>
      <c r="AB576" s="4" t="str">
        <f t="array" ref="AB576">XLOOKUP(X576,'Dados Funil'!A:A,'Dados Funil'!O:O,"")</f>
        <v/>
      </c>
      <c r="AE576" s="7" t="str">
        <f t="shared" si="6"/>
        <v/>
      </c>
      <c r="AG576" s="4" t="str">
        <f t="array" ref="AG576">XLOOKUP(AC576,'Dados Funil'!A:A,'Dados Funil'!AM:AM,"")</f>
        <v/>
      </c>
      <c r="AH576" s="4" t="str">
        <f t="array" ref="AH576">XLOOKUP(AC576,'Dados Funil'!A:A,'Dados Funil'!AN:AN,"")</f>
        <v/>
      </c>
    </row>
    <row r="577">
      <c r="A577" s="4"/>
      <c r="B577" s="4"/>
      <c r="C577" s="7" t="str">
        <f t="shared" si="1"/>
        <v/>
      </c>
      <c r="D577" s="4" t="str">
        <f t="shared" si="9"/>
        <v/>
      </c>
      <c r="E577" s="4" t="str">
        <f t="array" ref="E577">XLOOKUP(A577,'Dados Funil'!$A:$A,'Dados Funil'!$K:$K,"")</f>
        <v/>
      </c>
      <c r="F577" s="4" t="str">
        <f t="array" ref="F577">XLOOKUP(A577,'Dados Funil'!$A:$A,'Dados Funil'!$L:$L,"")</f>
        <v/>
      </c>
      <c r="G577" s="4"/>
      <c r="H577" s="4"/>
      <c r="I577" s="7" t="str">
        <f t="shared" si="2"/>
        <v/>
      </c>
      <c r="J577" s="4" t="str">
        <f t="shared" si="10"/>
        <v/>
      </c>
      <c r="K577" s="4" t="str">
        <f t="array" ref="K577">XLOOKUP(G577,'Dados Funil'!A:A,'Dados Funil'!O:O,"")</f>
        <v/>
      </c>
      <c r="L577" s="4"/>
      <c r="M577" s="4"/>
      <c r="N577" s="7" t="str">
        <f t="shared" si="3"/>
        <v/>
      </c>
      <c r="O577" s="4" t="str">
        <f t="shared" si="11"/>
        <v/>
      </c>
      <c r="P577" s="4" t="str">
        <f t="array" ref="P577">XLOOKUP(L577,'Dados Funil'!A:A,'Dados Funil'!AM:AM,"")</f>
        <v/>
      </c>
      <c r="Q577" s="4" t="str">
        <f t="array" ref="Q577">XLOOKUP(L577,'Dados Funil'!A:A,'Dados Funil'!AN:AN,"")</f>
        <v/>
      </c>
      <c r="T577" s="7" t="str">
        <f t="shared" si="4"/>
        <v/>
      </c>
      <c r="U577" s="4" t="str">
        <f t="shared" si="12"/>
        <v/>
      </c>
      <c r="V577" s="4" t="str">
        <f t="array" ref="V577">XLOOKUP(R577,'Dados Funil'!$A:$A,'Dados Funil'!$K:$K,"")</f>
        <v/>
      </c>
      <c r="W577" s="4" t="str">
        <f t="array" ref="W577">XLOOKUP(R577,'Dados Funil'!$A:$A,'Dados Funil'!$L:$L,"")</f>
        <v/>
      </c>
      <c r="X577" s="4"/>
      <c r="Y577" s="4"/>
      <c r="Z577" s="7" t="str">
        <f t="shared" si="5"/>
        <v/>
      </c>
      <c r="AA577" s="4" t="str">
        <f t="shared" si="13"/>
        <v/>
      </c>
      <c r="AB577" s="4" t="str">
        <f t="array" ref="AB577">XLOOKUP(X577,'Dados Funil'!A:A,'Dados Funil'!O:O,"")</f>
        <v/>
      </c>
      <c r="AE577" s="7" t="str">
        <f t="shared" si="6"/>
        <v/>
      </c>
      <c r="AG577" s="4" t="str">
        <f t="array" ref="AG577">XLOOKUP(AC577,'Dados Funil'!A:A,'Dados Funil'!AM:AM,"")</f>
        <v/>
      </c>
      <c r="AH577" s="4" t="str">
        <f t="array" ref="AH577">XLOOKUP(AC577,'Dados Funil'!A:A,'Dados Funil'!AN:AN,"")</f>
        <v/>
      </c>
    </row>
    <row r="578">
      <c r="A578" s="4"/>
      <c r="B578" s="4"/>
      <c r="C578" s="7" t="str">
        <f t="shared" si="1"/>
        <v/>
      </c>
      <c r="D578" s="4" t="str">
        <f t="shared" si="9"/>
        <v/>
      </c>
      <c r="E578" s="4" t="str">
        <f t="array" ref="E578">XLOOKUP(A578,'Dados Funil'!$A:$A,'Dados Funil'!$K:$K,"")</f>
        <v/>
      </c>
      <c r="F578" s="4" t="str">
        <f t="array" ref="F578">XLOOKUP(A578,'Dados Funil'!$A:$A,'Dados Funil'!$L:$L,"")</f>
        <v/>
      </c>
      <c r="G578" s="4"/>
      <c r="H578" s="4"/>
      <c r="I578" s="7" t="str">
        <f t="shared" si="2"/>
        <v/>
      </c>
      <c r="J578" s="4" t="str">
        <f t="shared" si="10"/>
        <v/>
      </c>
      <c r="K578" s="4" t="str">
        <f t="array" ref="K578">XLOOKUP(G578,'Dados Funil'!A:A,'Dados Funil'!O:O,"")</f>
        <v/>
      </c>
      <c r="L578" s="4"/>
      <c r="M578" s="4"/>
      <c r="N578" s="7" t="str">
        <f t="shared" si="3"/>
        <v/>
      </c>
      <c r="O578" s="4" t="str">
        <f t="shared" si="11"/>
        <v/>
      </c>
      <c r="P578" s="4" t="str">
        <f t="array" ref="P578">XLOOKUP(L578,'Dados Funil'!A:A,'Dados Funil'!AM:AM,"")</f>
        <v/>
      </c>
      <c r="Q578" s="4" t="str">
        <f t="array" ref="Q578">XLOOKUP(L578,'Dados Funil'!A:A,'Dados Funil'!AN:AN,"")</f>
        <v/>
      </c>
      <c r="T578" s="7" t="str">
        <f t="shared" si="4"/>
        <v/>
      </c>
      <c r="U578" s="4" t="str">
        <f t="shared" si="12"/>
        <v/>
      </c>
      <c r="V578" s="4" t="str">
        <f t="array" ref="V578">XLOOKUP(R578,'Dados Funil'!$A:$A,'Dados Funil'!$K:$K,"")</f>
        <v/>
      </c>
      <c r="W578" s="4" t="str">
        <f t="array" ref="W578">XLOOKUP(R578,'Dados Funil'!$A:$A,'Dados Funil'!$L:$L,"")</f>
        <v/>
      </c>
      <c r="X578" s="4"/>
      <c r="Y578" s="4"/>
      <c r="Z578" s="7" t="str">
        <f t="shared" si="5"/>
        <v/>
      </c>
      <c r="AA578" s="4" t="str">
        <f t="shared" si="13"/>
        <v/>
      </c>
      <c r="AB578" s="4" t="str">
        <f t="array" ref="AB578">XLOOKUP(X578,'Dados Funil'!A:A,'Dados Funil'!O:O,"")</f>
        <v/>
      </c>
      <c r="AE578" s="7" t="str">
        <f t="shared" si="6"/>
        <v/>
      </c>
      <c r="AG578" s="4" t="str">
        <f t="array" ref="AG578">XLOOKUP(AC578,'Dados Funil'!A:A,'Dados Funil'!AM:AM,"")</f>
        <v/>
      </c>
      <c r="AH578" s="4" t="str">
        <f t="array" ref="AH578">XLOOKUP(AC578,'Dados Funil'!A:A,'Dados Funil'!AN:AN,"")</f>
        <v/>
      </c>
    </row>
    <row r="579">
      <c r="A579" s="4"/>
      <c r="B579" s="4"/>
      <c r="C579" s="7" t="str">
        <f t="shared" si="1"/>
        <v/>
      </c>
      <c r="D579" s="4" t="str">
        <f t="shared" si="9"/>
        <v/>
      </c>
      <c r="E579" s="4" t="str">
        <f t="array" ref="E579">XLOOKUP(A579,'Dados Funil'!$A:$A,'Dados Funil'!$K:$K,"")</f>
        <v/>
      </c>
      <c r="F579" s="4" t="str">
        <f t="array" ref="F579">XLOOKUP(A579,'Dados Funil'!$A:$A,'Dados Funil'!$L:$L,"")</f>
        <v/>
      </c>
      <c r="G579" s="4"/>
      <c r="H579" s="4"/>
      <c r="I579" s="7" t="str">
        <f t="shared" si="2"/>
        <v/>
      </c>
      <c r="J579" s="4" t="str">
        <f t="shared" si="10"/>
        <v/>
      </c>
      <c r="K579" s="4" t="str">
        <f t="array" ref="K579">XLOOKUP(G579,'Dados Funil'!A:A,'Dados Funil'!O:O,"")</f>
        <v/>
      </c>
      <c r="L579" s="4"/>
      <c r="M579" s="4"/>
      <c r="N579" s="7" t="str">
        <f t="shared" si="3"/>
        <v/>
      </c>
      <c r="O579" s="4" t="str">
        <f t="shared" si="11"/>
        <v/>
      </c>
      <c r="P579" s="4" t="str">
        <f t="array" ref="P579">XLOOKUP(L579,'Dados Funil'!A:A,'Dados Funil'!AM:AM,"")</f>
        <v/>
      </c>
      <c r="Q579" s="4" t="str">
        <f t="array" ref="Q579">XLOOKUP(L579,'Dados Funil'!A:A,'Dados Funil'!AN:AN,"")</f>
        <v/>
      </c>
      <c r="T579" s="7" t="str">
        <f t="shared" si="4"/>
        <v/>
      </c>
      <c r="U579" s="4" t="str">
        <f t="shared" si="12"/>
        <v/>
      </c>
      <c r="V579" s="4" t="str">
        <f t="array" ref="V579">XLOOKUP(R579,'Dados Funil'!$A:$A,'Dados Funil'!$K:$K,"")</f>
        <v/>
      </c>
      <c r="W579" s="4" t="str">
        <f t="array" ref="W579">XLOOKUP(R579,'Dados Funil'!$A:$A,'Dados Funil'!$L:$L,"")</f>
        <v/>
      </c>
      <c r="X579" s="4"/>
      <c r="Y579" s="4"/>
      <c r="Z579" s="7" t="str">
        <f t="shared" si="5"/>
        <v/>
      </c>
      <c r="AA579" s="4" t="str">
        <f t="shared" si="13"/>
        <v/>
      </c>
      <c r="AB579" s="4" t="str">
        <f t="array" ref="AB579">XLOOKUP(X579,'Dados Funil'!A:A,'Dados Funil'!O:O,"")</f>
        <v/>
      </c>
      <c r="AE579" s="7" t="str">
        <f t="shared" si="6"/>
        <v/>
      </c>
      <c r="AG579" s="4" t="str">
        <f t="array" ref="AG579">XLOOKUP(AC579,'Dados Funil'!A:A,'Dados Funil'!AM:AM,"")</f>
        <v/>
      </c>
      <c r="AH579" s="4" t="str">
        <f t="array" ref="AH579">XLOOKUP(AC579,'Dados Funil'!A:A,'Dados Funil'!AN:AN,"")</f>
        <v/>
      </c>
    </row>
    <row r="580">
      <c r="A580" s="4"/>
      <c r="B580" s="4"/>
      <c r="C580" s="7" t="str">
        <f t="shared" si="1"/>
        <v/>
      </c>
      <c r="D580" s="4" t="str">
        <f t="shared" si="9"/>
        <v/>
      </c>
      <c r="E580" s="4" t="str">
        <f t="array" ref="E580">XLOOKUP(A580,'Dados Funil'!$A:$A,'Dados Funil'!$K:$K,"")</f>
        <v/>
      </c>
      <c r="F580" s="4" t="str">
        <f t="array" ref="F580">XLOOKUP(A580,'Dados Funil'!$A:$A,'Dados Funil'!$L:$L,"")</f>
        <v/>
      </c>
      <c r="G580" s="4"/>
      <c r="H580" s="4"/>
      <c r="I580" s="7" t="str">
        <f t="shared" si="2"/>
        <v/>
      </c>
      <c r="J580" s="4" t="str">
        <f t="shared" si="10"/>
        <v/>
      </c>
      <c r="K580" s="4" t="str">
        <f t="array" ref="K580">XLOOKUP(G580,'Dados Funil'!A:A,'Dados Funil'!O:O,"")</f>
        <v/>
      </c>
      <c r="L580" s="4"/>
      <c r="M580" s="4"/>
      <c r="N580" s="7" t="str">
        <f t="shared" si="3"/>
        <v/>
      </c>
      <c r="O580" s="4" t="str">
        <f t="shared" si="11"/>
        <v/>
      </c>
      <c r="P580" s="4" t="str">
        <f t="array" ref="P580">XLOOKUP(L580,'Dados Funil'!A:A,'Dados Funil'!AM:AM,"")</f>
        <v/>
      </c>
      <c r="Q580" s="4" t="str">
        <f t="array" ref="Q580">XLOOKUP(L580,'Dados Funil'!A:A,'Dados Funil'!AN:AN,"")</f>
        <v/>
      </c>
      <c r="T580" s="7" t="str">
        <f t="shared" si="4"/>
        <v/>
      </c>
      <c r="U580" s="4" t="str">
        <f t="shared" si="12"/>
        <v/>
      </c>
      <c r="V580" s="4" t="str">
        <f t="array" ref="V580">XLOOKUP(R580,'Dados Funil'!$A:$A,'Dados Funil'!$K:$K,"")</f>
        <v/>
      </c>
      <c r="W580" s="4" t="str">
        <f t="array" ref="W580">XLOOKUP(R580,'Dados Funil'!$A:$A,'Dados Funil'!$L:$L,"")</f>
        <v/>
      </c>
      <c r="X580" s="4"/>
      <c r="Y580" s="4"/>
      <c r="Z580" s="7" t="str">
        <f t="shared" si="5"/>
        <v/>
      </c>
      <c r="AA580" s="4" t="str">
        <f t="shared" si="13"/>
        <v/>
      </c>
      <c r="AB580" s="4" t="str">
        <f t="array" ref="AB580">XLOOKUP(X580,'Dados Funil'!A:A,'Dados Funil'!O:O,"")</f>
        <v/>
      </c>
      <c r="AE580" s="7" t="str">
        <f t="shared" si="6"/>
        <v/>
      </c>
      <c r="AG580" s="4" t="str">
        <f t="array" ref="AG580">XLOOKUP(AC580,'Dados Funil'!A:A,'Dados Funil'!AM:AM,"")</f>
        <v/>
      </c>
      <c r="AH580" s="4" t="str">
        <f t="array" ref="AH580">XLOOKUP(AC580,'Dados Funil'!A:A,'Dados Funil'!AN:AN,"")</f>
        <v/>
      </c>
    </row>
    <row r="581">
      <c r="A581" s="4"/>
      <c r="B581" s="4"/>
      <c r="C581" s="7" t="str">
        <f t="shared" si="1"/>
        <v/>
      </c>
      <c r="D581" s="4" t="str">
        <f t="shared" si="9"/>
        <v/>
      </c>
      <c r="E581" s="4" t="str">
        <f t="array" ref="E581">XLOOKUP(A581,'Dados Funil'!$A:$A,'Dados Funil'!$K:$K,"")</f>
        <v/>
      </c>
      <c r="F581" s="4" t="str">
        <f t="array" ref="F581">XLOOKUP(A581,'Dados Funil'!$A:$A,'Dados Funil'!$L:$L,"")</f>
        <v/>
      </c>
      <c r="G581" s="4"/>
      <c r="H581" s="4"/>
      <c r="I581" s="7" t="str">
        <f t="shared" si="2"/>
        <v/>
      </c>
      <c r="J581" s="4" t="str">
        <f t="shared" si="10"/>
        <v/>
      </c>
      <c r="K581" s="4" t="str">
        <f t="array" ref="K581">XLOOKUP(G581,'Dados Funil'!A:A,'Dados Funil'!O:O,"")</f>
        <v/>
      </c>
      <c r="L581" s="4"/>
      <c r="M581" s="4"/>
      <c r="N581" s="7" t="str">
        <f t="shared" si="3"/>
        <v/>
      </c>
      <c r="O581" s="4" t="str">
        <f t="shared" si="11"/>
        <v/>
      </c>
      <c r="P581" s="4" t="str">
        <f t="array" ref="P581">XLOOKUP(L581,'Dados Funil'!A:A,'Dados Funil'!AM:AM,"")</f>
        <v/>
      </c>
      <c r="Q581" s="4" t="str">
        <f t="array" ref="Q581">XLOOKUP(L581,'Dados Funil'!A:A,'Dados Funil'!AN:AN,"")</f>
        <v/>
      </c>
      <c r="T581" s="7" t="str">
        <f t="shared" si="4"/>
        <v/>
      </c>
      <c r="U581" s="4" t="str">
        <f t="shared" si="12"/>
        <v/>
      </c>
      <c r="V581" s="4" t="str">
        <f t="array" ref="V581">XLOOKUP(R581,'Dados Funil'!$A:$A,'Dados Funil'!$K:$K,"")</f>
        <v/>
      </c>
      <c r="W581" s="4" t="str">
        <f t="array" ref="W581">XLOOKUP(R581,'Dados Funil'!$A:$A,'Dados Funil'!$L:$L,"")</f>
        <v/>
      </c>
      <c r="X581" s="4"/>
      <c r="Y581" s="4"/>
      <c r="Z581" s="7" t="str">
        <f t="shared" si="5"/>
        <v/>
      </c>
      <c r="AA581" s="4" t="str">
        <f t="shared" si="13"/>
        <v/>
      </c>
      <c r="AB581" s="4" t="str">
        <f t="array" ref="AB581">XLOOKUP(X581,'Dados Funil'!A:A,'Dados Funil'!O:O,"")</f>
        <v/>
      </c>
      <c r="AE581" s="7" t="str">
        <f t="shared" si="6"/>
        <v/>
      </c>
      <c r="AG581" s="4" t="str">
        <f t="array" ref="AG581">XLOOKUP(AC581,'Dados Funil'!A:A,'Dados Funil'!AM:AM,"")</f>
        <v/>
      </c>
      <c r="AH581" s="4" t="str">
        <f t="array" ref="AH581">XLOOKUP(AC581,'Dados Funil'!A:A,'Dados Funil'!AN:AN,"")</f>
        <v/>
      </c>
    </row>
    <row r="582">
      <c r="A582" s="4"/>
      <c r="B582" s="4"/>
      <c r="C582" s="7" t="str">
        <f t="shared" si="1"/>
        <v/>
      </c>
      <c r="D582" s="4" t="str">
        <f t="shared" si="9"/>
        <v/>
      </c>
      <c r="E582" s="4" t="str">
        <f t="array" ref="E582">XLOOKUP(A582,'Dados Funil'!$A:$A,'Dados Funil'!$K:$K,"")</f>
        <v/>
      </c>
      <c r="F582" s="4" t="str">
        <f t="array" ref="F582">XLOOKUP(A582,'Dados Funil'!$A:$A,'Dados Funil'!$L:$L,"")</f>
        <v/>
      </c>
      <c r="G582" s="4"/>
      <c r="H582" s="4"/>
      <c r="I582" s="7" t="str">
        <f t="shared" si="2"/>
        <v/>
      </c>
      <c r="J582" s="4" t="str">
        <f t="shared" si="10"/>
        <v/>
      </c>
      <c r="K582" s="4" t="str">
        <f t="array" ref="K582">XLOOKUP(G582,'Dados Funil'!A:A,'Dados Funil'!O:O,"")</f>
        <v/>
      </c>
      <c r="L582" s="4"/>
      <c r="M582" s="4"/>
      <c r="N582" s="7" t="str">
        <f t="shared" si="3"/>
        <v/>
      </c>
      <c r="O582" s="4" t="str">
        <f t="shared" si="11"/>
        <v/>
      </c>
      <c r="P582" s="4" t="str">
        <f t="array" ref="P582">XLOOKUP(L582,'Dados Funil'!A:A,'Dados Funil'!AM:AM,"")</f>
        <v/>
      </c>
      <c r="Q582" s="4" t="str">
        <f t="array" ref="Q582">XLOOKUP(L582,'Dados Funil'!A:A,'Dados Funil'!AN:AN,"")</f>
        <v/>
      </c>
      <c r="T582" s="7" t="str">
        <f t="shared" si="4"/>
        <v/>
      </c>
      <c r="U582" s="4" t="str">
        <f t="shared" si="12"/>
        <v/>
      </c>
      <c r="V582" s="4" t="str">
        <f t="array" ref="V582">XLOOKUP(R582,'Dados Funil'!$A:$A,'Dados Funil'!$K:$K,"")</f>
        <v/>
      </c>
      <c r="W582" s="4" t="str">
        <f t="array" ref="W582">XLOOKUP(R582,'Dados Funil'!$A:$A,'Dados Funil'!$L:$L,"")</f>
        <v/>
      </c>
      <c r="X582" s="4"/>
      <c r="Y582" s="4"/>
      <c r="Z582" s="7" t="str">
        <f t="shared" si="5"/>
        <v/>
      </c>
      <c r="AA582" s="4" t="str">
        <f t="shared" si="13"/>
        <v/>
      </c>
      <c r="AB582" s="4" t="str">
        <f t="array" ref="AB582">XLOOKUP(X582,'Dados Funil'!A:A,'Dados Funil'!O:O,"")</f>
        <v/>
      </c>
      <c r="AE582" s="7" t="str">
        <f t="shared" si="6"/>
        <v/>
      </c>
      <c r="AG582" s="4" t="str">
        <f t="array" ref="AG582">XLOOKUP(AC582,'Dados Funil'!A:A,'Dados Funil'!AM:AM,"")</f>
        <v/>
      </c>
      <c r="AH582" s="4" t="str">
        <f t="array" ref="AH582">XLOOKUP(AC582,'Dados Funil'!A:A,'Dados Funil'!AN:AN,"")</f>
        <v/>
      </c>
    </row>
    <row r="583">
      <c r="A583" s="4"/>
      <c r="B583" s="4"/>
      <c r="C583" s="7" t="str">
        <f t="shared" si="1"/>
        <v/>
      </c>
      <c r="D583" s="4" t="str">
        <f t="shared" si="9"/>
        <v/>
      </c>
      <c r="E583" s="4" t="str">
        <f t="array" ref="E583">XLOOKUP(A583,'Dados Funil'!$A:$A,'Dados Funil'!$K:$K,"")</f>
        <v/>
      </c>
      <c r="F583" s="4" t="str">
        <f t="array" ref="F583">XLOOKUP(A583,'Dados Funil'!$A:$A,'Dados Funil'!$L:$L,"")</f>
        <v/>
      </c>
      <c r="G583" s="4"/>
      <c r="H583" s="4"/>
      <c r="I583" s="7" t="str">
        <f t="shared" si="2"/>
        <v/>
      </c>
      <c r="J583" s="4" t="str">
        <f t="shared" si="10"/>
        <v/>
      </c>
      <c r="K583" s="4" t="str">
        <f t="array" ref="K583">XLOOKUP(G583,'Dados Funil'!A:A,'Dados Funil'!O:O,"")</f>
        <v/>
      </c>
      <c r="L583" s="4"/>
      <c r="M583" s="4"/>
      <c r="N583" s="7" t="str">
        <f t="shared" si="3"/>
        <v/>
      </c>
      <c r="O583" s="4" t="str">
        <f t="shared" si="11"/>
        <v/>
      </c>
      <c r="P583" s="4" t="str">
        <f t="array" ref="P583">XLOOKUP(L583,'Dados Funil'!A:A,'Dados Funil'!AM:AM,"")</f>
        <v/>
      </c>
      <c r="Q583" s="4" t="str">
        <f t="array" ref="Q583">XLOOKUP(L583,'Dados Funil'!A:A,'Dados Funil'!AN:AN,"")</f>
        <v/>
      </c>
      <c r="T583" s="7" t="str">
        <f t="shared" si="4"/>
        <v/>
      </c>
      <c r="U583" s="4" t="str">
        <f t="shared" si="12"/>
        <v/>
      </c>
      <c r="V583" s="4" t="str">
        <f t="array" ref="V583">XLOOKUP(R583,'Dados Funil'!$A:$A,'Dados Funil'!$K:$K,"")</f>
        <v/>
      </c>
      <c r="W583" s="4" t="str">
        <f t="array" ref="W583">XLOOKUP(R583,'Dados Funil'!$A:$A,'Dados Funil'!$L:$L,"")</f>
        <v/>
      </c>
      <c r="X583" s="4"/>
      <c r="Y583" s="4"/>
      <c r="Z583" s="7" t="str">
        <f t="shared" si="5"/>
        <v/>
      </c>
      <c r="AA583" s="4" t="str">
        <f t="shared" si="13"/>
        <v/>
      </c>
      <c r="AB583" s="4" t="str">
        <f t="array" ref="AB583">XLOOKUP(X583,'Dados Funil'!A:A,'Dados Funil'!O:O,"")</f>
        <v/>
      </c>
      <c r="AE583" s="7" t="str">
        <f t="shared" si="6"/>
        <v/>
      </c>
      <c r="AG583" s="4" t="str">
        <f t="array" ref="AG583">XLOOKUP(AC583,'Dados Funil'!A:A,'Dados Funil'!AM:AM,"")</f>
        <v/>
      </c>
      <c r="AH583" s="4" t="str">
        <f t="array" ref="AH583">XLOOKUP(AC583,'Dados Funil'!A:A,'Dados Funil'!AN:AN,"")</f>
        <v/>
      </c>
    </row>
    <row r="584">
      <c r="A584" s="4"/>
      <c r="B584" s="4"/>
      <c r="C584" s="7" t="str">
        <f t="shared" si="1"/>
        <v/>
      </c>
      <c r="D584" s="4" t="str">
        <f t="shared" si="9"/>
        <v/>
      </c>
      <c r="E584" s="4" t="str">
        <f t="array" ref="E584">XLOOKUP(A584,'Dados Funil'!$A:$A,'Dados Funil'!$K:$K,"")</f>
        <v/>
      </c>
      <c r="F584" s="4" t="str">
        <f t="array" ref="F584">XLOOKUP(A584,'Dados Funil'!$A:$A,'Dados Funil'!$L:$L,"")</f>
        <v/>
      </c>
      <c r="G584" s="4"/>
      <c r="H584" s="4"/>
      <c r="I584" s="7" t="str">
        <f t="shared" si="2"/>
        <v/>
      </c>
      <c r="J584" s="4" t="str">
        <f t="shared" si="10"/>
        <v/>
      </c>
      <c r="K584" s="4" t="str">
        <f t="array" ref="K584">XLOOKUP(G584,'Dados Funil'!A:A,'Dados Funil'!O:O,"")</f>
        <v/>
      </c>
      <c r="L584" s="4"/>
      <c r="M584" s="4"/>
      <c r="N584" s="7" t="str">
        <f t="shared" si="3"/>
        <v/>
      </c>
      <c r="O584" s="4" t="str">
        <f t="shared" si="11"/>
        <v/>
      </c>
      <c r="P584" s="4" t="str">
        <f t="array" ref="P584">XLOOKUP(L584,'Dados Funil'!A:A,'Dados Funil'!AM:AM,"")</f>
        <v/>
      </c>
      <c r="Q584" s="4" t="str">
        <f t="array" ref="Q584">XLOOKUP(L584,'Dados Funil'!A:A,'Dados Funil'!AN:AN,"")</f>
        <v/>
      </c>
      <c r="T584" s="7" t="str">
        <f t="shared" si="4"/>
        <v/>
      </c>
      <c r="U584" s="4" t="str">
        <f t="shared" si="12"/>
        <v/>
      </c>
      <c r="V584" s="4" t="str">
        <f t="array" ref="V584">XLOOKUP(R584,'Dados Funil'!$A:$A,'Dados Funil'!$K:$K,"")</f>
        <v/>
      </c>
      <c r="W584" s="4" t="str">
        <f t="array" ref="W584">XLOOKUP(R584,'Dados Funil'!$A:$A,'Dados Funil'!$L:$L,"")</f>
        <v/>
      </c>
      <c r="X584" s="4"/>
      <c r="Y584" s="4"/>
      <c r="Z584" s="7" t="str">
        <f t="shared" si="5"/>
        <v/>
      </c>
      <c r="AA584" s="4" t="str">
        <f t="shared" si="13"/>
        <v/>
      </c>
      <c r="AB584" s="4" t="str">
        <f t="array" ref="AB584">XLOOKUP(X584,'Dados Funil'!A:A,'Dados Funil'!O:O,"")</f>
        <v/>
      </c>
      <c r="AE584" s="7" t="str">
        <f t="shared" si="6"/>
        <v/>
      </c>
      <c r="AG584" s="4" t="str">
        <f t="array" ref="AG584">XLOOKUP(AC584,'Dados Funil'!A:A,'Dados Funil'!AM:AM,"")</f>
        <v/>
      </c>
      <c r="AH584" s="4" t="str">
        <f t="array" ref="AH584">XLOOKUP(AC584,'Dados Funil'!A:A,'Dados Funil'!AN:AN,"")</f>
        <v/>
      </c>
    </row>
    <row r="585">
      <c r="A585" s="4"/>
      <c r="B585" s="4"/>
      <c r="C585" s="7" t="str">
        <f t="shared" si="1"/>
        <v/>
      </c>
      <c r="D585" s="4" t="str">
        <f t="shared" si="9"/>
        <v/>
      </c>
      <c r="E585" s="4" t="str">
        <f t="array" ref="E585">XLOOKUP(A585,'Dados Funil'!$A:$A,'Dados Funil'!$K:$K,"")</f>
        <v/>
      </c>
      <c r="F585" s="4" t="str">
        <f t="array" ref="F585">XLOOKUP(A585,'Dados Funil'!$A:$A,'Dados Funil'!$L:$L,"")</f>
        <v/>
      </c>
      <c r="G585" s="4"/>
      <c r="H585" s="4"/>
      <c r="I585" s="7" t="str">
        <f t="shared" si="2"/>
        <v/>
      </c>
      <c r="J585" s="4" t="str">
        <f t="shared" si="10"/>
        <v/>
      </c>
      <c r="K585" s="4" t="str">
        <f t="array" ref="K585">XLOOKUP(G585,'Dados Funil'!A:A,'Dados Funil'!O:O,"")</f>
        <v/>
      </c>
      <c r="L585" s="4"/>
      <c r="M585" s="4"/>
      <c r="N585" s="7" t="str">
        <f t="shared" si="3"/>
        <v/>
      </c>
      <c r="O585" s="4" t="str">
        <f t="shared" si="11"/>
        <v/>
      </c>
      <c r="P585" s="4" t="str">
        <f t="array" ref="P585">XLOOKUP(L585,'Dados Funil'!A:A,'Dados Funil'!AM:AM,"")</f>
        <v/>
      </c>
      <c r="Q585" s="4" t="str">
        <f t="array" ref="Q585">XLOOKUP(L585,'Dados Funil'!A:A,'Dados Funil'!AN:AN,"")</f>
        <v/>
      </c>
      <c r="T585" s="7" t="str">
        <f t="shared" si="4"/>
        <v/>
      </c>
      <c r="U585" s="4" t="str">
        <f t="shared" si="12"/>
        <v/>
      </c>
      <c r="V585" s="4" t="str">
        <f t="array" ref="V585">XLOOKUP(R585,'Dados Funil'!$A:$A,'Dados Funil'!$K:$K,"")</f>
        <v/>
      </c>
      <c r="W585" s="4" t="str">
        <f t="array" ref="W585">XLOOKUP(R585,'Dados Funil'!$A:$A,'Dados Funil'!$L:$L,"")</f>
        <v/>
      </c>
      <c r="X585" s="4"/>
      <c r="Y585" s="4"/>
      <c r="Z585" s="7" t="str">
        <f t="shared" si="5"/>
        <v/>
      </c>
      <c r="AA585" s="4" t="str">
        <f t="shared" si="13"/>
        <v/>
      </c>
      <c r="AB585" s="4" t="str">
        <f t="array" ref="AB585">XLOOKUP(X585,'Dados Funil'!A:A,'Dados Funil'!O:O,"")</f>
        <v/>
      </c>
      <c r="AE585" s="7" t="str">
        <f t="shared" si="6"/>
        <v/>
      </c>
      <c r="AG585" s="4" t="str">
        <f t="array" ref="AG585">XLOOKUP(AC585,'Dados Funil'!A:A,'Dados Funil'!AM:AM,"")</f>
        <v/>
      </c>
      <c r="AH585" s="4" t="str">
        <f t="array" ref="AH585">XLOOKUP(AC585,'Dados Funil'!A:A,'Dados Funil'!AN:AN,"")</f>
        <v/>
      </c>
    </row>
    <row r="586">
      <c r="A586" s="4"/>
      <c r="B586" s="4"/>
      <c r="C586" s="7" t="str">
        <f t="shared" si="1"/>
        <v/>
      </c>
      <c r="D586" s="4" t="str">
        <f t="shared" si="9"/>
        <v/>
      </c>
      <c r="E586" s="4" t="str">
        <f t="array" ref="E586">XLOOKUP(A586,'Dados Funil'!$A:$A,'Dados Funil'!$K:$K,"")</f>
        <v/>
      </c>
      <c r="F586" s="4" t="str">
        <f t="array" ref="F586">XLOOKUP(A586,'Dados Funil'!$A:$A,'Dados Funil'!$L:$L,"")</f>
        <v/>
      </c>
      <c r="G586" s="4"/>
      <c r="H586" s="4"/>
      <c r="I586" s="7" t="str">
        <f t="shared" si="2"/>
        <v/>
      </c>
      <c r="J586" s="4" t="str">
        <f t="shared" si="10"/>
        <v/>
      </c>
      <c r="K586" s="4" t="str">
        <f t="array" ref="K586">XLOOKUP(G586,'Dados Funil'!A:A,'Dados Funil'!O:O,"")</f>
        <v/>
      </c>
      <c r="L586" s="4"/>
      <c r="M586" s="4"/>
      <c r="N586" s="7" t="str">
        <f t="shared" si="3"/>
        <v/>
      </c>
      <c r="O586" s="4" t="str">
        <f t="shared" si="11"/>
        <v/>
      </c>
      <c r="P586" s="4" t="str">
        <f t="array" ref="P586">XLOOKUP(L586,'Dados Funil'!A:A,'Dados Funil'!AM:AM,"")</f>
        <v/>
      </c>
      <c r="Q586" s="4" t="str">
        <f t="array" ref="Q586">XLOOKUP(L586,'Dados Funil'!A:A,'Dados Funil'!AN:AN,"")</f>
        <v/>
      </c>
      <c r="T586" s="7" t="str">
        <f t="shared" si="4"/>
        <v/>
      </c>
      <c r="U586" s="4" t="str">
        <f t="shared" si="12"/>
        <v/>
      </c>
      <c r="V586" s="4" t="str">
        <f t="array" ref="V586">XLOOKUP(R586,'Dados Funil'!$A:$A,'Dados Funil'!$K:$K,"")</f>
        <v/>
      </c>
      <c r="W586" s="4" t="str">
        <f t="array" ref="W586">XLOOKUP(R586,'Dados Funil'!$A:$A,'Dados Funil'!$L:$L,"")</f>
        <v/>
      </c>
      <c r="X586" s="4"/>
      <c r="Y586" s="4"/>
      <c r="Z586" s="7" t="str">
        <f t="shared" si="5"/>
        <v/>
      </c>
      <c r="AA586" s="4" t="str">
        <f t="shared" si="13"/>
        <v/>
      </c>
      <c r="AB586" s="4" t="str">
        <f t="array" ref="AB586">XLOOKUP(X586,'Dados Funil'!A:A,'Dados Funil'!O:O,"")</f>
        <v/>
      </c>
      <c r="AE586" s="7" t="str">
        <f t="shared" si="6"/>
        <v/>
      </c>
      <c r="AG586" s="4" t="str">
        <f t="array" ref="AG586">XLOOKUP(AC586,'Dados Funil'!A:A,'Dados Funil'!AM:AM,"")</f>
        <v/>
      </c>
      <c r="AH586" s="4" t="str">
        <f t="array" ref="AH586">XLOOKUP(AC586,'Dados Funil'!A:A,'Dados Funil'!AN:AN,"")</f>
        <v/>
      </c>
    </row>
    <row r="587">
      <c r="A587" s="4"/>
      <c r="B587" s="4"/>
      <c r="C587" s="7" t="str">
        <f t="shared" si="1"/>
        <v/>
      </c>
      <c r="D587" s="4" t="str">
        <f t="shared" si="9"/>
        <v/>
      </c>
      <c r="E587" s="4" t="str">
        <f t="array" ref="E587">XLOOKUP(A587,'Dados Funil'!$A:$A,'Dados Funil'!$K:$K,"")</f>
        <v/>
      </c>
      <c r="F587" s="4" t="str">
        <f t="array" ref="F587">XLOOKUP(A587,'Dados Funil'!$A:$A,'Dados Funil'!$L:$L,"")</f>
        <v/>
      </c>
      <c r="G587" s="4"/>
      <c r="H587" s="4"/>
      <c r="I587" s="7" t="str">
        <f t="shared" si="2"/>
        <v/>
      </c>
      <c r="J587" s="4" t="str">
        <f t="shared" si="10"/>
        <v/>
      </c>
      <c r="K587" s="4" t="str">
        <f t="array" ref="K587">XLOOKUP(G587,'Dados Funil'!A:A,'Dados Funil'!O:O,"")</f>
        <v/>
      </c>
      <c r="L587" s="4"/>
      <c r="M587" s="4"/>
      <c r="N587" s="7" t="str">
        <f t="shared" si="3"/>
        <v/>
      </c>
      <c r="O587" s="4" t="str">
        <f t="shared" si="11"/>
        <v/>
      </c>
      <c r="P587" s="4" t="str">
        <f t="array" ref="P587">XLOOKUP(L587,'Dados Funil'!A:A,'Dados Funil'!AM:AM,"")</f>
        <v/>
      </c>
      <c r="Q587" s="4" t="str">
        <f t="array" ref="Q587">XLOOKUP(L587,'Dados Funil'!A:A,'Dados Funil'!AN:AN,"")</f>
        <v/>
      </c>
      <c r="T587" s="7" t="str">
        <f t="shared" si="4"/>
        <v/>
      </c>
      <c r="U587" s="4" t="str">
        <f t="shared" si="12"/>
        <v/>
      </c>
      <c r="V587" s="4" t="str">
        <f t="array" ref="V587">XLOOKUP(R587,'Dados Funil'!$A:$A,'Dados Funil'!$K:$K,"")</f>
        <v/>
      </c>
      <c r="W587" s="4" t="str">
        <f t="array" ref="W587">XLOOKUP(R587,'Dados Funil'!$A:$A,'Dados Funil'!$L:$L,"")</f>
        <v/>
      </c>
      <c r="X587" s="4"/>
      <c r="Y587" s="4"/>
      <c r="Z587" s="7" t="str">
        <f t="shared" si="5"/>
        <v/>
      </c>
      <c r="AA587" s="4" t="str">
        <f t="shared" si="13"/>
        <v/>
      </c>
      <c r="AB587" s="4" t="str">
        <f t="array" ref="AB587">XLOOKUP(X587,'Dados Funil'!A:A,'Dados Funil'!O:O,"")</f>
        <v/>
      </c>
      <c r="AE587" s="7" t="str">
        <f t="shared" si="6"/>
        <v/>
      </c>
      <c r="AG587" s="4" t="str">
        <f t="array" ref="AG587">XLOOKUP(AC587,'Dados Funil'!A:A,'Dados Funil'!AM:AM,"")</f>
        <v/>
      </c>
      <c r="AH587" s="4" t="str">
        <f t="array" ref="AH587">XLOOKUP(AC587,'Dados Funil'!A:A,'Dados Funil'!AN:AN,"")</f>
        <v/>
      </c>
    </row>
    <row r="588">
      <c r="A588" s="4"/>
      <c r="B588" s="4"/>
      <c r="C588" s="7" t="str">
        <f t="shared" si="1"/>
        <v/>
      </c>
      <c r="D588" s="4" t="str">
        <f t="shared" si="9"/>
        <v/>
      </c>
      <c r="E588" s="4" t="str">
        <f t="array" ref="E588">XLOOKUP(A588,'Dados Funil'!$A:$A,'Dados Funil'!$K:$K,"")</f>
        <v/>
      </c>
      <c r="F588" s="4" t="str">
        <f t="array" ref="F588">XLOOKUP(A588,'Dados Funil'!$A:$A,'Dados Funil'!$L:$L,"")</f>
        <v/>
      </c>
      <c r="G588" s="4"/>
      <c r="H588" s="4"/>
      <c r="I588" s="7" t="str">
        <f t="shared" si="2"/>
        <v/>
      </c>
      <c r="J588" s="4" t="str">
        <f t="shared" si="10"/>
        <v/>
      </c>
      <c r="K588" s="4" t="str">
        <f t="array" ref="K588">XLOOKUP(G588,'Dados Funil'!A:A,'Dados Funil'!O:O,"")</f>
        <v/>
      </c>
      <c r="L588" s="4"/>
      <c r="M588" s="4"/>
      <c r="N588" s="7" t="str">
        <f t="shared" si="3"/>
        <v/>
      </c>
      <c r="O588" s="4" t="str">
        <f t="shared" si="11"/>
        <v/>
      </c>
      <c r="P588" s="4" t="str">
        <f t="array" ref="P588">XLOOKUP(L588,'Dados Funil'!A:A,'Dados Funil'!AM:AM,"")</f>
        <v/>
      </c>
      <c r="Q588" s="4" t="str">
        <f t="array" ref="Q588">XLOOKUP(L588,'Dados Funil'!A:A,'Dados Funil'!AN:AN,"")</f>
        <v/>
      </c>
      <c r="T588" s="7" t="str">
        <f t="shared" si="4"/>
        <v/>
      </c>
      <c r="U588" s="4" t="str">
        <f t="shared" si="12"/>
        <v/>
      </c>
      <c r="V588" s="4" t="str">
        <f t="array" ref="V588">XLOOKUP(R588,'Dados Funil'!$A:$A,'Dados Funil'!$K:$K,"")</f>
        <v/>
      </c>
      <c r="W588" s="4" t="str">
        <f t="array" ref="W588">XLOOKUP(R588,'Dados Funil'!$A:$A,'Dados Funil'!$L:$L,"")</f>
        <v/>
      </c>
      <c r="X588" s="4"/>
      <c r="Y588" s="4"/>
      <c r="Z588" s="7" t="str">
        <f t="shared" si="5"/>
        <v/>
      </c>
      <c r="AA588" s="4" t="str">
        <f t="shared" si="13"/>
        <v/>
      </c>
      <c r="AB588" s="4" t="str">
        <f t="array" ref="AB588">XLOOKUP(X588,'Dados Funil'!A:A,'Dados Funil'!O:O,"")</f>
        <v/>
      </c>
      <c r="AE588" s="7" t="str">
        <f t="shared" si="6"/>
        <v/>
      </c>
      <c r="AG588" s="4" t="str">
        <f t="array" ref="AG588">XLOOKUP(AC588,'Dados Funil'!A:A,'Dados Funil'!AM:AM,"")</f>
        <v/>
      </c>
      <c r="AH588" s="4" t="str">
        <f t="array" ref="AH588">XLOOKUP(AC588,'Dados Funil'!A:A,'Dados Funil'!AN:AN,"")</f>
        <v/>
      </c>
    </row>
    <row r="589">
      <c r="A589" s="4"/>
      <c r="B589" s="4"/>
      <c r="C589" s="7" t="str">
        <f t="shared" si="1"/>
        <v/>
      </c>
      <c r="D589" s="4" t="str">
        <f t="shared" si="9"/>
        <v/>
      </c>
      <c r="E589" s="4" t="str">
        <f t="array" ref="E589">XLOOKUP(A589,'Dados Funil'!$A:$A,'Dados Funil'!$K:$K,"")</f>
        <v/>
      </c>
      <c r="F589" s="4" t="str">
        <f t="array" ref="F589">XLOOKUP(A589,'Dados Funil'!$A:$A,'Dados Funil'!$L:$L,"")</f>
        <v/>
      </c>
      <c r="G589" s="4"/>
      <c r="H589" s="4"/>
      <c r="I589" s="7" t="str">
        <f t="shared" si="2"/>
        <v/>
      </c>
      <c r="J589" s="4" t="str">
        <f t="shared" si="10"/>
        <v/>
      </c>
      <c r="K589" s="4" t="str">
        <f t="array" ref="K589">XLOOKUP(G589,'Dados Funil'!A:A,'Dados Funil'!O:O,"")</f>
        <v/>
      </c>
      <c r="L589" s="4"/>
      <c r="M589" s="4"/>
      <c r="N589" s="7" t="str">
        <f t="shared" si="3"/>
        <v/>
      </c>
      <c r="O589" s="4" t="str">
        <f t="shared" si="11"/>
        <v/>
      </c>
      <c r="P589" s="4" t="str">
        <f t="array" ref="P589">XLOOKUP(L589,'Dados Funil'!A:A,'Dados Funil'!AM:AM,"")</f>
        <v/>
      </c>
      <c r="Q589" s="4" t="str">
        <f t="array" ref="Q589">XLOOKUP(L589,'Dados Funil'!A:A,'Dados Funil'!AN:AN,"")</f>
        <v/>
      </c>
      <c r="T589" s="7" t="str">
        <f t="shared" si="4"/>
        <v/>
      </c>
      <c r="U589" s="4" t="str">
        <f t="shared" si="12"/>
        <v/>
      </c>
      <c r="V589" s="4" t="str">
        <f t="array" ref="V589">XLOOKUP(R589,'Dados Funil'!$A:$A,'Dados Funil'!$K:$K,"")</f>
        <v/>
      </c>
      <c r="W589" s="4" t="str">
        <f t="array" ref="W589">XLOOKUP(R589,'Dados Funil'!$A:$A,'Dados Funil'!$L:$L,"")</f>
        <v/>
      </c>
      <c r="X589" s="4"/>
      <c r="Y589" s="4"/>
      <c r="Z589" s="7" t="str">
        <f t="shared" si="5"/>
        <v/>
      </c>
      <c r="AA589" s="4" t="str">
        <f t="shared" si="13"/>
        <v/>
      </c>
      <c r="AB589" s="4" t="str">
        <f t="array" ref="AB589">XLOOKUP(X589,'Dados Funil'!A:A,'Dados Funil'!O:O,"")</f>
        <v/>
      </c>
      <c r="AE589" s="7" t="str">
        <f t="shared" si="6"/>
        <v/>
      </c>
      <c r="AG589" s="4" t="str">
        <f t="array" ref="AG589">XLOOKUP(AC589,'Dados Funil'!A:A,'Dados Funil'!AM:AM,"")</f>
        <v/>
      </c>
      <c r="AH589" s="4" t="str">
        <f t="array" ref="AH589">XLOOKUP(AC589,'Dados Funil'!A:A,'Dados Funil'!AN:AN,"")</f>
        <v/>
      </c>
    </row>
    <row r="590">
      <c r="A590" s="4"/>
      <c r="B590" s="4"/>
      <c r="C590" s="7" t="str">
        <f t="shared" si="1"/>
        <v/>
      </c>
      <c r="D590" s="4" t="str">
        <f t="shared" si="9"/>
        <v/>
      </c>
      <c r="E590" s="4" t="str">
        <f t="array" ref="E590">XLOOKUP(A590,'Dados Funil'!$A:$A,'Dados Funil'!$K:$K,"")</f>
        <v/>
      </c>
      <c r="F590" s="4" t="str">
        <f t="array" ref="F590">XLOOKUP(A590,'Dados Funil'!$A:$A,'Dados Funil'!$L:$L,"")</f>
        <v/>
      </c>
      <c r="G590" s="4"/>
      <c r="H590" s="4"/>
      <c r="I590" s="7" t="str">
        <f t="shared" si="2"/>
        <v/>
      </c>
      <c r="J590" s="4" t="str">
        <f t="shared" si="10"/>
        <v/>
      </c>
      <c r="K590" s="4" t="str">
        <f t="array" ref="K590">XLOOKUP(G590,'Dados Funil'!A:A,'Dados Funil'!O:O,"")</f>
        <v/>
      </c>
      <c r="L590" s="4"/>
      <c r="M590" s="4"/>
      <c r="N590" s="7" t="str">
        <f t="shared" si="3"/>
        <v/>
      </c>
      <c r="O590" s="4" t="str">
        <f t="shared" si="11"/>
        <v/>
      </c>
      <c r="P590" s="4" t="str">
        <f t="array" ref="P590">XLOOKUP(L590,'Dados Funil'!A:A,'Dados Funil'!AM:AM,"")</f>
        <v/>
      </c>
      <c r="Q590" s="4" t="str">
        <f t="array" ref="Q590">XLOOKUP(L590,'Dados Funil'!A:A,'Dados Funil'!AN:AN,"")</f>
        <v/>
      </c>
      <c r="T590" s="7" t="str">
        <f t="shared" si="4"/>
        <v/>
      </c>
      <c r="U590" s="4" t="str">
        <f t="shared" si="12"/>
        <v/>
      </c>
      <c r="V590" s="4" t="str">
        <f t="array" ref="V590">XLOOKUP(R590,'Dados Funil'!$A:$A,'Dados Funil'!$K:$K,"")</f>
        <v/>
      </c>
      <c r="W590" s="4" t="str">
        <f t="array" ref="W590">XLOOKUP(R590,'Dados Funil'!$A:$A,'Dados Funil'!$L:$L,"")</f>
        <v/>
      </c>
      <c r="X590" s="4"/>
      <c r="Y590" s="4"/>
      <c r="Z590" s="7" t="str">
        <f t="shared" si="5"/>
        <v/>
      </c>
      <c r="AA590" s="4" t="str">
        <f t="shared" si="13"/>
        <v/>
      </c>
      <c r="AB590" s="4" t="str">
        <f t="array" ref="AB590">XLOOKUP(X590,'Dados Funil'!A:A,'Dados Funil'!O:O,"")</f>
        <v/>
      </c>
      <c r="AE590" s="7" t="str">
        <f t="shared" si="6"/>
        <v/>
      </c>
      <c r="AG590" s="4" t="str">
        <f t="array" ref="AG590">XLOOKUP(AC590,'Dados Funil'!A:A,'Dados Funil'!AM:AM,"")</f>
        <v/>
      </c>
      <c r="AH590" s="4" t="str">
        <f t="array" ref="AH590">XLOOKUP(AC590,'Dados Funil'!A:A,'Dados Funil'!AN:AN,"")</f>
        <v/>
      </c>
    </row>
    <row r="591">
      <c r="A591" s="4"/>
      <c r="B591" s="4"/>
      <c r="C591" s="7" t="str">
        <f t="shared" si="1"/>
        <v/>
      </c>
      <c r="D591" s="4" t="str">
        <f t="shared" si="9"/>
        <v/>
      </c>
      <c r="E591" s="4" t="str">
        <f t="array" ref="E591">XLOOKUP(A591,'Dados Funil'!$A:$A,'Dados Funil'!$K:$K,"")</f>
        <v/>
      </c>
      <c r="F591" s="4" t="str">
        <f t="array" ref="F591">XLOOKUP(A591,'Dados Funil'!$A:$A,'Dados Funil'!$L:$L,"")</f>
        <v/>
      </c>
      <c r="G591" s="4"/>
      <c r="H591" s="4"/>
      <c r="I591" s="7" t="str">
        <f t="shared" si="2"/>
        <v/>
      </c>
      <c r="J591" s="4" t="str">
        <f t="shared" si="10"/>
        <v/>
      </c>
      <c r="K591" s="4" t="str">
        <f t="array" ref="K591">XLOOKUP(G591,'Dados Funil'!A:A,'Dados Funil'!O:O,"")</f>
        <v/>
      </c>
      <c r="L591" s="4"/>
      <c r="M591" s="4"/>
      <c r="N591" s="7" t="str">
        <f t="shared" si="3"/>
        <v/>
      </c>
      <c r="O591" s="4" t="str">
        <f t="shared" si="11"/>
        <v/>
      </c>
      <c r="P591" s="4" t="str">
        <f t="array" ref="P591">XLOOKUP(L591,'Dados Funil'!A:A,'Dados Funil'!AM:AM,"")</f>
        <v/>
      </c>
      <c r="Q591" s="4" t="str">
        <f t="array" ref="Q591">XLOOKUP(L591,'Dados Funil'!A:A,'Dados Funil'!AN:AN,"")</f>
        <v/>
      </c>
      <c r="T591" s="7" t="str">
        <f t="shared" si="4"/>
        <v/>
      </c>
      <c r="U591" s="4" t="str">
        <f t="shared" si="12"/>
        <v/>
      </c>
      <c r="V591" s="4" t="str">
        <f t="array" ref="V591">XLOOKUP(R591,'Dados Funil'!$A:$A,'Dados Funil'!$K:$K,"")</f>
        <v/>
      </c>
      <c r="W591" s="4" t="str">
        <f t="array" ref="W591">XLOOKUP(R591,'Dados Funil'!$A:$A,'Dados Funil'!$L:$L,"")</f>
        <v/>
      </c>
      <c r="X591" s="4"/>
      <c r="Y591" s="4"/>
      <c r="Z591" s="7" t="str">
        <f t="shared" si="5"/>
        <v/>
      </c>
      <c r="AA591" s="4" t="str">
        <f t="shared" si="13"/>
        <v/>
      </c>
      <c r="AB591" s="4" t="str">
        <f t="array" ref="AB591">XLOOKUP(X591,'Dados Funil'!A:A,'Dados Funil'!O:O,"")</f>
        <v/>
      </c>
      <c r="AE591" s="7" t="str">
        <f t="shared" si="6"/>
        <v/>
      </c>
      <c r="AG591" s="4" t="str">
        <f t="array" ref="AG591">XLOOKUP(AC591,'Dados Funil'!A:A,'Dados Funil'!AM:AM,"")</f>
        <v/>
      </c>
      <c r="AH591" s="4" t="str">
        <f t="array" ref="AH591">XLOOKUP(AC591,'Dados Funil'!A:A,'Dados Funil'!AN:AN,"")</f>
        <v/>
      </c>
    </row>
    <row r="592">
      <c r="A592" s="4"/>
      <c r="B592" s="4"/>
      <c r="C592" s="7" t="str">
        <f t="shared" si="1"/>
        <v/>
      </c>
      <c r="D592" s="4" t="str">
        <f t="shared" si="9"/>
        <v/>
      </c>
      <c r="E592" s="4" t="str">
        <f t="array" ref="E592">XLOOKUP(A592,'Dados Funil'!$A:$A,'Dados Funil'!$K:$K,"")</f>
        <v/>
      </c>
      <c r="F592" s="4" t="str">
        <f t="array" ref="F592">XLOOKUP(A592,'Dados Funil'!$A:$A,'Dados Funil'!$L:$L,"")</f>
        <v/>
      </c>
      <c r="G592" s="4"/>
      <c r="H592" s="4"/>
      <c r="I592" s="7" t="str">
        <f t="shared" si="2"/>
        <v/>
      </c>
      <c r="J592" s="4" t="str">
        <f t="shared" si="10"/>
        <v/>
      </c>
      <c r="K592" s="4" t="str">
        <f t="array" ref="K592">XLOOKUP(G592,'Dados Funil'!A:A,'Dados Funil'!O:O,"")</f>
        <v/>
      </c>
      <c r="L592" s="4"/>
      <c r="M592" s="4"/>
      <c r="N592" s="7" t="str">
        <f t="shared" si="3"/>
        <v/>
      </c>
      <c r="O592" s="4" t="str">
        <f t="shared" si="11"/>
        <v/>
      </c>
      <c r="P592" s="4" t="str">
        <f t="array" ref="P592">XLOOKUP(L592,'Dados Funil'!A:A,'Dados Funil'!AM:AM,"")</f>
        <v/>
      </c>
      <c r="Q592" s="4" t="str">
        <f t="array" ref="Q592">XLOOKUP(L592,'Dados Funil'!A:A,'Dados Funil'!AN:AN,"")</f>
        <v/>
      </c>
      <c r="T592" s="7" t="str">
        <f t="shared" si="4"/>
        <v/>
      </c>
      <c r="U592" s="4" t="str">
        <f t="shared" si="12"/>
        <v/>
      </c>
      <c r="V592" s="4" t="str">
        <f t="array" ref="V592">XLOOKUP(R592,'Dados Funil'!$A:$A,'Dados Funil'!$K:$K,"")</f>
        <v/>
      </c>
      <c r="W592" s="4" t="str">
        <f t="array" ref="W592">XLOOKUP(R592,'Dados Funil'!$A:$A,'Dados Funil'!$L:$L,"")</f>
        <v/>
      </c>
      <c r="X592" s="4"/>
      <c r="Y592" s="4"/>
      <c r="Z592" s="7" t="str">
        <f t="shared" si="5"/>
        <v/>
      </c>
      <c r="AA592" s="4" t="str">
        <f t="shared" si="13"/>
        <v/>
      </c>
      <c r="AB592" s="4" t="str">
        <f t="array" ref="AB592">XLOOKUP(X592,'Dados Funil'!A:A,'Dados Funil'!O:O,"")</f>
        <v/>
      </c>
      <c r="AE592" s="7" t="str">
        <f t="shared" si="6"/>
        <v/>
      </c>
      <c r="AG592" s="4" t="str">
        <f t="array" ref="AG592">XLOOKUP(AC592,'Dados Funil'!A:A,'Dados Funil'!AM:AM,"")</f>
        <v/>
      </c>
      <c r="AH592" s="4" t="str">
        <f t="array" ref="AH592">XLOOKUP(AC592,'Dados Funil'!A:A,'Dados Funil'!AN:AN,"")</f>
        <v/>
      </c>
    </row>
    <row r="593">
      <c r="A593" s="4"/>
      <c r="B593" s="4"/>
      <c r="C593" s="7" t="str">
        <f t="shared" si="1"/>
        <v/>
      </c>
      <c r="D593" s="4" t="str">
        <f t="shared" si="9"/>
        <v/>
      </c>
      <c r="E593" s="4" t="str">
        <f t="array" ref="E593">XLOOKUP(A593,'Dados Funil'!$A:$A,'Dados Funil'!$K:$K,"")</f>
        <v/>
      </c>
      <c r="F593" s="4" t="str">
        <f t="array" ref="F593">XLOOKUP(A593,'Dados Funil'!$A:$A,'Dados Funil'!$L:$L,"")</f>
        <v/>
      </c>
      <c r="G593" s="4"/>
      <c r="H593" s="4"/>
      <c r="I593" s="7" t="str">
        <f t="shared" si="2"/>
        <v/>
      </c>
      <c r="J593" s="4" t="str">
        <f t="shared" si="10"/>
        <v/>
      </c>
      <c r="K593" s="4" t="str">
        <f t="array" ref="K593">XLOOKUP(G593,'Dados Funil'!A:A,'Dados Funil'!O:O,"")</f>
        <v/>
      </c>
      <c r="L593" s="4"/>
      <c r="M593" s="4"/>
      <c r="N593" s="7" t="str">
        <f t="shared" si="3"/>
        <v/>
      </c>
      <c r="O593" s="4" t="str">
        <f t="shared" si="11"/>
        <v/>
      </c>
      <c r="P593" s="4" t="str">
        <f t="array" ref="P593">XLOOKUP(L593,'Dados Funil'!A:A,'Dados Funil'!AM:AM,"")</f>
        <v/>
      </c>
      <c r="Q593" s="4" t="str">
        <f t="array" ref="Q593">XLOOKUP(L593,'Dados Funil'!A:A,'Dados Funil'!AN:AN,"")</f>
        <v/>
      </c>
      <c r="T593" s="7" t="str">
        <f t="shared" si="4"/>
        <v/>
      </c>
      <c r="U593" s="4" t="str">
        <f t="shared" si="12"/>
        <v/>
      </c>
      <c r="V593" s="4" t="str">
        <f t="array" ref="V593">XLOOKUP(R593,'Dados Funil'!$A:$A,'Dados Funil'!$K:$K,"")</f>
        <v/>
      </c>
      <c r="W593" s="4" t="str">
        <f t="array" ref="W593">XLOOKUP(R593,'Dados Funil'!$A:$A,'Dados Funil'!$L:$L,"")</f>
        <v/>
      </c>
      <c r="X593" s="4"/>
      <c r="Y593" s="4"/>
      <c r="Z593" s="7" t="str">
        <f t="shared" si="5"/>
        <v/>
      </c>
      <c r="AA593" s="4" t="str">
        <f t="shared" si="13"/>
        <v/>
      </c>
      <c r="AB593" s="4" t="str">
        <f t="array" ref="AB593">XLOOKUP(X593,'Dados Funil'!A:A,'Dados Funil'!O:O,"")</f>
        <v/>
      </c>
      <c r="AE593" s="7" t="str">
        <f t="shared" si="6"/>
        <v/>
      </c>
      <c r="AG593" s="4" t="str">
        <f t="array" ref="AG593">XLOOKUP(AC593,'Dados Funil'!A:A,'Dados Funil'!AM:AM,"")</f>
        <v/>
      </c>
      <c r="AH593" s="4" t="str">
        <f t="array" ref="AH593">XLOOKUP(AC593,'Dados Funil'!A:A,'Dados Funil'!AN:AN,"")</f>
        <v/>
      </c>
    </row>
    <row r="594">
      <c r="A594" s="4"/>
      <c r="B594" s="4"/>
      <c r="C594" s="7" t="str">
        <f t="shared" si="1"/>
        <v/>
      </c>
      <c r="D594" s="4" t="str">
        <f t="shared" si="9"/>
        <v/>
      </c>
      <c r="E594" s="4" t="str">
        <f t="array" ref="E594">XLOOKUP(A594,'Dados Funil'!$A:$A,'Dados Funil'!$K:$K,"")</f>
        <v/>
      </c>
      <c r="F594" s="4" t="str">
        <f t="array" ref="F594">XLOOKUP(A594,'Dados Funil'!$A:$A,'Dados Funil'!$L:$L,"")</f>
        <v/>
      </c>
      <c r="G594" s="4"/>
      <c r="H594" s="4"/>
      <c r="I594" s="7" t="str">
        <f t="shared" si="2"/>
        <v/>
      </c>
      <c r="J594" s="4" t="str">
        <f t="shared" si="10"/>
        <v/>
      </c>
      <c r="K594" s="4" t="str">
        <f t="array" ref="K594">XLOOKUP(G594,'Dados Funil'!A:A,'Dados Funil'!O:O,"")</f>
        <v/>
      </c>
      <c r="L594" s="4"/>
      <c r="M594" s="4"/>
      <c r="N594" s="7" t="str">
        <f t="shared" si="3"/>
        <v/>
      </c>
      <c r="O594" s="4" t="str">
        <f t="shared" si="11"/>
        <v/>
      </c>
      <c r="P594" s="4" t="str">
        <f t="array" ref="P594">XLOOKUP(L594,'Dados Funil'!A:A,'Dados Funil'!AM:AM,"")</f>
        <v/>
      </c>
      <c r="Q594" s="4" t="str">
        <f t="array" ref="Q594">XLOOKUP(L594,'Dados Funil'!A:A,'Dados Funil'!AN:AN,"")</f>
        <v/>
      </c>
      <c r="T594" s="7" t="str">
        <f t="shared" si="4"/>
        <v/>
      </c>
      <c r="U594" s="4" t="str">
        <f t="shared" si="12"/>
        <v/>
      </c>
      <c r="V594" s="4" t="str">
        <f t="array" ref="V594">XLOOKUP(R594,'Dados Funil'!$A:$A,'Dados Funil'!$K:$K,"")</f>
        <v/>
      </c>
      <c r="W594" s="4" t="str">
        <f t="array" ref="W594">XLOOKUP(R594,'Dados Funil'!$A:$A,'Dados Funil'!$L:$L,"")</f>
        <v/>
      </c>
      <c r="X594" s="4"/>
      <c r="Y594" s="4"/>
      <c r="Z594" s="7" t="str">
        <f t="shared" si="5"/>
        <v/>
      </c>
      <c r="AA594" s="4" t="str">
        <f t="shared" si="13"/>
        <v/>
      </c>
      <c r="AB594" s="4" t="str">
        <f t="array" ref="AB594">XLOOKUP(X594,'Dados Funil'!A:A,'Dados Funil'!O:O,"")</f>
        <v/>
      </c>
      <c r="AE594" s="7" t="str">
        <f t="shared" si="6"/>
        <v/>
      </c>
      <c r="AG594" s="4" t="str">
        <f t="array" ref="AG594">XLOOKUP(AC594,'Dados Funil'!A:A,'Dados Funil'!AM:AM,"")</f>
        <v/>
      </c>
      <c r="AH594" s="4" t="str">
        <f t="array" ref="AH594">XLOOKUP(AC594,'Dados Funil'!A:A,'Dados Funil'!AN:AN,"")</f>
        <v/>
      </c>
    </row>
    <row r="595">
      <c r="A595" s="4"/>
      <c r="B595" s="4"/>
      <c r="C595" s="7" t="str">
        <f t="shared" si="1"/>
        <v/>
      </c>
      <c r="D595" s="4" t="str">
        <f t="shared" si="9"/>
        <v/>
      </c>
      <c r="E595" s="4" t="str">
        <f t="array" ref="E595">XLOOKUP(A595,'Dados Funil'!$A:$A,'Dados Funil'!$K:$K,"")</f>
        <v/>
      </c>
      <c r="F595" s="4" t="str">
        <f t="array" ref="F595">XLOOKUP(A595,'Dados Funil'!$A:$A,'Dados Funil'!$L:$L,"")</f>
        <v/>
      </c>
      <c r="G595" s="4"/>
      <c r="H595" s="4"/>
      <c r="I595" s="7" t="str">
        <f t="shared" si="2"/>
        <v/>
      </c>
      <c r="J595" s="4" t="str">
        <f t="shared" si="10"/>
        <v/>
      </c>
      <c r="K595" s="4" t="str">
        <f t="array" ref="K595">XLOOKUP(G595,'Dados Funil'!A:A,'Dados Funil'!O:O,"")</f>
        <v/>
      </c>
      <c r="L595" s="4"/>
      <c r="M595" s="4"/>
      <c r="N595" s="7" t="str">
        <f t="shared" si="3"/>
        <v/>
      </c>
      <c r="O595" s="4" t="str">
        <f t="shared" si="11"/>
        <v/>
      </c>
      <c r="P595" s="4" t="str">
        <f t="array" ref="P595">XLOOKUP(L595,'Dados Funil'!A:A,'Dados Funil'!AM:AM,"")</f>
        <v/>
      </c>
      <c r="Q595" s="4" t="str">
        <f t="array" ref="Q595">XLOOKUP(L595,'Dados Funil'!A:A,'Dados Funil'!AN:AN,"")</f>
        <v/>
      </c>
      <c r="T595" s="7" t="str">
        <f t="shared" si="4"/>
        <v/>
      </c>
      <c r="U595" s="4" t="str">
        <f t="shared" si="12"/>
        <v/>
      </c>
      <c r="V595" s="4" t="str">
        <f t="array" ref="V595">XLOOKUP(R595,'Dados Funil'!$A:$A,'Dados Funil'!$K:$K,"")</f>
        <v/>
      </c>
      <c r="W595" s="4" t="str">
        <f t="array" ref="W595">XLOOKUP(R595,'Dados Funil'!$A:$A,'Dados Funil'!$L:$L,"")</f>
        <v/>
      </c>
      <c r="X595" s="4"/>
      <c r="Y595" s="4"/>
      <c r="Z595" s="7" t="str">
        <f t="shared" si="5"/>
        <v/>
      </c>
      <c r="AA595" s="4" t="str">
        <f t="shared" si="13"/>
        <v/>
      </c>
      <c r="AB595" s="4" t="str">
        <f t="array" ref="AB595">XLOOKUP(X595,'Dados Funil'!A:A,'Dados Funil'!O:O,"")</f>
        <v/>
      </c>
      <c r="AE595" s="7" t="str">
        <f t="shared" si="6"/>
        <v/>
      </c>
      <c r="AG595" s="4" t="str">
        <f t="array" ref="AG595">XLOOKUP(AC595,'Dados Funil'!A:A,'Dados Funil'!AM:AM,"")</f>
        <v/>
      </c>
      <c r="AH595" s="4" t="str">
        <f t="array" ref="AH595">XLOOKUP(AC595,'Dados Funil'!A:A,'Dados Funil'!AN:AN,"")</f>
        <v/>
      </c>
    </row>
    <row r="596">
      <c r="A596" s="4"/>
      <c r="B596" s="4"/>
      <c r="C596" s="7" t="str">
        <f t="shared" si="1"/>
        <v/>
      </c>
      <c r="D596" s="4" t="str">
        <f t="shared" si="9"/>
        <v/>
      </c>
      <c r="E596" s="4" t="str">
        <f t="array" ref="E596">XLOOKUP(A596,'Dados Funil'!$A:$A,'Dados Funil'!$K:$K,"")</f>
        <v/>
      </c>
      <c r="F596" s="4" t="str">
        <f t="array" ref="F596">XLOOKUP(A596,'Dados Funil'!$A:$A,'Dados Funil'!$L:$L,"")</f>
        <v/>
      </c>
      <c r="G596" s="4"/>
      <c r="H596" s="4"/>
      <c r="I596" s="7" t="str">
        <f t="shared" si="2"/>
        <v/>
      </c>
      <c r="J596" s="4" t="str">
        <f t="shared" si="10"/>
        <v/>
      </c>
      <c r="K596" s="4" t="str">
        <f t="array" ref="K596">XLOOKUP(G596,'Dados Funil'!A:A,'Dados Funil'!O:O,"")</f>
        <v/>
      </c>
      <c r="L596" s="4"/>
      <c r="M596" s="4"/>
      <c r="N596" s="7" t="str">
        <f t="shared" si="3"/>
        <v/>
      </c>
      <c r="O596" s="4" t="str">
        <f t="shared" si="11"/>
        <v/>
      </c>
      <c r="P596" s="4" t="str">
        <f t="array" ref="P596">XLOOKUP(L596,'Dados Funil'!A:A,'Dados Funil'!AM:AM,"")</f>
        <v/>
      </c>
      <c r="Q596" s="4" t="str">
        <f t="array" ref="Q596">XLOOKUP(L596,'Dados Funil'!A:A,'Dados Funil'!AN:AN,"")</f>
        <v/>
      </c>
      <c r="T596" s="7" t="str">
        <f t="shared" si="4"/>
        <v/>
      </c>
      <c r="U596" s="4" t="str">
        <f t="shared" si="12"/>
        <v/>
      </c>
      <c r="V596" s="4" t="str">
        <f t="array" ref="V596">XLOOKUP(R596,'Dados Funil'!$A:$A,'Dados Funil'!$K:$K,"")</f>
        <v/>
      </c>
      <c r="W596" s="4" t="str">
        <f t="array" ref="W596">XLOOKUP(R596,'Dados Funil'!$A:$A,'Dados Funil'!$L:$L,"")</f>
        <v/>
      </c>
      <c r="X596" s="4"/>
      <c r="Y596" s="4"/>
      <c r="Z596" s="7" t="str">
        <f t="shared" si="5"/>
        <v/>
      </c>
      <c r="AA596" s="4" t="str">
        <f t="shared" si="13"/>
        <v/>
      </c>
      <c r="AB596" s="4" t="str">
        <f t="array" ref="AB596">XLOOKUP(X596,'Dados Funil'!A:A,'Dados Funil'!O:O,"")</f>
        <v/>
      </c>
      <c r="AE596" s="7" t="str">
        <f t="shared" si="6"/>
        <v/>
      </c>
      <c r="AG596" s="4" t="str">
        <f t="array" ref="AG596">XLOOKUP(AC596,'Dados Funil'!A:A,'Dados Funil'!AM:AM,"")</f>
        <v/>
      </c>
      <c r="AH596" s="4" t="str">
        <f t="array" ref="AH596">XLOOKUP(AC596,'Dados Funil'!A:A,'Dados Funil'!AN:AN,"")</f>
        <v/>
      </c>
    </row>
    <row r="597">
      <c r="A597" s="4"/>
      <c r="B597" s="4"/>
      <c r="C597" s="7" t="str">
        <f t="shared" si="1"/>
        <v/>
      </c>
      <c r="D597" s="4" t="str">
        <f t="shared" si="9"/>
        <v/>
      </c>
      <c r="E597" s="4" t="str">
        <f t="array" ref="E597">XLOOKUP(A597,'Dados Funil'!$A:$A,'Dados Funil'!$K:$K,"")</f>
        <v/>
      </c>
      <c r="F597" s="4" t="str">
        <f t="array" ref="F597">XLOOKUP(A597,'Dados Funil'!$A:$A,'Dados Funil'!$L:$L,"")</f>
        <v/>
      </c>
      <c r="G597" s="4"/>
      <c r="H597" s="4"/>
      <c r="I597" s="7" t="str">
        <f t="shared" si="2"/>
        <v/>
      </c>
      <c r="J597" s="4" t="str">
        <f t="shared" si="10"/>
        <v/>
      </c>
      <c r="K597" s="4" t="str">
        <f t="array" ref="K597">XLOOKUP(G597,'Dados Funil'!A:A,'Dados Funil'!O:O,"")</f>
        <v/>
      </c>
      <c r="L597" s="4"/>
      <c r="M597" s="4"/>
      <c r="N597" s="7" t="str">
        <f t="shared" si="3"/>
        <v/>
      </c>
      <c r="O597" s="4" t="str">
        <f t="shared" si="11"/>
        <v/>
      </c>
      <c r="P597" s="4" t="str">
        <f t="array" ref="P597">XLOOKUP(L597,'Dados Funil'!A:A,'Dados Funil'!AM:AM,"")</f>
        <v/>
      </c>
      <c r="Q597" s="4" t="str">
        <f t="array" ref="Q597">XLOOKUP(L597,'Dados Funil'!A:A,'Dados Funil'!AN:AN,"")</f>
        <v/>
      </c>
      <c r="T597" s="7" t="str">
        <f t="shared" si="4"/>
        <v/>
      </c>
      <c r="U597" s="4" t="str">
        <f t="shared" si="12"/>
        <v/>
      </c>
      <c r="V597" s="4" t="str">
        <f t="array" ref="V597">XLOOKUP(R597,'Dados Funil'!$A:$A,'Dados Funil'!$K:$K,"")</f>
        <v/>
      </c>
      <c r="W597" s="4" t="str">
        <f t="array" ref="W597">XLOOKUP(R597,'Dados Funil'!$A:$A,'Dados Funil'!$L:$L,"")</f>
        <v/>
      </c>
      <c r="X597" s="4"/>
      <c r="Y597" s="4"/>
      <c r="Z597" s="7" t="str">
        <f t="shared" si="5"/>
        <v/>
      </c>
      <c r="AA597" s="4" t="str">
        <f t="shared" si="13"/>
        <v/>
      </c>
      <c r="AB597" s="4" t="str">
        <f t="array" ref="AB597">XLOOKUP(X597,'Dados Funil'!A:A,'Dados Funil'!O:O,"")</f>
        <v/>
      </c>
      <c r="AE597" s="7" t="str">
        <f t="shared" si="6"/>
        <v/>
      </c>
      <c r="AG597" s="4" t="str">
        <f t="array" ref="AG597">XLOOKUP(AC597,'Dados Funil'!A:A,'Dados Funil'!AM:AM,"")</f>
        <v/>
      </c>
      <c r="AH597" s="4" t="str">
        <f t="array" ref="AH597">XLOOKUP(AC597,'Dados Funil'!A:A,'Dados Funil'!AN:AN,"")</f>
        <v/>
      </c>
    </row>
    <row r="598">
      <c r="A598" s="4"/>
      <c r="B598" s="4"/>
      <c r="C598" s="7" t="str">
        <f t="shared" si="1"/>
        <v/>
      </c>
      <c r="D598" s="4" t="str">
        <f t="shared" si="9"/>
        <v/>
      </c>
      <c r="E598" s="4" t="str">
        <f t="array" ref="E598">XLOOKUP(A598,'Dados Funil'!$A:$A,'Dados Funil'!$K:$K,"")</f>
        <v/>
      </c>
      <c r="F598" s="4" t="str">
        <f t="array" ref="F598">XLOOKUP(A598,'Dados Funil'!$A:$A,'Dados Funil'!$L:$L,"")</f>
        <v/>
      </c>
      <c r="G598" s="4"/>
      <c r="H598" s="4"/>
      <c r="I598" s="7" t="str">
        <f t="shared" si="2"/>
        <v/>
      </c>
      <c r="J598" s="4" t="str">
        <f t="shared" si="10"/>
        <v/>
      </c>
      <c r="K598" s="4" t="str">
        <f t="array" ref="K598">XLOOKUP(G598,'Dados Funil'!A:A,'Dados Funil'!O:O,"")</f>
        <v/>
      </c>
      <c r="L598" s="4"/>
      <c r="M598" s="4"/>
      <c r="N598" s="7" t="str">
        <f t="shared" si="3"/>
        <v/>
      </c>
      <c r="O598" s="4" t="str">
        <f t="shared" si="11"/>
        <v/>
      </c>
      <c r="P598" s="4" t="str">
        <f t="array" ref="P598">XLOOKUP(L598,'Dados Funil'!A:A,'Dados Funil'!AM:AM,"")</f>
        <v/>
      </c>
      <c r="Q598" s="4" t="str">
        <f t="array" ref="Q598">XLOOKUP(L598,'Dados Funil'!A:A,'Dados Funil'!AN:AN,"")</f>
        <v/>
      </c>
      <c r="T598" s="7" t="str">
        <f t="shared" si="4"/>
        <v/>
      </c>
      <c r="U598" s="4" t="str">
        <f t="shared" si="12"/>
        <v/>
      </c>
      <c r="V598" s="4" t="str">
        <f t="array" ref="V598">XLOOKUP(R598,'Dados Funil'!$A:$A,'Dados Funil'!$K:$K,"")</f>
        <v/>
      </c>
      <c r="W598" s="4" t="str">
        <f t="array" ref="W598">XLOOKUP(R598,'Dados Funil'!$A:$A,'Dados Funil'!$L:$L,"")</f>
        <v/>
      </c>
      <c r="X598" s="4"/>
      <c r="Y598" s="4"/>
      <c r="Z598" s="7" t="str">
        <f t="shared" si="5"/>
        <v/>
      </c>
      <c r="AA598" s="4" t="str">
        <f t="shared" si="13"/>
        <v/>
      </c>
      <c r="AB598" s="4" t="str">
        <f t="array" ref="AB598">XLOOKUP(X598,'Dados Funil'!A:A,'Dados Funil'!O:O,"")</f>
        <v/>
      </c>
      <c r="AE598" s="7" t="str">
        <f t="shared" si="6"/>
        <v/>
      </c>
      <c r="AG598" s="4" t="str">
        <f t="array" ref="AG598">XLOOKUP(AC598,'Dados Funil'!A:A,'Dados Funil'!AM:AM,"")</f>
        <v/>
      </c>
      <c r="AH598" s="4" t="str">
        <f t="array" ref="AH598">XLOOKUP(AC598,'Dados Funil'!A:A,'Dados Funil'!AN:AN,"")</f>
        <v/>
      </c>
    </row>
    <row r="599">
      <c r="A599" s="4"/>
      <c r="B599" s="4"/>
      <c r="C599" s="7" t="str">
        <f t="shared" si="1"/>
        <v/>
      </c>
      <c r="D599" s="4" t="str">
        <f t="shared" si="9"/>
        <v/>
      </c>
      <c r="E599" s="4" t="str">
        <f t="array" ref="E599">XLOOKUP(A599,'Dados Funil'!$A:$A,'Dados Funil'!$K:$K,"")</f>
        <v/>
      </c>
      <c r="F599" s="4" t="str">
        <f t="array" ref="F599">XLOOKUP(A599,'Dados Funil'!$A:$A,'Dados Funil'!$L:$L,"")</f>
        <v/>
      </c>
      <c r="G599" s="4"/>
      <c r="H599" s="4"/>
      <c r="I599" s="7" t="str">
        <f t="shared" si="2"/>
        <v/>
      </c>
      <c r="J599" s="4" t="str">
        <f t="shared" si="10"/>
        <v/>
      </c>
      <c r="K599" s="4" t="str">
        <f t="array" ref="K599">XLOOKUP(G599,'Dados Funil'!A:A,'Dados Funil'!O:O,"")</f>
        <v/>
      </c>
      <c r="L599" s="4"/>
      <c r="M599" s="4"/>
      <c r="N599" s="7" t="str">
        <f t="shared" si="3"/>
        <v/>
      </c>
      <c r="O599" s="4" t="str">
        <f t="shared" si="11"/>
        <v/>
      </c>
      <c r="P599" s="4" t="str">
        <f t="array" ref="P599">XLOOKUP(L599,'Dados Funil'!A:A,'Dados Funil'!AM:AM,"")</f>
        <v/>
      </c>
      <c r="Q599" s="4" t="str">
        <f t="array" ref="Q599">XLOOKUP(L599,'Dados Funil'!A:A,'Dados Funil'!AN:AN,"")</f>
        <v/>
      </c>
      <c r="T599" s="7" t="str">
        <f t="shared" si="4"/>
        <v/>
      </c>
      <c r="U599" s="4" t="str">
        <f t="shared" si="12"/>
        <v/>
      </c>
      <c r="V599" s="4" t="str">
        <f t="array" ref="V599">XLOOKUP(R599,'Dados Funil'!$A:$A,'Dados Funil'!$K:$K,"")</f>
        <v/>
      </c>
      <c r="W599" s="4" t="str">
        <f t="array" ref="W599">XLOOKUP(R599,'Dados Funil'!$A:$A,'Dados Funil'!$L:$L,"")</f>
        <v/>
      </c>
      <c r="X599" s="4"/>
      <c r="Y599" s="4"/>
      <c r="Z599" s="7" t="str">
        <f t="shared" si="5"/>
        <v/>
      </c>
      <c r="AA599" s="4" t="str">
        <f t="shared" si="13"/>
        <v/>
      </c>
      <c r="AB599" s="4" t="str">
        <f t="array" ref="AB599">XLOOKUP(X599,'Dados Funil'!A:A,'Dados Funil'!O:O,"")</f>
        <v/>
      </c>
      <c r="AE599" s="7" t="str">
        <f t="shared" si="6"/>
        <v/>
      </c>
      <c r="AG599" s="4" t="str">
        <f t="array" ref="AG599">XLOOKUP(AC599,'Dados Funil'!A:A,'Dados Funil'!AM:AM,"")</f>
        <v/>
      </c>
      <c r="AH599" s="4" t="str">
        <f t="array" ref="AH599">XLOOKUP(AC599,'Dados Funil'!A:A,'Dados Funil'!AN:AN,"")</f>
        <v/>
      </c>
    </row>
    <row r="600">
      <c r="A600" s="4"/>
      <c r="B600" s="4"/>
      <c r="C600" s="7" t="str">
        <f t="shared" si="1"/>
        <v/>
      </c>
      <c r="D600" s="4" t="str">
        <f t="shared" si="9"/>
        <v/>
      </c>
      <c r="E600" s="4" t="str">
        <f t="array" ref="E600">XLOOKUP(A600,'Dados Funil'!$A:$A,'Dados Funil'!$K:$K,"")</f>
        <v/>
      </c>
      <c r="F600" s="4" t="str">
        <f t="array" ref="F600">XLOOKUP(A600,'Dados Funil'!$A:$A,'Dados Funil'!$L:$L,"")</f>
        <v/>
      </c>
      <c r="G600" s="4"/>
      <c r="H600" s="4"/>
      <c r="I600" s="7" t="str">
        <f t="shared" si="2"/>
        <v/>
      </c>
      <c r="J600" s="4" t="str">
        <f t="shared" si="10"/>
        <v/>
      </c>
      <c r="K600" s="4" t="str">
        <f t="array" ref="K600">XLOOKUP(G600,'Dados Funil'!A:A,'Dados Funil'!O:O,"")</f>
        <v/>
      </c>
      <c r="L600" s="4"/>
      <c r="M600" s="4"/>
      <c r="N600" s="7" t="str">
        <f t="shared" si="3"/>
        <v/>
      </c>
      <c r="O600" s="4" t="str">
        <f t="shared" si="11"/>
        <v/>
      </c>
      <c r="P600" s="4" t="str">
        <f t="array" ref="P600">XLOOKUP(L600,'Dados Funil'!A:A,'Dados Funil'!AM:AM,"")</f>
        <v/>
      </c>
      <c r="Q600" s="4" t="str">
        <f t="array" ref="Q600">XLOOKUP(L600,'Dados Funil'!A:A,'Dados Funil'!AN:AN,"")</f>
        <v/>
      </c>
      <c r="T600" s="7" t="str">
        <f t="shared" si="4"/>
        <v/>
      </c>
      <c r="U600" s="4" t="str">
        <f t="shared" si="12"/>
        <v/>
      </c>
      <c r="V600" s="4" t="str">
        <f t="array" ref="V600">XLOOKUP(R600,'Dados Funil'!$A:$A,'Dados Funil'!$K:$K,"")</f>
        <v/>
      </c>
      <c r="W600" s="4" t="str">
        <f t="array" ref="W600">XLOOKUP(R600,'Dados Funil'!$A:$A,'Dados Funil'!$L:$L,"")</f>
        <v/>
      </c>
      <c r="X600" s="4"/>
      <c r="Y600" s="4"/>
      <c r="Z600" s="7" t="str">
        <f t="shared" si="5"/>
        <v/>
      </c>
      <c r="AA600" s="4" t="str">
        <f t="shared" si="13"/>
        <v/>
      </c>
      <c r="AB600" s="4" t="str">
        <f t="array" ref="AB600">XLOOKUP(X600,'Dados Funil'!A:A,'Dados Funil'!O:O,"")</f>
        <v/>
      </c>
      <c r="AE600" s="7" t="str">
        <f t="shared" si="6"/>
        <v/>
      </c>
      <c r="AG600" s="4" t="str">
        <f t="array" ref="AG600">XLOOKUP(AC600,'Dados Funil'!A:A,'Dados Funil'!AM:AM,"")</f>
        <v/>
      </c>
      <c r="AH600" s="4" t="str">
        <f t="array" ref="AH600">XLOOKUP(AC600,'Dados Funil'!A:A,'Dados Funil'!AN:AN,"")</f>
        <v/>
      </c>
    </row>
    <row r="601">
      <c r="A601" s="4"/>
      <c r="B601" s="4"/>
      <c r="C601" s="7" t="str">
        <f t="shared" si="1"/>
        <v/>
      </c>
      <c r="D601" s="4" t="str">
        <f t="shared" si="9"/>
        <v/>
      </c>
      <c r="E601" s="4" t="str">
        <f t="array" ref="E601">XLOOKUP(A601,'Dados Funil'!$A:$A,'Dados Funil'!$K:$K,"")</f>
        <v/>
      </c>
      <c r="F601" s="4" t="str">
        <f t="array" ref="F601">XLOOKUP(A601,'Dados Funil'!$A:$A,'Dados Funil'!$L:$L,"")</f>
        <v/>
      </c>
      <c r="G601" s="4"/>
      <c r="H601" s="4"/>
      <c r="I601" s="7" t="str">
        <f t="shared" si="2"/>
        <v/>
      </c>
      <c r="J601" s="4" t="str">
        <f t="shared" si="10"/>
        <v/>
      </c>
      <c r="K601" s="4" t="str">
        <f t="array" ref="K601">XLOOKUP(G601,'Dados Funil'!A:A,'Dados Funil'!O:O,"")</f>
        <v/>
      </c>
      <c r="L601" s="4"/>
      <c r="M601" s="4"/>
      <c r="N601" s="7" t="str">
        <f t="shared" si="3"/>
        <v/>
      </c>
      <c r="O601" s="4" t="str">
        <f t="shared" si="11"/>
        <v/>
      </c>
      <c r="P601" s="4" t="str">
        <f t="array" ref="P601">XLOOKUP(L601,'Dados Funil'!A:A,'Dados Funil'!AM:AM,"")</f>
        <v/>
      </c>
      <c r="Q601" s="4" t="str">
        <f t="array" ref="Q601">XLOOKUP(L601,'Dados Funil'!A:A,'Dados Funil'!AN:AN,"")</f>
        <v/>
      </c>
      <c r="T601" s="7" t="str">
        <f t="shared" si="4"/>
        <v/>
      </c>
      <c r="U601" s="4" t="str">
        <f t="shared" si="12"/>
        <v/>
      </c>
      <c r="V601" s="4" t="str">
        <f t="array" ref="V601">XLOOKUP(R601,'Dados Funil'!$A:$A,'Dados Funil'!$K:$K,"")</f>
        <v/>
      </c>
      <c r="W601" s="4" t="str">
        <f t="array" ref="W601">XLOOKUP(R601,'Dados Funil'!$A:$A,'Dados Funil'!$L:$L,"")</f>
        <v/>
      </c>
      <c r="X601" s="4"/>
      <c r="Y601" s="4"/>
      <c r="Z601" s="7" t="str">
        <f t="shared" si="5"/>
        <v/>
      </c>
      <c r="AA601" s="4" t="str">
        <f t="shared" si="13"/>
        <v/>
      </c>
      <c r="AB601" s="4" t="str">
        <f t="array" ref="AB601">XLOOKUP(X601,'Dados Funil'!A:A,'Dados Funil'!O:O,"")</f>
        <v/>
      </c>
      <c r="AE601" s="7" t="str">
        <f t="shared" si="6"/>
        <v/>
      </c>
      <c r="AG601" s="4" t="str">
        <f t="array" ref="AG601">XLOOKUP(AC601,'Dados Funil'!A:A,'Dados Funil'!AM:AM,"")</f>
        <v/>
      </c>
      <c r="AH601" s="4" t="str">
        <f t="array" ref="AH601">XLOOKUP(AC601,'Dados Funil'!A:A,'Dados Funil'!AN:AN,"")</f>
        <v/>
      </c>
    </row>
    <row r="602">
      <c r="A602" s="4"/>
      <c r="B602" s="4"/>
      <c r="C602" s="7" t="str">
        <f t="shared" si="1"/>
        <v/>
      </c>
      <c r="D602" s="4" t="str">
        <f t="shared" si="9"/>
        <v/>
      </c>
      <c r="E602" s="4" t="str">
        <f t="array" ref="E602">XLOOKUP(A602,'Dados Funil'!$A:$A,'Dados Funil'!$K:$K,"")</f>
        <v/>
      </c>
      <c r="F602" s="4" t="str">
        <f t="array" ref="F602">XLOOKUP(A602,'Dados Funil'!$A:$A,'Dados Funil'!$L:$L,"")</f>
        <v/>
      </c>
      <c r="G602" s="4"/>
      <c r="H602" s="4"/>
      <c r="I602" s="7" t="str">
        <f t="shared" si="2"/>
        <v/>
      </c>
      <c r="J602" s="4" t="str">
        <f t="shared" si="10"/>
        <v/>
      </c>
      <c r="K602" s="4" t="str">
        <f t="array" ref="K602">XLOOKUP(G602,'Dados Funil'!A:A,'Dados Funil'!O:O,"")</f>
        <v/>
      </c>
      <c r="L602" s="4"/>
      <c r="M602" s="4"/>
      <c r="N602" s="7" t="str">
        <f t="shared" si="3"/>
        <v/>
      </c>
      <c r="O602" s="4" t="str">
        <f t="shared" si="11"/>
        <v/>
      </c>
      <c r="P602" s="4" t="str">
        <f t="array" ref="P602">XLOOKUP(L602,'Dados Funil'!A:A,'Dados Funil'!AM:AM,"")</f>
        <v/>
      </c>
      <c r="Q602" s="4" t="str">
        <f t="array" ref="Q602">XLOOKUP(L602,'Dados Funil'!A:A,'Dados Funil'!AN:AN,"")</f>
        <v/>
      </c>
      <c r="T602" s="7" t="str">
        <f t="shared" si="4"/>
        <v/>
      </c>
      <c r="U602" s="4" t="str">
        <f t="shared" si="12"/>
        <v/>
      </c>
      <c r="V602" s="4" t="str">
        <f t="array" ref="V602">XLOOKUP(R602,'Dados Funil'!$A:$A,'Dados Funil'!$K:$K,"")</f>
        <v/>
      </c>
      <c r="W602" s="4" t="str">
        <f t="array" ref="W602">XLOOKUP(R602,'Dados Funil'!$A:$A,'Dados Funil'!$L:$L,"")</f>
        <v/>
      </c>
      <c r="X602" s="4"/>
      <c r="Y602" s="4"/>
      <c r="Z602" s="7" t="str">
        <f t="shared" si="5"/>
        <v/>
      </c>
      <c r="AA602" s="4" t="str">
        <f t="shared" si="13"/>
        <v/>
      </c>
      <c r="AB602" s="4" t="str">
        <f t="array" ref="AB602">XLOOKUP(X602,'Dados Funil'!A:A,'Dados Funil'!O:O,"")</f>
        <v/>
      </c>
      <c r="AE602" s="7" t="str">
        <f t="shared" si="6"/>
        <v/>
      </c>
      <c r="AG602" s="4" t="str">
        <f t="array" ref="AG602">XLOOKUP(AC602,'Dados Funil'!A:A,'Dados Funil'!AM:AM,"")</f>
        <v/>
      </c>
      <c r="AH602" s="4" t="str">
        <f t="array" ref="AH602">XLOOKUP(AC602,'Dados Funil'!A:A,'Dados Funil'!AN:AN,"")</f>
        <v/>
      </c>
    </row>
    <row r="603">
      <c r="A603" s="4"/>
      <c r="B603" s="4"/>
      <c r="C603" s="7" t="str">
        <f t="shared" si="1"/>
        <v/>
      </c>
      <c r="D603" s="4" t="str">
        <f t="shared" si="9"/>
        <v/>
      </c>
      <c r="E603" s="4" t="str">
        <f t="array" ref="E603">XLOOKUP(A603,'Dados Funil'!$A:$A,'Dados Funil'!$K:$K,"")</f>
        <v/>
      </c>
      <c r="F603" s="4" t="str">
        <f t="array" ref="F603">XLOOKUP(A603,'Dados Funil'!$A:$A,'Dados Funil'!$L:$L,"")</f>
        <v/>
      </c>
      <c r="G603" s="4"/>
      <c r="H603" s="4"/>
      <c r="I603" s="7" t="str">
        <f t="shared" si="2"/>
        <v/>
      </c>
      <c r="J603" s="4" t="str">
        <f t="shared" si="10"/>
        <v/>
      </c>
      <c r="K603" s="4" t="str">
        <f t="array" ref="K603">XLOOKUP(G603,'Dados Funil'!A:A,'Dados Funil'!O:O,"")</f>
        <v/>
      </c>
      <c r="L603" s="4"/>
      <c r="M603" s="4"/>
      <c r="N603" s="7" t="str">
        <f t="shared" si="3"/>
        <v/>
      </c>
      <c r="O603" s="4" t="str">
        <f t="shared" si="11"/>
        <v/>
      </c>
      <c r="P603" s="4" t="str">
        <f t="array" ref="P603">XLOOKUP(L603,'Dados Funil'!A:A,'Dados Funil'!AM:AM,"")</f>
        <v/>
      </c>
      <c r="Q603" s="4" t="str">
        <f t="array" ref="Q603">XLOOKUP(L603,'Dados Funil'!A:A,'Dados Funil'!AN:AN,"")</f>
        <v/>
      </c>
      <c r="T603" s="7" t="str">
        <f t="shared" si="4"/>
        <v/>
      </c>
      <c r="U603" s="4" t="str">
        <f t="shared" si="12"/>
        <v/>
      </c>
      <c r="V603" s="4" t="str">
        <f t="array" ref="V603">XLOOKUP(R603,'Dados Funil'!$A:$A,'Dados Funil'!$K:$K,"")</f>
        <v/>
      </c>
      <c r="W603" s="4" t="str">
        <f t="array" ref="W603">XLOOKUP(R603,'Dados Funil'!$A:$A,'Dados Funil'!$L:$L,"")</f>
        <v/>
      </c>
      <c r="X603" s="4"/>
      <c r="Y603" s="4"/>
      <c r="Z603" s="7" t="str">
        <f t="shared" si="5"/>
        <v/>
      </c>
      <c r="AA603" s="4" t="str">
        <f t="shared" si="13"/>
        <v/>
      </c>
      <c r="AB603" s="4" t="str">
        <f t="array" ref="AB603">XLOOKUP(X603,'Dados Funil'!A:A,'Dados Funil'!O:O,"")</f>
        <v/>
      </c>
      <c r="AE603" s="7" t="str">
        <f t="shared" si="6"/>
        <v/>
      </c>
      <c r="AG603" s="4" t="str">
        <f t="array" ref="AG603">XLOOKUP(AC603,'Dados Funil'!A:A,'Dados Funil'!AM:AM,"")</f>
        <v/>
      </c>
      <c r="AH603" s="4" t="str">
        <f t="array" ref="AH603">XLOOKUP(AC603,'Dados Funil'!A:A,'Dados Funil'!AN:AN,"")</f>
        <v/>
      </c>
    </row>
    <row r="604">
      <c r="A604" s="4"/>
      <c r="B604" s="4"/>
      <c r="C604" s="7" t="str">
        <f t="shared" si="1"/>
        <v/>
      </c>
      <c r="D604" s="4" t="str">
        <f t="shared" si="9"/>
        <v/>
      </c>
      <c r="E604" s="4" t="str">
        <f t="array" ref="E604">XLOOKUP(A604,'Dados Funil'!$A:$A,'Dados Funil'!$K:$K,"")</f>
        <v/>
      </c>
      <c r="F604" s="4" t="str">
        <f t="array" ref="F604">XLOOKUP(A604,'Dados Funil'!$A:$A,'Dados Funil'!$L:$L,"")</f>
        <v/>
      </c>
      <c r="G604" s="4"/>
      <c r="H604" s="4"/>
      <c r="I604" s="7" t="str">
        <f t="shared" si="2"/>
        <v/>
      </c>
      <c r="J604" s="4" t="str">
        <f t="shared" si="10"/>
        <v/>
      </c>
      <c r="K604" s="4" t="str">
        <f t="array" ref="K604">XLOOKUP(G604,'Dados Funil'!A:A,'Dados Funil'!O:O,"")</f>
        <v/>
      </c>
      <c r="L604" s="4"/>
      <c r="M604" s="4"/>
      <c r="N604" s="7" t="str">
        <f t="shared" si="3"/>
        <v/>
      </c>
      <c r="O604" s="4" t="str">
        <f t="shared" si="11"/>
        <v/>
      </c>
      <c r="P604" s="4" t="str">
        <f t="array" ref="P604">XLOOKUP(L604,'Dados Funil'!A:A,'Dados Funil'!AM:AM,"")</f>
        <v/>
      </c>
      <c r="Q604" s="4" t="str">
        <f t="array" ref="Q604">XLOOKUP(L604,'Dados Funil'!A:A,'Dados Funil'!AN:AN,"")</f>
        <v/>
      </c>
      <c r="T604" s="7" t="str">
        <f t="shared" si="4"/>
        <v/>
      </c>
      <c r="U604" s="4" t="str">
        <f t="shared" si="12"/>
        <v/>
      </c>
      <c r="V604" s="4" t="str">
        <f t="array" ref="V604">XLOOKUP(R604,'Dados Funil'!$A:$A,'Dados Funil'!$K:$K,"")</f>
        <v/>
      </c>
      <c r="W604" s="4" t="str">
        <f t="array" ref="W604">XLOOKUP(R604,'Dados Funil'!$A:$A,'Dados Funil'!$L:$L,"")</f>
        <v/>
      </c>
      <c r="X604" s="4"/>
      <c r="Y604" s="4"/>
      <c r="Z604" s="7" t="str">
        <f t="shared" si="5"/>
        <v/>
      </c>
      <c r="AA604" s="4" t="str">
        <f t="shared" si="13"/>
        <v/>
      </c>
      <c r="AB604" s="4" t="str">
        <f t="array" ref="AB604">XLOOKUP(X604,'Dados Funil'!A:A,'Dados Funil'!O:O,"")</f>
        <v/>
      </c>
      <c r="AE604" s="7" t="str">
        <f t="shared" si="6"/>
        <v/>
      </c>
      <c r="AG604" s="4" t="str">
        <f t="array" ref="AG604">XLOOKUP(AC604,'Dados Funil'!A:A,'Dados Funil'!AM:AM,"")</f>
        <v/>
      </c>
      <c r="AH604" s="4" t="str">
        <f t="array" ref="AH604">XLOOKUP(AC604,'Dados Funil'!A:A,'Dados Funil'!AN:AN,"")</f>
        <v/>
      </c>
    </row>
    <row r="605">
      <c r="A605" s="4"/>
      <c r="B605" s="4"/>
      <c r="C605" s="7" t="str">
        <f t="shared" si="1"/>
        <v/>
      </c>
      <c r="D605" s="4" t="str">
        <f t="shared" si="9"/>
        <v/>
      </c>
      <c r="E605" s="4" t="str">
        <f t="array" ref="E605">XLOOKUP(A605,'Dados Funil'!$A:$A,'Dados Funil'!$K:$K,"")</f>
        <v/>
      </c>
      <c r="F605" s="4" t="str">
        <f t="array" ref="F605">XLOOKUP(A605,'Dados Funil'!$A:$A,'Dados Funil'!$L:$L,"")</f>
        <v/>
      </c>
      <c r="G605" s="4"/>
      <c r="H605" s="4"/>
      <c r="I605" s="7" t="str">
        <f t="shared" si="2"/>
        <v/>
      </c>
      <c r="J605" s="4" t="str">
        <f t="shared" si="10"/>
        <v/>
      </c>
      <c r="K605" s="4" t="str">
        <f t="array" ref="K605">XLOOKUP(G605,'Dados Funil'!A:A,'Dados Funil'!O:O,"")</f>
        <v/>
      </c>
      <c r="L605" s="4"/>
      <c r="M605" s="4"/>
      <c r="N605" s="7" t="str">
        <f t="shared" si="3"/>
        <v/>
      </c>
      <c r="O605" s="4" t="str">
        <f t="shared" si="11"/>
        <v/>
      </c>
      <c r="P605" s="4" t="str">
        <f t="array" ref="P605">XLOOKUP(L605,'Dados Funil'!A:A,'Dados Funil'!AM:AM,"")</f>
        <v/>
      </c>
      <c r="Q605" s="4" t="str">
        <f t="array" ref="Q605">XLOOKUP(L605,'Dados Funil'!A:A,'Dados Funil'!AN:AN,"")</f>
        <v/>
      </c>
      <c r="T605" s="7" t="str">
        <f t="shared" si="4"/>
        <v/>
      </c>
      <c r="U605" s="4" t="str">
        <f t="shared" si="12"/>
        <v/>
      </c>
      <c r="V605" s="4" t="str">
        <f t="array" ref="V605">XLOOKUP(R605,'Dados Funil'!$A:$A,'Dados Funil'!$K:$K,"")</f>
        <v/>
      </c>
      <c r="W605" s="4" t="str">
        <f t="array" ref="W605">XLOOKUP(R605,'Dados Funil'!$A:$A,'Dados Funil'!$L:$L,"")</f>
        <v/>
      </c>
      <c r="X605" s="4"/>
      <c r="Y605" s="4"/>
      <c r="Z605" s="7" t="str">
        <f t="shared" si="5"/>
        <v/>
      </c>
      <c r="AA605" s="4" t="str">
        <f t="shared" si="13"/>
        <v/>
      </c>
      <c r="AB605" s="4" t="str">
        <f t="array" ref="AB605">XLOOKUP(X605,'Dados Funil'!A:A,'Dados Funil'!O:O,"")</f>
        <v/>
      </c>
      <c r="AE605" s="7" t="str">
        <f t="shared" si="6"/>
        <v/>
      </c>
      <c r="AG605" s="4" t="str">
        <f t="array" ref="AG605">XLOOKUP(AC605,'Dados Funil'!A:A,'Dados Funil'!AM:AM,"")</f>
        <v/>
      </c>
      <c r="AH605" s="4" t="str">
        <f t="array" ref="AH605">XLOOKUP(AC605,'Dados Funil'!A:A,'Dados Funil'!AN:AN,"")</f>
        <v/>
      </c>
    </row>
    <row r="606">
      <c r="A606" s="4"/>
      <c r="B606" s="4"/>
      <c r="C606" s="7" t="str">
        <f t="shared" si="1"/>
        <v/>
      </c>
      <c r="D606" s="4" t="str">
        <f t="shared" si="9"/>
        <v/>
      </c>
      <c r="E606" s="4" t="str">
        <f t="array" ref="E606">XLOOKUP(A606,'Dados Funil'!$A:$A,'Dados Funil'!$K:$K,"")</f>
        <v/>
      </c>
      <c r="F606" s="4" t="str">
        <f t="array" ref="F606">XLOOKUP(A606,'Dados Funil'!$A:$A,'Dados Funil'!$L:$L,"")</f>
        <v/>
      </c>
      <c r="G606" s="4"/>
      <c r="H606" s="4"/>
      <c r="I606" s="7" t="str">
        <f t="shared" si="2"/>
        <v/>
      </c>
      <c r="J606" s="4" t="str">
        <f t="shared" si="10"/>
        <v/>
      </c>
      <c r="K606" s="4" t="str">
        <f t="array" ref="K606">XLOOKUP(G606,'Dados Funil'!A:A,'Dados Funil'!O:O,"")</f>
        <v/>
      </c>
      <c r="L606" s="4"/>
      <c r="M606" s="4"/>
      <c r="N606" s="7" t="str">
        <f t="shared" si="3"/>
        <v/>
      </c>
      <c r="O606" s="4" t="str">
        <f t="shared" si="11"/>
        <v/>
      </c>
      <c r="P606" s="4" t="str">
        <f t="array" ref="P606">XLOOKUP(L606,'Dados Funil'!A:A,'Dados Funil'!AM:AM,"")</f>
        <v/>
      </c>
      <c r="Q606" s="4" t="str">
        <f t="array" ref="Q606">XLOOKUP(L606,'Dados Funil'!A:A,'Dados Funil'!AN:AN,"")</f>
        <v/>
      </c>
      <c r="T606" s="7" t="str">
        <f t="shared" si="4"/>
        <v/>
      </c>
      <c r="U606" s="4" t="str">
        <f t="shared" si="12"/>
        <v/>
      </c>
      <c r="V606" s="4" t="str">
        <f t="array" ref="V606">XLOOKUP(R606,'Dados Funil'!$A:$A,'Dados Funil'!$K:$K,"")</f>
        <v/>
      </c>
      <c r="W606" s="4" t="str">
        <f t="array" ref="W606">XLOOKUP(R606,'Dados Funil'!$A:$A,'Dados Funil'!$L:$L,"")</f>
        <v/>
      </c>
      <c r="X606" s="4"/>
      <c r="Y606" s="4"/>
      <c r="Z606" s="7" t="str">
        <f t="shared" si="5"/>
        <v/>
      </c>
      <c r="AA606" s="4" t="str">
        <f t="shared" si="13"/>
        <v/>
      </c>
      <c r="AB606" s="4" t="str">
        <f t="array" ref="AB606">XLOOKUP(X606,'Dados Funil'!A:A,'Dados Funil'!O:O,"")</f>
        <v/>
      </c>
      <c r="AE606" s="7" t="str">
        <f t="shared" si="6"/>
        <v/>
      </c>
      <c r="AG606" s="4" t="str">
        <f t="array" ref="AG606">XLOOKUP(AC606,'Dados Funil'!A:A,'Dados Funil'!AM:AM,"")</f>
        <v/>
      </c>
      <c r="AH606" s="4" t="str">
        <f t="array" ref="AH606">XLOOKUP(AC606,'Dados Funil'!A:A,'Dados Funil'!AN:AN,"")</f>
        <v/>
      </c>
    </row>
    <row r="607">
      <c r="A607" s="4"/>
      <c r="B607" s="4"/>
      <c r="C607" s="7" t="str">
        <f t="shared" si="1"/>
        <v/>
      </c>
      <c r="D607" s="4" t="str">
        <f t="shared" si="9"/>
        <v/>
      </c>
      <c r="E607" s="4" t="str">
        <f t="array" ref="E607">XLOOKUP(A607,'Dados Funil'!$A:$A,'Dados Funil'!$K:$K,"")</f>
        <v/>
      </c>
      <c r="F607" s="4" t="str">
        <f t="array" ref="F607">XLOOKUP(A607,'Dados Funil'!$A:$A,'Dados Funil'!$L:$L,"")</f>
        <v/>
      </c>
      <c r="G607" s="4"/>
      <c r="H607" s="4"/>
      <c r="I607" s="7" t="str">
        <f t="shared" si="2"/>
        <v/>
      </c>
      <c r="J607" s="4" t="str">
        <f t="shared" si="10"/>
        <v/>
      </c>
      <c r="K607" s="4" t="str">
        <f t="array" ref="K607">XLOOKUP(G607,'Dados Funil'!A:A,'Dados Funil'!O:O,"")</f>
        <v/>
      </c>
      <c r="L607" s="4"/>
      <c r="M607" s="4"/>
      <c r="N607" s="7" t="str">
        <f t="shared" si="3"/>
        <v/>
      </c>
      <c r="O607" s="4" t="str">
        <f t="shared" si="11"/>
        <v/>
      </c>
      <c r="P607" s="4" t="str">
        <f t="array" ref="P607">XLOOKUP(L607,'Dados Funil'!A:A,'Dados Funil'!AM:AM,"")</f>
        <v/>
      </c>
      <c r="Q607" s="4" t="str">
        <f t="array" ref="Q607">XLOOKUP(L607,'Dados Funil'!A:A,'Dados Funil'!AN:AN,"")</f>
        <v/>
      </c>
      <c r="T607" s="7" t="str">
        <f t="shared" si="4"/>
        <v/>
      </c>
      <c r="U607" s="4" t="str">
        <f t="shared" si="12"/>
        <v/>
      </c>
      <c r="V607" s="4" t="str">
        <f t="array" ref="V607">XLOOKUP(R607,'Dados Funil'!$A:$A,'Dados Funil'!$K:$K,"")</f>
        <v/>
      </c>
      <c r="W607" s="4" t="str">
        <f t="array" ref="W607">XLOOKUP(R607,'Dados Funil'!$A:$A,'Dados Funil'!$L:$L,"")</f>
        <v/>
      </c>
      <c r="X607" s="4"/>
      <c r="Y607" s="4"/>
      <c r="Z607" s="7" t="str">
        <f t="shared" si="5"/>
        <v/>
      </c>
      <c r="AA607" s="4" t="str">
        <f t="shared" si="13"/>
        <v/>
      </c>
      <c r="AB607" s="4" t="str">
        <f t="array" ref="AB607">XLOOKUP(X607,'Dados Funil'!A:A,'Dados Funil'!O:O,"")</f>
        <v/>
      </c>
      <c r="AE607" s="7" t="str">
        <f t="shared" si="6"/>
        <v/>
      </c>
      <c r="AG607" s="4" t="str">
        <f t="array" ref="AG607">XLOOKUP(AC607,'Dados Funil'!A:A,'Dados Funil'!AM:AM,"")</f>
        <v/>
      </c>
      <c r="AH607" s="4" t="str">
        <f t="array" ref="AH607">XLOOKUP(AC607,'Dados Funil'!A:A,'Dados Funil'!AN:AN,"")</f>
        <v/>
      </c>
    </row>
    <row r="608">
      <c r="A608" s="4"/>
      <c r="B608" s="4"/>
      <c r="C608" s="7" t="str">
        <f t="shared" si="1"/>
        <v/>
      </c>
      <c r="D608" s="4" t="str">
        <f t="shared" si="9"/>
        <v/>
      </c>
      <c r="E608" s="4" t="str">
        <f t="array" ref="E608">XLOOKUP(A608,'Dados Funil'!$A:$A,'Dados Funil'!$K:$K,"")</f>
        <v/>
      </c>
      <c r="F608" s="4" t="str">
        <f t="array" ref="F608">XLOOKUP(A608,'Dados Funil'!$A:$A,'Dados Funil'!$L:$L,"")</f>
        <v/>
      </c>
      <c r="G608" s="4"/>
      <c r="H608" s="4"/>
      <c r="I608" s="7" t="str">
        <f t="shared" si="2"/>
        <v/>
      </c>
      <c r="J608" s="4" t="str">
        <f t="shared" si="10"/>
        <v/>
      </c>
      <c r="K608" s="4" t="str">
        <f t="array" ref="K608">XLOOKUP(G608,'Dados Funil'!A:A,'Dados Funil'!O:O,"")</f>
        <v/>
      </c>
      <c r="L608" s="4"/>
      <c r="M608" s="4"/>
      <c r="N608" s="7" t="str">
        <f t="shared" si="3"/>
        <v/>
      </c>
      <c r="O608" s="4" t="str">
        <f t="shared" si="11"/>
        <v/>
      </c>
      <c r="P608" s="4" t="str">
        <f t="array" ref="P608">XLOOKUP(L608,'Dados Funil'!A:A,'Dados Funil'!AM:AM,"")</f>
        <v/>
      </c>
      <c r="Q608" s="4" t="str">
        <f t="array" ref="Q608">XLOOKUP(L608,'Dados Funil'!A:A,'Dados Funil'!AN:AN,"")</f>
        <v/>
      </c>
      <c r="T608" s="7" t="str">
        <f t="shared" si="4"/>
        <v/>
      </c>
      <c r="U608" s="4" t="str">
        <f t="shared" si="12"/>
        <v/>
      </c>
      <c r="V608" s="4" t="str">
        <f t="array" ref="V608">XLOOKUP(R608,'Dados Funil'!$A:$A,'Dados Funil'!$K:$K,"")</f>
        <v/>
      </c>
      <c r="W608" s="4" t="str">
        <f t="array" ref="W608">XLOOKUP(R608,'Dados Funil'!$A:$A,'Dados Funil'!$L:$L,"")</f>
        <v/>
      </c>
      <c r="X608" s="4"/>
      <c r="Y608" s="4"/>
      <c r="Z608" s="7" t="str">
        <f t="shared" si="5"/>
        <v/>
      </c>
      <c r="AA608" s="4" t="str">
        <f t="shared" si="13"/>
        <v/>
      </c>
      <c r="AB608" s="4" t="str">
        <f t="array" ref="AB608">XLOOKUP(X608,'Dados Funil'!A:A,'Dados Funil'!O:O,"")</f>
        <v/>
      </c>
      <c r="AE608" s="7" t="str">
        <f t="shared" si="6"/>
        <v/>
      </c>
      <c r="AG608" s="4" t="str">
        <f t="array" ref="AG608">XLOOKUP(AC608,'Dados Funil'!A:A,'Dados Funil'!AM:AM,"")</f>
        <v/>
      </c>
      <c r="AH608" s="4" t="str">
        <f t="array" ref="AH608">XLOOKUP(AC608,'Dados Funil'!A:A,'Dados Funil'!AN:AN,"")</f>
        <v/>
      </c>
    </row>
    <row r="609">
      <c r="A609" s="4"/>
      <c r="B609" s="4"/>
      <c r="C609" s="7" t="str">
        <f t="shared" si="1"/>
        <v/>
      </c>
      <c r="D609" s="4" t="str">
        <f t="shared" si="9"/>
        <v/>
      </c>
      <c r="E609" s="4" t="str">
        <f t="array" ref="E609">XLOOKUP(A609,'Dados Funil'!$A:$A,'Dados Funil'!$K:$K,"")</f>
        <v/>
      </c>
      <c r="F609" s="4" t="str">
        <f t="array" ref="F609">XLOOKUP(A609,'Dados Funil'!$A:$A,'Dados Funil'!$L:$L,"")</f>
        <v/>
      </c>
      <c r="G609" s="4"/>
      <c r="H609" s="4"/>
      <c r="I609" s="7" t="str">
        <f t="shared" si="2"/>
        <v/>
      </c>
      <c r="J609" s="4" t="str">
        <f t="shared" si="10"/>
        <v/>
      </c>
      <c r="K609" s="4" t="str">
        <f t="array" ref="K609">XLOOKUP(G609,'Dados Funil'!A:A,'Dados Funil'!O:O,"")</f>
        <v/>
      </c>
      <c r="L609" s="4"/>
      <c r="M609" s="4"/>
      <c r="N609" s="7" t="str">
        <f t="shared" si="3"/>
        <v/>
      </c>
      <c r="O609" s="4" t="str">
        <f t="shared" si="11"/>
        <v/>
      </c>
      <c r="P609" s="4" t="str">
        <f t="array" ref="P609">XLOOKUP(L609,'Dados Funil'!A:A,'Dados Funil'!AM:AM,"")</f>
        <v/>
      </c>
      <c r="Q609" s="4" t="str">
        <f t="array" ref="Q609">XLOOKUP(L609,'Dados Funil'!A:A,'Dados Funil'!AN:AN,"")</f>
        <v/>
      </c>
      <c r="T609" s="7" t="str">
        <f t="shared" si="4"/>
        <v/>
      </c>
      <c r="U609" s="4" t="str">
        <f t="shared" si="12"/>
        <v/>
      </c>
      <c r="V609" s="4" t="str">
        <f t="array" ref="V609">XLOOKUP(R609,'Dados Funil'!$A:$A,'Dados Funil'!$K:$K,"")</f>
        <v/>
      </c>
      <c r="W609" s="4" t="str">
        <f t="array" ref="W609">XLOOKUP(R609,'Dados Funil'!$A:$A,'Dados Funil'!$L:$L,"")</f>
        <v/>
      </c>
      <c r="X609" s="4"/>
      <c r="Y609" s="4"/>
      <c r="Z609" s="7" t="str">
        <f t="shared" si="5"/>
        <v/>
      </c>
      <c r="AA609" s="4" t="str">
        <f t="shared" si="13"/>
        <v/>
      </c>
      <c r="AB609" s="4" t="str">
        <f t="array" ref="AB609">XLOOKUP(X609,'Dados Funil'!A:A,'Dados Funil'!O:O,"")</f>
        <v/>
      </c>
      <c r="AE609" s="7" t="str">
        <f t="shared" si="6"/>
        <v/>
      </c>
      <c r="AG609" s="4" t="str">
        <f t="array" ref="AG609">XLOOKUP(AC609,'Dados Funil'!A:A,'Dados Funil'!AM:AM,"")</f>
        <v/>
      </c>
      <c r="AH609" s="4" t="str">
        <f t="array" ref="AH609">XLOOKUP(AC609,'Dados Funil'!A:A,'Dados Funil'!AN:AN,"")</f>
        <v/>
      </c>
    </row>
    <row r="610">
      <c r="A610" s="4"/>
      <c r="B610" s="4"/>
      <c r="C610" s="7" t="str">
        <f t="shared" si="1"/>
        <v/>
      </c>
      <c r="D610" s="4" t="str">
        <f t="shared" si="9"/>
        <v/>
      </c>
      <c r="E610" s="4" t="str">
        <f t="array" ref="E610">XLOOKUP(A610,'Dados Funil'!$A:$A,'Dados Funil'!$K:$K,"")</f>
        <v/>
      </c>
      <c r="F610" s="4" t="str">
        <f t="array" ref="F610">XLOOKUP(A610,'Dados Funil'!$A:$A,'Dados Funil'!$L:$L,"")</f>
        <v/>
      </c>
      <c r="G610" s="4"/>
      <c r="H610" s="4"/>
      <c r="I610" s="7" t="str">
        <f t="shared" si="2"/>
        <v/>
      </c>
      <c r="J610" s="4" t="str">
        <f t="shared" si="10"/>
        <v/>
      </c>
      <c r="K610" s="4" t="str">
        <f t="array" ref="K610">XLOOKUP(G610,'Dados Funil'!A:A,'Dados Funil'!O:O,"")</f>
        <v/>
      </c>
      <c r="L610" s="4"/>
      <c r="M610" s="4"/>
      <c r="N610" s="7" t="str">
        <f t="shared" si="3"/>
        <v/>
      </c>
      <c r="O610" s="4" t="str">
        <f t="shared" si="11"/>
        <v/>
      </c>
      <c r="P610" s="4" t="str">
        <f t="array" ref="P610">XLOOKUP(L610,'Dados Funil'!A:A,'Dados Funil'!AM:AM,"")</f>
        <v/>
      </c>
      <c r="Q610" s="4" t="str">
        <f t="array" ref="Q610">XLOOKUP(L610,'Dados Funil'!A:A,'Dados Funil'!AN:AN,"")</f>
        <v/>
      </c>
      <c r="T610" s="7" t="str">
        <f t="shared" si="4"/>
        <v/>
      </c>
      <c r="U610" s="4" t="str">
        <f t="shared" si="12"/>
        <v/>
      </c>
      <c r="V610" s="4" t="str">
        <f t="array" ref="V610">XLOOKUP(R610,'Dados Funil'!$A:$A,'Dados Funil'!$K:$K,"")</f>
        <v/>
      </c>
      <c r="W610" s="4" t="str">
        <f t="array" ref="W610">XLOOKUP(R610,'Dados Funil'!$A:$A,'Dados Funil'!$L:$L,"")</f>
        <v/>
      </c>
      <c r="X610" s="4"/>
      <c r="Y610" s="4"/>
      <c r="Z610" s="7" t="str">
        <f t="shared" si="5"/>
        <v/>
      </c>
      <c r="AA610" s="4" t="str">
        <f t="shared" si="13"/>
        <v/>
      </c>
      <c r="AB610" s="4" t="str">
        <f t="array" ref="AB610">XLOOKUP(X610,'Dados Funil'!A:A,'Dados Funil'!O:O,"")</f>
        <v/>
      </c>
      <c r="AE610" s="7" t="str">
        <f t="shared" si="6"/>
        <v/>
      </c>
      <c r="AG610" s="4" t="str">
        <f t="array" ref="AG610">XLOOKUP(AC610,'Dados Funil'!A:A,'Dados Funil'!AM:AM,"")</f>
        <v/>
      </c>
      <c r="AH610" s="4" t="str">
        <f t="array" ref="AH610">XLOOKUP(AC610,'Dados Funil'!A:A,'Dados Funil'!AN:AN,"")</f>
        <v/>
      </c>
    </row>
    <row r="611">
      <c r="A611" s="4"/>
      <c r="B611" s="4"/>
      <c r="C611" s="7" t="str">
        <f t="shared" si="1"/>
        <v/>
      </c>
      <c r="D611" s="4" t="str">
        <f t="shared" si="9"/>
        <v/>
      </c>
      <c r="E611" s="4" t="str">
        <f t="array" ref="E611">XLOOKUP(A611,'Dados Funil'!$A:$A,'Dados Funil'!$K:$K,"")</f>
        <v/>
      </c>
      <c r="F611" s="4" t="str">
        <f t="array" ref="F611">XLOOKUP(A611,'Dados Funil'!$A:$A,'Dados Funil'!$L:$L,"")</f>
        <v/>
      </c>
      <c r="G611" s="4"/>
      <c r="H611" s="4"/>
      <c r="I611" s="7" t="str">
        <f t="shared" si="2"/>
        <v/>
      </c>
      <c r="J611" s="4" t="str">
        <f t="shared" si="10"/>
        <v/>
      </c>
      <c r="K611" s="4" t="str">
        <f t="array" ref="K611">XLOOKUP(G611,'Dados Funil'!A:A,'Dados Funil'!O:O,"")</f>
        <v/>
      </c>
      <c r="L611" s="4"/>
      <c r="M611" s="4"/>
      <c r="N611" s="7" t="str">
        <f t="shared" si="3"/>
        <v/>
      </c>
      <c r="O611" s="4" t="str">
        <f t="shared" si="11"/>
        <v/>
      </c>
      <c r="P611" s="4" t="str">
        <f t="array" ref="P611">XLOOKUP(L611,'Dados Funil'!A:A,'Dados Funil'!AM:AM,"")</f>
        <v/>
      </c>
      <c r="Q611" s="4" t="str">
        <f t="array" ref="Q611">XLOOKUP(L611,'Dados Funil'!A:A,'Dados Funil'!AN:AN,"")</f>
        <v/>
      </c>
      <c r="T611" s="7" t="str">
        <f t="shared" si="4"/>
        <v/>
      </c>
      <c r="U611" s="4" t="str">
        <f t="shared" si="12"/>
        <v/>
      </c>
      <c r="V611" s="4" t="str">
        <f t="array" ref="V611">XLOOKUP(R611,'Dados Funil'!$A:$A,'Dados Funil'!$K:$K,"")</f>
        <v/>
      </c>
      <c r="W611" s="4" t="str">
        <f t="array" ref="W611">XLOOKUP(R611,'Dados Funil'!$A:$A,'Dados Funil'!$L:$L,"")</f>
        <v/>
      </c>
      <c r="X611" s="4"/>
      <c r="Y611" s="4"/>
      <c r="Z611" s="7" t="str">
        <f t="shared" si="5"/>
        <v/>
      </c>
      <c r="AA611" s="4" t="str">
        <f t="shared" si="13"/>
        <v/>
      </c>
      <c r="AB611" s="4" t="str">
        <f t="array" ref="AB611">XLOOKUP(X611,'Dados Funil'!A:A,'Dados Funil'!O:O,"")</f>
        <v/>
      </c>
      <c r="AE611" s="7" t="str">
        <f t="shared" si="6"/>
        <v/>
      </c>
      <c r="AG611" s="4" t="str">
        <f t="array" ref="AG611">XLOOKUP(AC611,'Dados Funil'!A:A,'Dados Funil'!AM:AM,"")</f>
        <v/>
      </c>
      <c r="AH611" s="4" t="str">
        <f t="array" ref="AH611">XLOOKUP(AC611,'Dados Funil'!A:A,'Dados Funil'!AN:AN,"")</f>
        <v/>
      </c>
    </row>
    <row r="612">
      <c r="A612" s="4"/>
      <c r="B612" s="4"/>
      <c r="C612" s="7" t="str">
        <f t="shared" si="1"/>
        <v/>
      </c>
      <c r="D612" s="4" t="str">
        <f t="shared" si="9"/>
        <v/>
      </c>
      <c r="E612" s="4" t="str">
        <f t="array" ref="E612">XLOOKUP(A612,'Dados Funil'!$A:$A,'Dados Funil'!$K:$K,"")</f>
        <v/>
      </c>
      <c r="F612" s="4" t="str">
        <f t="array" ref="F612">XLOOKUP(A612,'Dados Funil'!$A:$A,'Dados Funil'!$L:$L,"")</f>
        <v/>
      </c>
      <c r="G612" s="4"/>
      <c r="H612" s="4"/>
      <c r="I612" s="7" t="str">
        <f t="shared" si="2"/>
        <v/>
      </c>
      <c r="J612" s="4" t="str">
        <f t="shared" si="10"/>
        <v/>
      </c>
      <c r="K612" s="4" t="str">
        <f t="array" ref="K612">XLOOKUP(G612,'Dados Funil'!A:A,'Dados Funil'!O:O,"")</f>
        <v/>
      </c>
      <c r="L612" s="4"/>
      <c r="M612" s="4"/>
      <c r="N612" s="7" t="str">
        <f t="shared" si="3"/>
        <v/>
      </c>
      <c r="O612" s="4" t="str">
        <f t="shared" si="11"/>
        <v/>
      </c>
      <c r="P612" s="4" t="str">
        <f t="array" ref="P612">XLOOKUP(L612,'Dados Funil'!A:A,'Dados Funil'!AM:AM,"")</f>
        <v/>
      </c>
      <c r="Q612" s="4" t="str">
        <f t="array" ref="Q612">XLOOKUP(L612,'Dados Funil'!A:A,'Dados Funil'!AN:AN,"")</f>
        <v/>
      </c>
      <c r="T612" s="7" t="str">
        <f t="shared" si="4"/>
        <v/>
      </c>
      <c r="U612" s="4" t="str">
        <f t="shared" si="12"/>
        <v/>
      </c>
      <c r="V612" s="4" t="str">
        <f t="array" ref="V612">XLOOKUP(R612,'Dados Funil'!$A:$A,'Dados Funil'!$K:$K,"")</f>
        <v/>
      </c>
      <c r="W612" s="4" t="str">
        <f t="array" ref="W612">XLOOKUP(R612,'Dados Funil'!$A:$A,'Dados Funil'!$L:$L,"")</f>
        <v/>
      </c>
      <c r="X612" s="4"/>
      <c r="Y612" s="4"/>
      <c r="Z612" s="7" t="str">
        <f t="shared" si="5"/>
        <v/>
      </c>
      <c r="AA612" s="4" t="str">
        <f t="shared" si="13"/>
        <v/>
      </c>
      <c r="AB612" s="4" t="str">
        <f t="array" ref="AB612">XLOOKUP(X612,'Dados Funil'!A:A,'Dados Funil'!O:O,"")</f>
        <v/>
      </c>
      <c r="AE612" s="7" t="str">
        <f t="shared" si="6"/>
        <v/>
      </c>
      <c r="AG612" s="4" t="str">
        <f t="array" ref="AG612">XLOOKUP(AC612,'Dados Funil'!A:A,'Dados Funil'!AM:AM,"")</f>
        <v/>
      </c>
      <c r="AH612" s="4" t="str">
        <f t="array" ref="AH612">XLOOKUP(AC612,'Dados Funil'!A:A,'Dados Funil'!AN:AN,"")</f>
        <v/>
      </c>
    </row>
    <row r="613">
      <c r="A613" s="4"/>
      <c r="B613" s="4"/>
      <c r="C613" s="7" t="str">
        <f t="shared" si="1"/>
        <v/>
      </c>
      <c r="D613" s="4" t="str">
        <f t="shared" si="9"/>
        <v/>
      </c>
      <c r="E613" s="4" t="str">
        <f t="array" ref="E613">XLOOKUP(A613,'Dados Funil'!$A:$A,'Dados Funil'!$K:$K,"")</f>
        <v/>
      </c>
      <c r="F613" s="4" t="str">
        <f t="array" ref="F613">XLOOKUP(A613,'Dados Funil'!$A:$A,'Dados Funil'!$L:$L,"")</f>
        <v/>
      </c>
      <c r="G613" s="4"/>
      <c r="H613" s="4"/>
      <c r="I613" s="7" t="str">
        <f t="shared" si="2"/>
        <v/>
      </c>
      <c r="J613" s="4" t="str">
        <f t="shared" si="10"/>
        <v/>
      </c>
      <c r="K613" s="4" t="str">
        <f t="array" ref="K613">XLOOKUP(G613,'Dados Funil'!A:A,'Dados Funil'!O:O,"")</f>
        <v/>
      </c>
      <c r="L613" s="4"/>
      <c r="M613" s="4"/>
      <c r="N613" s="7" t="str">
        <f t="shared" si="3"/>
        <v/>
      </c>
      <c r="O613" s="4" t="str">
        <f t="shared" si="11"/>
        <v/>
      </c>
      <c r="P613" s="4" t="str">
        <f t="array" ref="P613">XLOOKUP(L613,'Dados Funil'!A:A,'Dados Funil'!AM:AM,"")</f>
        <v/>
      </c>
      <c r="Q613" s="4" t="str">
        <f t="array" ref="Q613">XLOOKUP(L613,'Dados Funil'!A:A,'Dados Funil'!AN:AN,"")</f>
        <v/>
      </c>
      <c r="T613" s="7" t="str">
        <f t="shared" si="4"/>
        <v/>
      </c>
      <c r="U613" s="4" t="str">
        <f t="shared" si="12"/>
        <v/>
      </c>
      <c r="V613" s="4" t="str">
        <f t="array" ref="V613">XLOOKUP(R613,'Dados Funil'!$A:$A,'Dados Funil'!$K:$K,"")</f>
        <v/>
      </c>
      <c r="W613" s="4" t="str">
        <f t="array" ref="W613">XLOOKUP(R613,'Dados Funil'!$A:$A,'Dados Funil'!$L:$L,"")</f>
        <v/>
      </c>
      <c r="X613" s="4"/>
      <c r="Y613" s="4"/>
      <c r="Z613" s="7" t="str">
        <f t="shared" si="5"/>
        <v/>
      </c>
      <c r="AA613" s="4" t="str">
        <f t="shared" si="13"/>
        <v/>
      </c>
      <c r="AB613" s="4" t="str">
        <f t="array" ref="AB613">XLOOKUP(X613,'Dados Funil'!A:A,'Dados Funil'!O:O,"")</f>
        <v/>
      </c>
      <c r="AE613" s="7" t="str">
        <f t="shared" si="6"/>
        <v/>
      </c>
      <c r="AG613" s="4" t="str">
        <f t="array" ref="AG613">XLOOKUP(AC613,'Dados Funil'!A:A,'Dados Funil'!AM:AM,"")</f>
        <v/>
      </c>
      <c r="AH613" s="4" t="str">
        <f t="array" ref="AH613">XLOOKUP(AC613,'Dados Funil'!A:A,'Dados Funil'!AN:AN,"")</f>
        <v/>
      </c>
    </row>
    <row r="614">
      <c r="A614" s="4"/>
      <c r="B614" s="4"/>
      <c r="C614" s="7" t="str">
        <f t="shared" si="1"/>
        <v/>
      </c>
      <c r="D614" s="4" t="str">
        <f t="shared" si="9"/>
        <v/>
      </c>
      <c r="E614" s="4" t="str">
        <f t="array" ref="E614">XLOOKUP(A614,'Dados Funil'!$A:$A,'Dados Funil'!$K:$K,"")</f>
        <v/>
      </c>
      <c r="F614" s="4" t="str">
        <f t="array" ref="F614">XLOOKUP(A614,'Dados Funil'!$A:$A,'Dados Funil'!$L:$L,"")</f>
        <v/>
      </c>
      <c r="G614" s="4"/>
      <c r="H614" s="4"/>
      <c r="I614" s="7" t="str">
        <f t="shared" si="2"/>
        <v/>
      </c>
      <c r="J614" s="4" t="str">
        <f t="shared" si="10"/>
        <v/>
      </c>
      <c r="K614" s="4" t="str">
        <f t="array" ref="K614">XLOOKUP(G614,'Dados Funil'!A:A,'Dados Funil'!O:O,"")</f>
        <v/>
      </c>
      <c r="L614" s="4"/>
      <c r="M614" s="4"/>
      <c r="N614" s="7" t="str">
        <f t="shared" si="3"/>
        <v/>
      </c>
      <c r="O614" s="4" t="str">
        <f t="shared" si="11"/>
        <v/>
      </c>
      <c r="P614" s="4" t="str">
        <f t="array" ref="P614">XLOOKUP(L614,'Dados Funil'!A:A,'Dados Funil'!AM:AM,"")</f>
        <v/>
      </c>
      <c r="Q614" s="4" t="str">
        <f t="array" ref="Q614">XLOOKUP(L614,'Dados Funil'!A:A,'Dados Funil'!AN:AN,"")</f>
        <v/>
      </c>
      <c r="T614" s="7" t="str">
        <f t="shared" si="4"/>
        <v/>
      </c>
      <c r="U614" s="4" t="str">
        <f t="shared" si="12"/>
        <v/>
      </c>
      <c r="V614" s="4" t="str">
        <f t="array" ref="V614">XLOOKUP(R614,'Dados Funil'!$A:$A,'Dados Funil'!$K:$K,"")</f>
        <v/>
      </c>
      <c r="W614" s="4" t="str">
        <f t="array" ref="W614">XLOOKUP(R614,'Dados Funil'!$A:$A,'Dados Funil'!$L:$L,"")</f>
        <v/>
      </c>
      <c r="X614" s="4"/>
      <c r="Y614" s="4"/>
      <c r="Z614" s="7" t="str">
        <f t="shared" si="5"/>
        <v/>
      </c>
      <c r="AA614" s="4" t="str">
        <f t="shared" si="13"/>
        <v/>
      </c>
      <c r="AB614" s="4" t="str">
        <f t="array" ref="AB614">XLOOKUP(X614,'Dados Funil'!A:A,'Dados Funil'!O:O,"")</f>
        <v/>
      </c>
      <c r="AE614" s="7" t="str">
        <f t="shared" si="6"/>
        <v/>
      </c>
      <c r="AG614" s="4" t="str">
        <f t="array" ref="AG614">XLOOKUP(AC614,'Dados Funil'!A:A,'Dados Funil'!AM:AM,"")</f>
        <v/>
      </c>
      <c r="AH614" s="4" t="str">
        <f t="array" ref="AH614">XLOOKUP(AC614,'Dados Funil'!A:A,'Dados Funil'!AN:AN,"")</f>
        <v/>
      </c>
    </row>
    <row r="615">
      <c r="A615" s="4"/>
      <c r="B615" s="4"/>
      <c r="C615" s="7" t="str">
        <f t="shared" si="1"/>
        <v/>
      </c>
      <c r="D615" s="4" t="str">
        <f t="shared" si="9"/>
        <v/>
      </c>
      <c r="E615" s="4" t="str">
        <f t="array" ref="E615">XLOOKUP(A615,'Dados Funil'!$A:$A,'Dados Funil'!$K:$K,"")</f>
        <v/>
      </c>
      <c r="F615" s="4" t="str">
        <f t="array" ref="F615">XLOOKUP(A615,'Dados Funil'!$A:$A,'Dados Funil'!$L:$L,"")</f>
        <v/>
      </c>
      <c r="G615" s="4"/>
      <c r="H615" s="4"/>
      <c r="I615" s="7" t="str">
        <f t="shared" si="2"/>
        <v/>
      </c>
      <c r="J615" s="4" t="str">
        <f t="shared" si="10"/>
        <v/>
      </c>
      <c r="K615" s="4" t="str">
        <f t="array" ref="K615">XLOOKUP(G615,'Dados Funil'!A:A,'Dados Funil'!O:O,"")</f>
        <v/>
      </c>
      <c r="L615" s="4"/>
      <c r="M615" s="4"/>
      <c r="N615" s="7" t="str">
        <f t="shared" si="3"/>
        <v/>
      </c>
      <c r="O615" s="4" t="str">
        <f t="shared" si="11"/>
        <v/>
      </c>
      <c r="P615" s="4" t="str">
        <f t="array" ref="P615">XLOOKUP(L615,'Dados Funil'!A:A,'Dados Funil'!AM:AM,"")</f>
        <v/>
      </c>
      <c r="Q615" s="4" t="str">
        <f t="array" ref="Q615">XLOOKUP(L615,'Dados Funil'!A:A,'Dados Funil'!AN:AN,"")</f>
        <v/>
      </c>
      <c r="T615" s="7" t="str">
        <f t="shared" si="4"/>
        <v/>
      </c>
      <c r="U615" s="4" t="str">
        <f t="shared" si="12"/>
        <v/>
      </c>
      <c r="V615" s="4" t="str">
        <f t="array" ref="V615">XLOOKUP(R615,'Dados Funil'!$A:$A,'Dados Funil'!$K:$K,"")</f>
        <v/>
      </c>
      <c r="W615" s="4" t="str">
        <f t="array" ref="W615">XLOOKUP(R615,'Dados Funil'!$A:$A,'Dados Funil'!$L:$L,"")</f>
        <v/>
      </c>
      <c r="X615" s="4"/>
      <c r="Y615" s="4"/>
      <c r="Z615" s="7" t="str">
        <f t="shared" si="5"/>
        <v/>
      </c>
      <c r="AA615" s="4" t="str">
        <f t="shared" si="13"/>
        <v/>
      </c>
      <c r="AB615" s="4" t="str">
        <f t="array" ref="AB615">XLOOKUP(X615,'Dados Funil'!A:A,'Dados Funil'!O:O,"")</f>
        <v/>
      </c>
      <c r="AE615" s="7" t="str">
        <f t="shared" si="6"/>
        <v/>
      </c>
      <c r="AG615" s="4" t="str">
        <f t="array" ref="AG615">XLOOKUP(AC615,'Dados Funil'!A:A,'Dados Funil'!AM:AM,"")</f>
        <v/>
      </c>
      <c r="AH615" s="4" t="str">
        <f t="array" ref="AH615">XLOOKUP(AC615,'Dados Funil'!A:A,'Dados Funil'!AN:AN,"")</f>
        <v/>
      </c>
    </row>
    <row r="616">
      <c r="A616" s="4"/>
      <c r="B616" s="4"/>
      <c r="C616" s="7" t="str">
        <f t="shared" si="1"/>
        <v/>
      </c>
      <c r="D616" s="4" t="str">
        <f t="shared" si="9"/>
        <v/>
      </c>
      <c r="E616" s="4" t="str">
        <f t="array" ref="E616">XLOOKUP(A616,'Dados Funil'!$A:$A,'Dados Funil'!$K:$K,"")</f>
        <v/>
      </c>
      <c r="F616" s="4" t="str">
        <f t="array" ref="F616">XLOOKUP(A616,'Dados Funil'!$A:$A,'Dados Funil'!$L:$L,"")</f>
        <v/>
      </c>
      <c r="G616" s="4"/>
      <c r="H616" s="4"/>
      <c r="I616" s="7" t="str">
        <f t="shared" si="2"/>
        <v/>
      </c>
      <c r="J616" s="4" t="str">
        <f t="shared" si="10"/>
        <v/>
      </c>
      <c r="K616" s="4" t="str">
        <f t="array" ref="K616">XLOOKUP(G616,'Dados Funil'!A:A,'Dados Funil'!O:O,"")</f>
        <v/>
      </c>
      <c r="L616" s="4"/>
      <c r="M616" s="4"/>
      <c r="N616" s="7" t="str">
        <f t="shared" si="3"/>
        <v/>
      </c>
      <c r="O616" s="4" t="str">
        <f t="shared" si="11"/>
        <v/>
      </c>
      <c r="P616" s="4" t="str">
        <f t="array" ref="P616">XLOOKUP(L616,'Dados Funil'!A:A,'Dados Funil'!AM:AM,"")</f>
        <v/>
      </c>
      <c r="Q616" s="4" t="str">
        <f t="array" ref="Q616">XLOOKUP(L616,'Dados Funil'!A:A,'Dados Funil'!AN:AN,"")</f>
        <v/>
      </c>
      <c r="T616" s="7" t="str">
        <f t="shared" si="4"/>
        <v/>
      </c>
      <c r="U616" s="4" t="str">
        <f t="shared" si="12"/>
        <v/>
      </c>
      <c r="V616" s="4" t="str">
        <f t="array" ref="V616">XLOOKUP(R616,'Dados Funil'!$A:$A,'Dados Funil'!$K:$K,"")</f>
        <v/>
      </c>
      <c r="W616" s="4" t="str">
        <f t="array" ref="W616">XLOOKUP(R616,'Dados Funil'!$A:$A,'Dados Funil'!$L:$L,"")</f>
        <v/>
      </c>
      <c r="X616" s="4"/>
      <c r="Y616" s="4"/>
      <c r="Z616" s="7" t="str">
        <f t="shared" si="5"/>
        <v/>
      </c>
      <c r="AA616" s="4" t="str">
        <f t="shared" si="13"/>
        <v/>
      </c>
      <c r="AB616" s="4" t="str">
        <f t="array" ref="AB616">XLOOKUP(X616,'Dados Funil'!A:A,'Dados Funil'!O:O,"")</f>
        <v/>
      </c>
      <c r="AE616" s="7" t="str">
        <f t="shared" si="6"/>
        <v/>
      </c>
      <c r="AG616" s="4" t="str">
        <f t="array" ref="AG616">XLOOKUP(AC616,'Dados Funil'!A:A,'Dados Funil'!AM:AM,"")</f>
        <v/>
      </c>
      <c r="AH616" s="4" t="str">
        <f t="array" ref="AH616">XLOOKUP(AC616,'Dados Funil'!A:A,'Dados Funil'!AN:AN,"")</f>
        <v/>
      </c>
    </row>
    <row r="617">
      <c r="A617" s="4"/>
      <c r="B617" s="4"/>
      <c r="C617" s="7" t="str">
        <f t="shared" si="1"/>
        <v/>
      </c>
      <c r="D617" s="4" t="str">
        <f t="shared" si="9"/>
        <v/>
      </c>
      <c r="E617" s="4" t="str">
        <f t="array" ref="E617">XLOOKUP(A617,'Dados Funil'!$A:$A,'Dados Funil'!$K:$K,"")</f>
        <v/>
      </c>
      <c r="F617" s="4" t="str">
        <f t="array" ref="F617">XLOOKUP(A617,'Dados Funil'!$A:$A,'Dados Funil'!$L:$L,"")</f>
        <v/>
      </c>
      <c r="G617" s="4"/>
      <c r="H617" s="4"/>
      <c r="I617" s="7" t="str">
        <f t="shared" si="2"/>
        <v/>
      </c>
      <c r="J617" s="4" t="str">
        <f t="shared" si="10"/>
        <v/>
      </c>
      <c r="K617" s="4" t="str">
        <f t="array" ref="K617">XLOOKUP(G617,'Dados Funil'!A:A,'Dados Funil'!O:O,"")</f>
        <v/>
      </c>
      <c r="L617" s="4"/>
      <c r="M617" s="4"/>
      <c r="N617" s="7" t="str">
        <f t="shared" si="3"/>
        <v/>
      </c>
      <c r="O617" s="4" t="str">
        <f t="shared" si="11"/>
        <v/>
      </c>
      <c r="P617" s="4" t="str">
        <f t="array" ref="P617">XLOOKUP(L617,'Dados Funil'!A:A,'Dados Funil'!AM:AM,"")</f>
        <v/>
      </c>
      <c r="Q617" s="4" t="str">
        <f t="array" ref="Q617">XLOOKUP(L617,'Dados Funil'!A:A,'Dados Funil'!AN:AN,"")</f>
        <v/>
      </c>
      <c r="T617" s="7" t="str">
        <f t="shared" si="4"/>
        <v/>
      </c>
      <c r="U617" s="4" t="str">
        <f t="shared" si="12"/>
        <v/>
      </c>
      <c r="V617" s="4" t="str">
        <f t="array" ref="V617">XLOOKUP(R617,'Dados Funil'!$A:$A,'Dados Funil'!$K:$K,"")</f>
        <v/>
      </c>
      <c r="W617" s="4" t="str">
        <f t="array" ref="W617">XLOOKUP(R617,'Dados Funil'!$A:$A,'Dados Funil'!$L:$L,"")</f>
        <v/>
      </c>
      <c r="X617" s="4"/>
      <c r="Y617" s="4"/>
      <c r="Z617" s="7" t="str">
        <f t="shared" si="5"/>
        <v/>
      </c>
      <c r="AA617" s="4" t="str">
        <f t="shared" si="13"/>
        <v/>
      </c>
      <c r="AB617" s="4" t="str">
        <f t="array" ref="AB617">XLOOKUP(X617,'Dados Funil'!A:A,'Dados Funil'!O:O,"")</f>
        <v/>
      </c>
      <c r="AE617" s="7" t="str">
        <f t="shared" si="6"/>
        <v/>
      </c>
      <c r="AG617" s="4" t="str">
        <f t="array" ref="AG617">XLOOKUP(AC617,'Dados Funil'!A:A,'Dados Funil'!AM:AM,"")</f>
        <v/>
      </c>
      <c r="AH617" s="4" t="str">
        <f t="array" ref="AH617">XLOOKUP(AC617,'Dados Funil'!A:A,'Dados Funil'!AN:AN,"")</f>
        <v/>
      </c>
    </row>
    <row r="618">
      <c r="A618" s="4"/>
      <c r="B618" s="4"/>
      <c r="C618" s="7" t="str">
        <f t="shared" si="1"/>
        <v/>
      </c>
      <c r="D618" s="4" t="str">
        <f t="shared" si="9"/>
        <v/>
      </c>
      <c r="E618" s="4" t="str">
        <f t="array" ref="E618">XLOOKUP(A618,'Dados Funil'!$A:$A,'Dados Funil'!$K:$K,"")</f>
        <v/>
      </c>
      <c r="F618" s="4" t="str">
        <f t="array" ref="F618">XLOOKUP(A618,'Dados Funil'!$A:$A,'Dados Funil'!$L:$L,"")</f>
        <v/>
      </c>
      <c r="G618" s="4"/>
      <c r="H618" s="4"/>
      <c r="I618" s="7" t="str">
        <f t="shared" si="2"/>
        <v/>
      </c>
      <c r="J618" s="4" t="str">
        <f t="shared" si="10"/>
        <v/>
      </c>
      <c r="K618" s="4" t="str">
        <f t="array" ref="K618">XLOOKUP(G618,'Dados Funil'!A:A,'Dados Funil'!O:O,"")</f>
        <v/>
      </c>
      <c r="L618" s="4"/>
      <c r="M618" s="4"/>
      <c r="N618" s="7" t="str">
        <f t="shared" si="3"/>
        <v/>
      </c>
      <c r="O618" s="4" t="str">
        <f t="shared" si="11"/>
        <v/>
      </c>
      <c r="P618" s="4" t="str">
        <f t="array" ref="P618">XLOOKUP(L618,'Dados Funil'!A:A,'Dados Funil'!AM:AM,"")</f>
        <v/>
      </c>
      <c r="Q618" s="4" t="str">
        <f t="array" ref="Q618">XLOOKUP(L618,'Dados Funil'!A:A,'Dados Funil'!AN:AN,"")</f>
        <v/>
      </c>
      <c r="T618" s="7" t="str">
        <f t="shared" si="4"/>
        <v/>
      </c>
      <c r="U618" s="4" t="str">
        <f t="shared" si="12"/>
        <v/>
      </c>
      <c r="V618" s="4" t="str">
        <f t="array" ref="V618">XLOOKUP(R618,'Dados Funil'!$A:$A,'Dados Funil'!$K:$K,"")</f>
        <v/>
      </c>
      <c r="W618" s="4" t="str">
        <f t="array" ref="W618">XLOOKUP(R618,'Dados Funil'!$A:$A,'Dados Funil'!$L:$L,"")</f>
        <v/>
      </c>
      <c r="X618" s="4"/>
      <c r="Y618" s="4"/>
      <c r="Z618" s="7" t="str">
        <f t="shared" si="5"/>
        <v/>
      </c>
      <c r="AA618" s="4" t="str">
        <f t="shared" si="13"/>
        <v/>
      </c>
      <c r="AB618" s="4" t="str">
        <f t="array" ref="AB618">XLOOKUP(X618,'Dados Funil'!A:A,'Dados Funil'!O:O,"")</f>
        <v/>
      </c>
      <c r="AE618" s="7" t="str">
        <f t="shared" si="6"/>
        <v/>
      </c>
      <c r="AG618" s="4" t="str">
        <f t="array" ref="AG618">XLOOKUP(AC618,'Dados Funil'!A:A,'Dados Funil'!AM:AM,"")</f>
        <v/>
      </c>
      <c r="AH618" s="4" t="str">
        <f t="array" ref="AH618">XLOOKUP(AC618,'Dados Funil'!A:A,'Dados Funil'!AN:AN,"")</f>
        <v/>
      </c>
    </row>
    <row r="619">
      <c r="A619" s="4"/>
      <c r="B619" s="4"/>
      <c r="C619" s="7" t="str">
        <f t="shared" si="1"/>
        <v/>
      </c>
      <c r="D619" s="4" t="str">
        <f t="shared" si="9"/>
        <v/>
      </c>
      <c r="E619" s="4" t="str">
        <f t="array" ref="E619">XLOOKUP(A619,'Dados Funil'!$A:$A,'Dados Funil'!$K:$K,"")</f>
        <v/>
      </c>
      <c r="F619" s="4" t="str">
        <f t="array" ref="F619">XLOOKUP(A619,'Dados Funil'!$A:$A,'Dados Funil'!$L:$L,"")</f>
        <v/>
      </c>
      <c r="G619" s="4"/>
      <c r="H619" s="4"/>
      <c r="I619" s="7" t="str">
        <f t="shared" si="2"/>
        <v/>
      </c>
      <c r="J619" s="4" t="str">
        <f t="shared" si="10"/>
        <v/>
      </c>
      <c r="K619" s="4" t="str">
        <f t="array" ref="K619">XLOOKUP(G619,'Dados Funil'!A:A,'Dados Funil'!O:O,"")</f>
        <v/>
      </c>
      <c r="L619" s="4"/>
      <c r="M619" s="4"/>
      <c r="N619" s="7" t="str">
        <f t="shared" si="3"/>
        <v/>
      </c>
      <c r="O619" s="4" t="str">
        <f t="shared" si="11"/>
        <v/>
      </c>
      <c r="P619" s="4" t="str">
        <f t="array" ref="P619">XLOOKUP(L619,'Dados Funil'!A:A,'Dados Funil'!AM:AM,"")</f>
        <v/>
      </c>
      <c r="Q619" s="4" t="str">
        <f t="array" ref="Q619">XLOOKUP(L619,'Dados Funil'!A:A,'Dados Funil'!AN:AN,"")</f>
        <v/>
      </c>
      <c r="T619" s="7" t="str">
        <f t="shared" si="4"/>
        <v/>
      </c>
      <c r="U619" s="4" t="str">
        <f t="shared" si="12"/>
        <v/>
      </c>
      <c r="V619" s="4" t="str">
        <f t="array" ref="V619">XLOOKUP(R619,'Dados Funil'!$A:$A,'Dados Funil'!$K:$K,"")</f>
        <v/>
      </c>
      <c r="W619" s="4" t="str">
        <f t="array" ref="W619">XLOOKUP(R619,'Dados Funil'!$A:$A,'Dados Funil'!$L:$L,"")</f>
        <v/>
      </c>
      <c r="X619" s="4"/>
      <c r="Y619" s="4"/>
      <c r="Z619" s="7" t="str">
        <f t="shared" si="5"/>
        <v/>
      </c>
      <c r="AA619" s="4" t="str">
        <f t="shared" si="13"/>
        <v/>
      </c>
      <c r="AB619" s="4" t="str">
        <f t="array" ref="AB619">XLOOKUP(X619,'Dados Funil'!A:A,'Dados Funil'!O:O,"")</f>
        <v/>
      </c>
      <c r="AE619" s="7" t="str">
        <f t="shared" si="6"/>
        <v/>
      </c>
      <c r="AG619" s="4" t="str">
        <f t="array" ref="AG619">XLOOKUP(AC619,'Dados Funil'!A:A,'Dados Funil'!AM:AM,"")</f>
        <v/>
      </c>
      <c r="AH619" s="4" t="str">
        <f t="array" ref="AH619">XLOOKUP(AC619,'Dados Funil'!A:A,'Dados Funil'!AN:AN,"")</f>
        <v/>
      </c>
    </row>
    <row r="620">
      <c r="A620" s="4"/>
      <c r="B620" s="4"/>
      <c r="C620" s="7" t="str">
        <f t="shared" si="1"/>
        <v/>
      </c>
      <c r="D620" s="4" t="str">
        <f t="shared" si="9"/>
        <v/>
      </c>
      <c r="E620" s="4" t="str">
        <f t="array" ref="E620">XLOOKUP(A620,'Dados Funil'!$A:$A,'Dados Funil'!$K:$K,"")</f>
        <v/>
      </c>
      <c r="F620" s="4" t="str">
        <f t="array" ref="F620">XLOOKUP(A620,'Dados Funil'!$A:$A,'Dados Funil'!$L:$L,"")</f>
        <v/>
      </c>
      <c r="G620" s="4"/>
      <c r="H620" s="4"/>
      <c r="I620" s="7" t="str">
        <f t="shared" si="2"/>
        <v/>
      </c>
      <c r="J620" s="4" t="str">
        <f t="shared" si="10"/>
        <v/>
      </c>
      <c r="K620" s="4" t="str">
        <f t="array" ref="K620">XLOOKUP(G620,'Dados Funil'!A:A,'Dados Funil'!O:O,"")</f>
        <v/>
      </c>
      <c r="L620" s="4"/>
      <c r="M620" s="4"/>
      <c r="N620" s="7" t="str">
        <f t="shared" si="3"/>
        <v/>
      </c>
      <c r="O620" s="4" t="str">
        <f t="shared" si="11"/>
        <v/>
      </c>
      <c r="P620" s="4" t="str">
        <f t="array" ref="P620">XLOOKUP(L620,'Dados Funil'!A:A,'Dados Funil'!AM:AM,"")</f>
        <v/>
      </c>
      <c r="Q620" s="4" t="str">
        <f t="array" ref="Q620">XLOOKUP(L620,'Dados Funil'!A:A,'Dados Funil'!AN:AN,"")</f>
        <v/>
      </c>
      <c r="T620" s="7" t="str">
        <f t="shared" si="4"/>
        <v/>
      </c>
      <c r="U620" s="4" t="str">
        <f t="shared" si="12"/>
        <v/>
      </c>
      <c r="V620" s="4" t="str">
        <f t="array" ref="V620">XLOOKUP(R620,'Dados Funil'!$A:$A,'Dados Funil'!$K:$K,"")</f>
        <v/>
      </c>
      <c r="W620" s="4" t="str">
        <f t="array" ref="W620">XLOOKUP(R620,'Dados Funil'!$A:$A,'Dados Funil'!$L:$L,"")</f>
        <v/>
      </c>
      <c r="X620" s="4"/>
      <c r="Y620" s="4"/>
      <c r="Z620" s="7" t="str">
        <f t="shared" si="5"/>
        <v/>
      </c>
      <c r="AA620" s="4" t="str">
        <f t="shared" si="13"/>
        <v/>
      </c>
      <c r="AB620" s="4" t="str">
        <f t="array" ref="AB620">XLOOKUP(X620,'Dados Funil'!A:A,'Dados Funil'!O:O,"")</f>
        <v/>
      </c>
      <c r="AE620" s="7" t="str">
        <f t="shared" si="6"/>
        <v/>
      </c>
      <c r="AG620" s="4" t="str">
        <f t="array" ref="AG620">XLOOKUP(AC620,'Dados Funil'!A:A,'Dados Funil'!AM:AM,"")</f>
        <v/>
      </c>
      <c r="AH620" s="4" t="str">
        <f t="array" ref="AH620">XLOOKUP(AC620,'Dados Funil'!A:A,'Dados Funil'!AN:AN,"")</f>
        <v/>
      </c>
    </row>
    <row r="621">
      <c r="A621" s="4"/>
      <c r="B621" s="4"/>
      <c r="C621" s="7" t="str">
        <f t="shared" si="1"/>
        <v/>
      </c>
      <c r="D621" s="4" t="str">
        <f t="shared" si="9"/>
        <v/>
      </c>
      <c r="E621" s="4" t="str">
        <f t="array" ref="E621">XLOOKUP(A621,'Dados Funil'!$A:$A,'Dados Funil'!$K:$K,"")</f>
        <v/>
      </c>
      <c r="F621" s="4" t="str">
        <f t="array" ref="F621">XLOOKUP(A621,'Dados Funil'!$A:$A,'Dados Funil'!$L:$L,"")</f>
        <v/>
      </c>
      <c r="G621" s="4"/>
      <c r="H621" s="4"/>
      <c r="I621" s="7" t="str">
        <f t="shared" si="2"/>
        <v/>
      </c>
      <c r="J621" s="4" t="str">
        <f t="shared" si="10"/>
        <v/>
      </c>
      <c r="K621" s="4" t="str">
        <f t="array" ref="K621">XLOOKUP(G621,'Dados Funil'!A:A,'Dados Funil'!O:O,"")</f>
        <v/>
      </c>
      <c r="L621" s="4"/>
      <c r="M621" s="4"/>
      <c r="N621" s="7" t="str">
        <f t="shared" si="3"/>
        <v/>
      </c>
      <c r="O621" s="4" t="str">
        <f t="shared" si="11"/>
        <v/>
      </c>
      <c r="P621" s="4" t="str">
        <f t="array" ref="P621">XLOOKUP(L621,'Dados Funil'!A:A,'Dados Funil'!AM:AM,"")</f>
        <v/>
      </c>
      <c r="Q621" s="4" t="str">
        <f t="array" ref="Q621">XLOOKUP(L621,'Dados Funil'!A:A,'Dados Funil'!AN:AN,"")</f>
        <v/>
      </c>
      <c r="T621" s="7" t="str">
        <f t="shared" si="4"/>
        <v/>
      </c>
      <c r="U621" s="4" t="str">
        <f t="shared" si="12"/>
        <v/>
      </c>
      <c r="V621" s="4" t="str">
        <f t="array" ref="V621">XLOOKUP(R621,'Dados Funil'!$A:$A,'Dados Funil'!$K:$K,"")</f>
        <v/>
      </c>
      <c r="W621" s="4" t="str">
        <f t="array" ref="W621">XLOOKUP(R621,'Dados Funil'!$A:$A,'Dados Funil'!$L:$L,"")</f>
        <v/>
      </c>
      <c r="X621" s="4"/>
      <c r="Y621" s="4"/>
      <c r="Z621" s="7" t="str">
        <f t="shared" si="5"/>
        <v/>
      </c>
      <c r="AA621" s="4" t="str">
        <f t="shared" si="13"/>
        <v/>
      </c>
      <c r="AB621" s="4" t="str">
        <f t="array" ref="AB621">XLOOKUP(X621,'Dados Funil'!A:A,'Dados Funil'!O:O,"")</f>
        <v/>
      </c>
      <c r="AE621" s="7" t="str">
        <f t="shared" si="6"/>
        <v/>
      </c>
      <c r="AG621" s="4" t="str">
        <f t="array" ref="AG621">XLOOKUP(AC621,'Dados Funil'!A:A,'Dados Funil'!AM:AM,"")</f>
        <v/>
      </c>
      <c r="AH621" s="4" t="str">
        <f t="array" ref="AH621">XLOOKUP(AC621,'Dados Funil'!A:A,'Dados Funil'!AN:AN,"")</f>
        <v/>
      </c>
    </row>
    <row r="622">
      <c r="A622" s="4"/>
      <c r="B622" s="4"/>
      <c r="C622" s="7" t="str">
        <f t="shared" si="1"/>
        <v/>
      </c>
      <c r="D622" s="4" t="str">
        <f t="shared" si="9"/>
        <v/>
      </c>
      <c r="E622" s="4" t="str">
        <f t="array" ref="E622">XLOOKUP(A622,'Dados Funil'!$A:$A,'Dados Funil'!$K:$K,"")</f>
        <v/>
      </c>
      <c r="F622" s="4" t="str">
        <f t="array" ref="F622">XLOOKUP(A622,'Dados Funil'!$A:$A,'Dados Funil'!$L:$L,"")</f>
        <v/>
      </c>
      <c r="G622" s="4"/>
      <c r="H622" s="4"/>
      <c r="I622" s="7" t="str">
        <f t="shared" si="2"/>
        <v/>
      </c>
      <c r="J622" s="4" t="str">
        <f t="shared" si="10"/>
        <v/>
      </c>
      <c r="K622" s="4" t="str">
        <f t="array" ref="K622">XLOOKUP(G622,'Dados Funil'!A:A,'Dados Funil'!O:O,"")</f>
        <v/>
      </c>
      <c r="L622" s="4"/>
      <c r="M622" s="4"/>
      <c r="N622" s="7" t="str">
        <f t="shared" si="3"/>
        <v/>
      </c>
      <c r="O622" s="4" t="str">
        <f t="shared" si="11"/>
        <v/>
      </c>
      <c r="P622" s="4" t="str">
        <f t="array" ref="P622">XLOOKUP(L622,'Dados Funil'!A:A,'Dados Funil'!AM:AM,"")</f>
        <v/>
      </c>
      <c r="Q622" s="4" t="str">
        <f t="array" ref="Q622">XLOOKUP(L622,'Dados Funil'!A:A,'Dados Funil'!AN:AN,"")</f>
        <v/>
      </c>
      <c r="T622" s="7" t="str">
        <f t="shared" si="4"/>
        <v/>
      </c>
      <c r="U622" s="4" t="str">
        <f t="shared" si="12"/>
        <v/>
      </c>
      <c r="V622" s="4" t="str">
        <f t="array" ref="V622">XLOOKUP(R622,'Dados Funil'!$A:$A,'Dados Funil'!$K:$K,"")</f>
        <v/>
      </c>
      <c r="W622" s="4" t="str">
        <f t="array" ref="W622">XLOOKUP(R622,'Dados Funil'!$A:$A,'Dados Funil'!$L:$L,"")</f>
        <v/>
      </c>
      <c r="X622" s="4"/>
      <c r="Y622" s="4"/>
      <c r="Z622" s="7" t="str">
        <f t="shared" si="5"/>
        <v/>
      </c>
      <c r="AA622" s="4" t="str">
        <f t="shared" si="13"/>
        <v/>
      </c>
      <c r="AB622" s="4" t="str">
        <f t="array" ref="AB622">XLOOKUP(X622,'Dados Funil'!A:A,'Dados Funil'!O:O,"")</f>
        <v/>
      </c>
      <c r="AE622" s="7" t="str">
        <f t="shared" si="6"/>
        <v/>
      </c>
      <c r="AG622" s="4" t="str">
        <f t="array" ref="AG622">XLOOKUP(AC622,'Dados Funil'!A:A,'Dados Funil'!AM:AM,"")</f>
        <v/>
      </c>
      <c r="AH622" s="4" t="str">
        <f t="array" ref="AH622">XLOOKUP(AC622,'Dados Funil'!A:A,'Dados Funil'!AN:AN,"")</f>
        <v/>
      </c>
    </row>
    <row r="623">
      <c r="A623" s="4"/>
      <c r="B623" s="4"/>
      <c r="C623" s="7" t="str">
        <f t="shared" si="1"/>
        <v/>
      </c>
      <c r="D623" s="4" t="str">
        <f t="shared" si="9"/>
        <v/>
      </c>
      <c r="E623" s="4" t="str">
        <f t="array" ref="E623">XLOOKUP(A623,'Dados Funil'!$A:$A,'Dados Funil'!$K:$K,"")</f>
        <v/>
      </c>
      <c r="F623" s="4" t="str">
        <f t="array" ref="F623">XLOOKUP(A623,'Dados Funil'!$A:$A,'Dados Funil'!$L:$L,"")</f>
        <v/>
      </c>
      <c r="G623" s="4"/>
      <c r="H623" s="4"/>
      <c r="I623" s="7" t="str">
        <f t="shared" si="2"/>
        <v/>
      </c>
      <c r="J623" s="4" t="str">
        <f t="shared" si="10"/>
        <v/>
      </c>
      <c r="K623" s="4" t="str">
        <f t="array" ref="K623">XLOOKUP(G623,'Dados Funil'!A:A,'Dados Funil'!O:O,"")</f>
        <v/>
      </c>
      <c r="L623" s="4"/>
      <c r="M623" s="4"/>
      <c r="N623" s="7" t="str">
        <f t="shared" si="3"/>
        <v/>
      </c>
      <c r="O623" s="4" t="str">
        <f t="shared" si="11"/>
        <v/>
      </c>
      <c r="P623" s="4" t="str">
        <f t="array" ref="P623">XLOOKUP(L623,'Dados Funil'!A:A,'Dados Funil'!AM:AM,"")</f>
        <v/>
      </c>
      <c r="Q623" s="4" t="str">
        <f t="array" ref="Q623">XLOOKUP(L623,'Dados Funil'!A:A,'Dados Funil'!AN:AN,"")</f>
        <v/>
      </c>
      <c r="T623" s="7" t="str">
        <f t="shared" si="4"/>
        <v/>
      </c>
      <c r="U623" s="4" t="str">
        <f t="shared" si="12"/>
        <v/>
      </c>
      <c r="V623" s="4" t="str">
        <f t="array" ref="V623">XLOOKUP(R623,'Dados Funil'!$A:$A,'Dados Funil'!$K:$K,"")</f>
        <v/>
      </c>
      <c r="W623" s="4" t="str">
        <f t="array" ref="W623">XLOOKUP(R623,'Dados Funil'!$A:$A,'Dados Funil'!$L:$L,"")</f>
        <v/>
      </c>
      <c r="X623" s="4"/>
      <c r="Y623" s="4"/>
      <c r="Z623" s="7" t="str">
        <f t="shared" si="5"/>
        <v/>
      </c>
      <c r="AA623" s="4" t="str">
        <f t="shared" si="13"/>
        <v/>
      </c>
      <c r="AB623" s="4" t="str">
        <f t="array" ref="AB623">XLOOKUP(X623,'Dados Funil'!A:A,'Dados Funil'!O:O,"")</f>
        <v/>
      </c>
      <c r="AE623" s="7" t="str">
        <f t="shared" si="6"/>
        <v/>
      </c>
      <c r="AG623" s="4" t="str">
        <f t="array" ref="AG623">XLOOKUP(AC623,'Dados Funil'!A:A,'Dados Funil'!AM:AM,"")</f>
        <v/>
      </c>
      <c r="AH623" s="4" t="str">
        <f t="array" ref="AH623">XLOOKUP(AC623,'Dados Funil'!A:A,'Dados Funil'!AN:AN,"")</f>
        <v/>
      </c>
    </row>
    <row r="624">
      <c r="A624" s="4"/>
      <c r="B624" s="4"/>
      <c r="C624" s="7" t="str">
        <f t="shared" si="1"/>
        <v/>
      </c>
      <c r="D624" s="4" t="str">
        <f t="shared" si="9"/>
        <v/>
      </c>
      <c r="E624" s="4" t="str">
        <f t="array" ref="E624">XLOOKUP(A624,'Dados Funil'!$A:$A,'Dados Funil'!$K:$K,"")</f>
        <v/>
      </c>
      <c r="F624" s="4" t="str">
        <f t="array" ref="F624">XLOOKUP(A624,'Dados Funil'!$A:$A,'Dados Funil'!$L:$L,"")</f>
        <v/>
      </c>
      <c r="G624" s="4"/>
      <c r="H624" s="4"/>
      <c r="I624" s="7" t="str">
        <f t="shared" si="2"/>
        <v/>
      </c>
      <c r="J624" s="4" t="str">
        <f t="shared" si="10"/>
        <v/>
      </c>
      <c r="K624" s="4" t="str">
        <f t="array" ref="K624">XLOOKUP(G624,'Dados Funil'!A:A,'Dados Funil'!O:O,"")</f>
        <v/>
      </c>
      <c r="L624" s="4"/>
      <c r="M624" s="4"/>
      <c r="N624" s="7" t="str">
        <f t="shared" si="3"/>
        <v/>
      </c>
      <c r="O624" s="4" t="str">
        <f t="shared" si="11"/>
        <v/>
      </c>
      <c r="P624" s="4" t="str">
        <f t="array" ref="P624">XLOOKUP(L624,'Dados Funil'!A:A,'Dados Funil'!AM:AM,"")</f>
        <v/>
      </c>
      <c r="Q624" s="4" t="str">
        <f t="array" ref="Q624">XLOOKUP(L624,'Dados Funil'!A:A,'Dados Funil'!AN:AN,"")</f>
        <v/>
      </c>
      <c r="T624" s="7" t="str">
        <f t="shared" si="4"/>
        <v/>
      </c>
      <c r="U624" s="4" t="str">
        <f t="shared" si="12"/>
        <v/>
      </c>
      <c r="V624" s="4" t="str">
        <f t="array" ref="V624">XLOOKUP(R624,'Dados Funil'!$A:$A,'Dados Funil'!$K:$K,"")</f>
        <v/>
      </c>
      <c r="W624" s="4" t="str">
        <f t="array" ref="W624">XLOOKUP(R624,'Dados Funil'!$A:$A,'Dados Funil'!$L:$L,"")</f>
        <v/>
      </c>
      <c r="X624" s="4"/>
      <c r="Y624" s="4"/>
      <c r="Z624" s="7" t="str">
        <f t="shared" si="5"/>
        <v/>
      </c>
      <c r="AA624" s="4" t="str">
        <f t="shared" si="13"/>
        <v/>
      </c>
      <c r="AB624" s="4" t="str">
        <f t="array" ref="AB624">XLOOKUP(X624,'Dados Funil'!A:A,'Dados Funil'!O:O,"")</f>
        <v/>
      </c>
      <c r="AE624" s="7" t="str">
        <f t="shared" si="6"/>
        <v/>
      </c>
      <c r="AG624" s="4" t="str">
        <f t="array" ref="AG624">XLOOKUP(AC624,'Dados Funil'!A:A,'Dados Funil'!AM:AM,"")</f>
        <v/>
      </c>
      <c r="AH624" s="4" t="str">
        <f t="array" ref="AH624">XLOOKUP(AC624,'Dados Funil'!A:A,'Dados Funil'!AN:AN,"")</f>
        <v/>
      </c>
    </row>
    <row r="625">
      <c r="A625" s="4"/>
      <c r="B625" s="4"/>
      <c r="C625" s="7" t="str">
        <f t="shared" si="1"/>
        <v/>
      </c>
      <c r="D625" s="4" t="str">
        <f t="shared" si="9"/>
        <v/>
      </c>
      <c r="E625" s="4" t="str">
        <f t="array" ref="E625">XLOOKUP(A625,'Dados Funil'!$A:$A,'Dados Funil'!$K:$K,"")</f>
        <v/>
      </c>
      <c r="F625" s="4" t="str">
        <f t="array" ref="F625">XLOOKUP(A625,'Dados Funil'!$A:$A,'Dados Funil'!$L:$L,"")</f>
        <v/>
      </c>
      <c r="G625" s="4"/>
      <c r="H625" s="4"/>
      <c r="I625" s="7" t="str">
        <f t="shared" si="2"/>
        <v/>
      </c>
      <c r="J625" s="4" t="str">
        <f t="shared" si="10"/>
        <v/>
      </c>
      <c r="K625" s="4" t="str">
        <f t="array" ref="K625">XLOOKUP(G625,'Dados Funil'!A:A,'Dados Funil'!O:O,"")</f>
        <v/>
      </c>
      <c r="L625" s="4"/>
      <c r="M625" s="4"/>
      <c r="N625" s="7" t="str">
        <f t="shared" si="3"/>
        <v/>
      </c>
      <c r="O625" s="4" t="str">
        <f t="shared" si="11"/>
        <v/>
      </c>
      <c r="P625" s="4" t="str">
        <f t="array" ref="P625">XLOOKUP(L625,'Dados Funil'!A:A,'Dados Funil'!AM:AM,"")</f>
        <v/>
      </c>
      <c r="Q625" s="4" t="str">
        <f t="array" ref="Q625">XLOOKUP(L625,'Dados Funil'!A:A,'Dados Funil'!AN:AN,"")</f>
        <v/>
      </c>
      <c r="T625" s="7" t="str">
        <f t="shared" si="4"/>
        <v/>
      </c>
      <c r="U625" s="4" t="str">
        <f t="shared" si="12"/>
        <v/>
      </c>
      <c r="V625" s="4" t="str">
        <f t="array" ref="V625">XLOOKUP(R625,'Dados Funil'!$A:$A,'Dados Funil'!$K:$K,"")</f>
        <v/>
      </c>
      <c r="W625" s="4" t="str">
        <f t="array" ref="W625">XLOOKUP(R625,'Dados Funil'!$A:$A,'Dados Funil'!$L:$L,"")</f>
        <v/>
      </c>
      <c r="X625" s="4"/>
      <c r="Y625" s="4"/>
      <c r="Z625" s="7" t="str">
        <f t="shared" si="5"/>
        <v/>
      </c>
      <c r="AA625" s="4" t="str">
        <f t="shared" si="13"/>
        <v/>
      </c>
      <c r="AB625" s="4" t="str">
        <f t="array" ref="AB625">XLOOKUP(X625,'Dados Funil'!A:A,'Dados Funil'!O:O,"")</f>
        <v/>
      </c>
      <c r="AE625" s="7" t="str">
        <f t="shared" si="6"/>
        <v/>
      </c>
      <c r="AG625" s="4" t="str">
        <f t="array" ref="AG625">XLOOKUP(AC625,'Dados Funil'!A:A,'Dados Funil'!AM:AM,"")</f>
        <v/>
      </c>
      <c r="AH625" s="4" t="str">
        <f t="array" ref="AH625">XLOOKUP(AC625,'Dados Funil'!A:A,'Dados Funil'!AN:AN,"")</f>
        <v/>
      </c>
    </row>
    <row r="626">
      <c r="A626" s="4"/>
      <c r="B626" s="4"/>
      <c r="C626" s="7" t="str">
        <f t="shared" si="1"/>
        <v/>
      </c>
      <c r="D626" s="4" t="str">
        <f t="shared" si="9"/>
        <v/>
      </c>
      <c r="E626" s="4" t="str">
        <f t="array" ref="E626">XLOOKUP(A626,'Dados Funil'!$A:$A,'Dados Funil'!$K:$K,"")</f>
        <v/>
      </c>
      <c r="F626" s="4" t="str">
        <f t="array" ref="F626">XLOOKUP(A626,'Dados Funil'!$A:$A,'Dados Funil'!$L:$L,"")</f>
        <v/>
      </c>
      <c r="G626" s="4"/>
      <c r="H626" s="4"/>
      <c r="I626" s="7" t="str">
        <f t="shared" si="2"/>
        <v/>
      </c>
      <c r="J626" s="4" t="str">
        <f t="shared" si="10"/>
        <v/>
      </c>
      <c r="K626" s="4" t="str">
        <f t="array" ref="K626">XLOOKUP(G626,'Dados Funil'!A:A,'Dados Funil'!O:O,"")</f>
        <v/>
      </c>
      <c r="L626" s="4"/>
      <c r="M626" s="4"/>
      <c r="N626" s="7" t="str">
        <f t="shared" si="3"/>
        <v/>
      </c>
      <c r="O626" s="4" t="str">
        <f t="shared" si="11"/>
        <v/>
      </c>
      <c r="P626" s="4" t="str">
        <f t="array" ref="P626">XLOOKUP(L626,'Dados Funil'!A:A,'Dados Funil'!AM:AM,"")</f>
        <v/>
      </c>
      <c r="Q626" s="4" t="str">
        <f t="array" ref="Q626">XLOOKUP(L626,'Dados Funil'!A:A,'Dados Funil'!AN:AN,"")</f>
        <v/>
      </c>
      <c r="T626" s="7" t="str">
        <f t="shared" si="4"/>
        <v/>
      </c>
      <c r="U626" s="4" t="str">
        <f t="shared" si="12"/>
        <v/>
      </c>
      <c r="V626" s="4" t="str">
        <f t="array" ref="V626">XLOOKUP(R626,'Dados Funil'!$A:$A,'Dados Funil'!$K:$K,"")</f>
        <v/>
      </c>
      <c r="W626" s="4" t="str">
        <f t="array" ref="W626">XLOOKUP(R626,'Dados Funil'!$A:$A,'Dados Funil'!$L:$L,"")</f>
        <v/>
      </c>
      <c r="X626" s="4"/>
      <c r="Y626" s="4"/>
      <c r="Z626" s="7" t="str">
        <f t="shared" si="5"/>
        <v/>
      </c>
      <c r="AA626" s="4" t="str">
        <f t="shared" si="13"/>
        <v/>
      </c>
      <c r="AB626" s="4" t="str">
        <f t="array" ref="AB626">XLOOKUP(X626,'Dados Funil'!A:A,'Dados Funil'!O:O,"")</f>
        <v/>
      </c>
      <c r="AE626" s="7" t="str">
        <f t="shared" si="6"/>
        <v/>
      </c>
      <c r="AG626" s="4" t="str">
        <f t="array" ref="AG626">XLOOKUP(AC626,'Dados Funil'!A:A,'Dados Funil'!AM:AM,"")</f>
        <v/>
      </c>
      <c r="AH626" s="4" t="str">
        <f t="array" ref="AH626">XLOOKUP(AC626,'Dados Funil'!A:A,'Dados Funil'!AN:AN,"")</f>
        <v/>
      </c>
    </row>
    <row r="627">
      <c r="A627" s="4"/>
      <c r="B627" s="4"/>
      <c r="C627" s="7" t="str">
        <f t="shared" si="1"/>
        <v/>
      </c>
      <c r="D627" s="4" t="str">
        <f t="shared" si="9"/>
        <v/>
      </c>
      <c r="E627" s="4" t="str">
        <f t="array" ref="E627">XLOOKUP(A627,'Dados Funil'!$A:$A,'Dados Funil'!$K:$K,"")</f>
        <v/>
      </c>
      <c r="F627" s="4" t="str">
        <f t="array" ref="F627">XLOOKUP(A627,'Dados Funil'!$A:$A,'Dados Funil'!$L:$L,"")</f>
        <v/>
      </c>
      <c r="G627" s="4"/>
      <c r="H627" s="4"/>
      <c r="I627" s="7" t="str">
        <f t="shared" si="2"/>
        <v/>
      </c>
      <c r="J627" s="4" t="str">
        <f t="shared" si="10"/>
        <v/>
      </c>
      <c r="K627" s="4" t="str">
        <f t="array" ref="K627">XLOOKUP(G627,'Dados Funil'!A:A,'Dados Funil'!O:O,"")</f>
        <v/>
      </c>
      <c r="L627" s="4"/>
      <c r="M627" s="4"/>
      <c r="N627" s="7" t="str">
        <f t="shared" si="3"/>
        <v/>
      </c>
      <c r="O627" s="4" t="str">
        <f t="shared" si="11"/>
        <v/>
      </c>
      <c r="P627" s="4" t="str">
        <f t="array" ref="P627">XLOOKUP(L627,'Dados Funil'!A:A,'Dados Funil'!AM:AM,"")</f>
        <v/>
      </c>
      <c r="Q627" s="4" t="str">
        <f t="array" ref="Q627">XLOOKUP(L627,'Dados Funil'!A:A,'Dados Funil'!AN:AN,"")</f>
        <v/>
      </c>
      <c r="T627" s="7" t="str">
        <f t="shared" si="4"/>
        <v/>
      </c>
      <c r="U627" s="4" t="str">
        <f t="shared" si="12"/>
        <v/>
      </c>
      <c r="V627" s="4" t="str">
        <f t="array" ref="V627">XLOOKUP(R627,'Dados Funil'!$A:$A,'Dados Funil'!$K:$K,"")</f>
        <v/>
      </c>
      <c r="W627" s="4" t="str">
        <f t="array" ref="W627">XLOOKUP(R627,'Dados Funil'!$A:$A,'Dados Funil'!$L:$L,"")</f>
        <v/>
      </c>
      <c r="X627" s="4"/>
      <c r="Y627" s="4"/>
      <c r="Z627" s="7" t="str">
        <f t="shared" si="5"/>
        <v/>
      </c>
      <c r="AA627" s="4" t="str">
        <f t="shared" si="13"/>
        <v/>
      </c>
      <c r="AB627" s="4" t="str">
        <f t="array" ref="AB627">XLOOKUP(X627,'Dados Funil'!A:A,'Dados Funil'!O:O,"")</f>
        <v/>
      </c>
      <c r="AE627" s="7" t="str">
        <f t="shared" si="6"/>
        <v/>
      </c>
      <c r="AG627" s="4" t="str">
        <f t="array" ref="AG627">XLOOKUP(AC627,'Dados Funil'!A:A,'Dados Funil'!AM:AM,"")</f>
        <v/>
      </c>
      <c r="AH627" s="4" t="str">
        <f t="array" ref="AH627">XLOOKUP(AC627,'Dados Funil'!A:A,'Dados Funil'!AN:AN,"")</f>
        <v/>
      </c>
    </row>
    <row r="628">
      <c r="A628" s="4"/>
      <c r="B628" s="4"/>
      <c r="C628" s="7" t="str">
        <f t="shared" si="1"/>
        <v/>
      </c>
      <c r="D628" s="4" t="str">
        <f t="shared" si="9"/>
        <v/>
      </c>
      <c r="E628" s="4" t="str">
        <f t="array" ref="E628">XLOOKUP(A628,'Dados Funil'!$A:$A,'Dados Funil'!$K:$K,"")</f>
        <v/>
      </c>
      <c r="F628" s="4" t="str">
        <f t="array" ref="F628">XLOOKUP(A628,'Dados Funil'!$A:$A,'Dados Funil'!$L:$L,"")</f>
        <v/>
      </c>
      <c r="G628" s="4"/>
      <c r="H628" s="4"/>
      <c r="I628" s="7" t="str">
        <f t="shared" si="2"/>
        <v/>
      </c>
      <c r="J628" s="4" t="str">
        <f t="shared" si="10"/>
        <v/>
      </c>
      <c r="K628" s="4" t="str">
        <f t="array" ref="K628">XLOOKUP(G628,'Dados Funil'!A:A,'Dados Funil'!O:O,"")</f>
        <v/>
      </c>
      <c r="L628" s="4"/>
      <c r="M628" s="4"/>
      <c r="N628" s="7" t="str">
        <f t="shared" si="3"/>
        <v/>
      </c>
      <c r="O628" s="4" t="str">
        <f t="shared" si="11"/>
        <v/>
      </c>
      <c r="P628" s="4" t="str">
        <f t="array" ref="P628">XLOOKUP(L628,'Dados Funil'!A:A,'Dados Funil'!AM:AM,"")</f>
        <v/>
      </c>
      <c r="Q628" s="4" t="str">
        <f t="array" ref="Q628">XLOOKUP(L628,'Dados Funil'!A:A,'Dados Funil'!AN:AN,"")</f>
        <v/>
      </c>
      <c r="T628" s="7" t="str">
        <f t="shared" si="4"/>
        <v/>
      </c>
      <c r="U628" s="4" t="str">
        <f t="shared" si="12"/>
        <v/>
      </c>
      <c r="V628" s="4" t="str">
        <f t="array" ref="V628">XLOOKUP(R628,'Dados Funil'!$A:$A,'Dados Funil'!$K:$K,"")</f>
        <v/>
      </c>
      <c r="W628" s="4" t="str">
        <f t="array" ref="W628">XLOOKUP(R628,'Dados Funil'!$A:$A,'Dados Funil'!$L:$L,"")</f>
        <v/>
      </c>
      <c r="X628" s="4"/>
      <c r="Y628" s="4"/>
      <c r="Z628" s="7" t="str">
        <f t="shared" si="5"/>
        <v/>
      </c>
      <c r="AA628" s="4" t="str">
        <f t="shared" si="13"/>
        <v/>
      </c>
      <c r="AB628" s="4" t="str">
        <f t="array" ref="AB628">XLOOKUP(X628,'Dados Funil'!A:A,'Dados Funil'!O:O,"")</f>
        <v/>
      </c>
      <c r="AE628" s="7" t="str">
        <f t="shared" si="6"/>
        <v/>
      </c>
      <c r="AG628" s="4" t="str">
        <f t="array" ref="AG628">XLOOKUP(AC628,'Dados Funil'!A:A,'Dados Funil'!AM:AM,"")</f>
        <v/>
      </c>
      <c r="AH628" s="4" t="str">
        <f t="array" ref="AH628">XLOOKUP(AC628,'Dados Funil'!A:A,'Dados Funil'!AN:AN,"")</f>
        <v/>
      </c>
    </row>
    <row r="629">
      <c r="A629" s="4"/>
      <c r="B629" s="4"/>
      <c r="C629" s="7" t="str">
        <f t="shared" si="1"/>
        <v/>
      </c>
      <c r="D629" s="4" t="str">
        <f t="shared" si="9"/>
        <v/>
      </c>
      <c r="E629" s="4" t="str">
        <f t="array" ref="E629">XLOOKUP(A629,'Dados Funil'!$A:$A,'Dados Funil'!$K:$K,"")</f>
        <v/>
      </c>
      <c r="F629" s="4" t="str">
        <f t="array" ref="F629">XLOOKUP(A629,'Dados Funil'!$A:$A,'Dados Funil'!$L:$L,"")</f>
        <v/>
      </c>
      <c r="G629" s="4"/>
      <c r="H629" s="4"/>
      <c r="I629" s="7" t="str">
        <f t="shared" si="2"/>
        <v/>
      </c>
      <c r="J629" s="4" t="str">
        <f t="shared" si="10"/>
        <v/>
      </c>
      <c r="K629" s="4" t="str">
        <f t="array" ref="K629">XLOOKUP(G629,'Dados Funil'!A:A,'Dados Funil'!O:O,"")</f>
        <v/>
      </c>
      <c r="L629" s="4"/>
      <c r="M629" s="4"/>
      <c r="N629" s="7" t="str">
        <f t="shared" si="3"/>
        <v/>
      </c>
      <c r="O629" s="4" t="str">
        <f t="shared" si="11"/>
        <v/>
      </c>
      <c r="P629" s="4" t="str">
        <f t="array" ref="P629">XLOOKUP(L629,'Dados Funil'!A:A,'Dados Funil'!AM:AM,"")</f>
        <v/>
      </c>
      <c r="Q629" s="4" t="str">
        <f t="array" ref="Q629">XLOOKUP(L629,'Dados Funil'!A:A,'Dados Funil'!AN:AN,"")</f>
        <v/>
      </c>
      <c r="T629" s="7" t="str">
        <f t="shared" si="4"/>
        <v/>
      </c>
      <c r="U629" s="4" t="str">
        <f t="shared" si="12"/>
        <v/>
      </c>
      <c r="V629" s="4" t="str">
        <f t="array" ref="V629">XLOOKUP(R629,'Dados Funil'!$A:$A,'Dados Funil'!$K:$K,"")</f>
        <v/>
      </c>
      <c r="W629" s="4" t="str">
        <f t="array" ref="W629">XLOOKUP(R629,'Dados Funil'!$A:$A,'Dados Funil'!$L:$L,"")</f>
        <v/>
      </c>
      <c r="X629" s="4"/>
      <c r="Y629" s="4"/>
      <c r="Z629" s="7" t="str">
        <f t="shared" si="5"/>
        <v/>
      </c>
      <c r="AA629" s="4" t="str">
        <f t="shared" si="13"/>
        <v/>
      </c>
      <c r="AB629" s="4" t="str">
        <f t="array" ref="AB629">XLOOKUP(X629,'Dados Funil'!A:A,'Dados Funil'!O:O,"")</f>
        <v/>
      </c>
      <c r="AE629" s="7" t="str">
        <f t="shared" si="6"/>
        <v/>
      </c>
      <c r="AG629" s="4" t="str">
        <f t="array" ref="AG629">XLOOKUP(AC629,'Dados Funil'!A:A,'Dados Funil'!AM:AM,"")</f>
        <v/>
      </c>
      <c r="AH629" s="4" t="str">
        <f t="array" ref="AH629">XLOOKUP(AC629,'Dados Funil'!A:A,'Dados Funil'!AN:AN,"")</f>
        <v/>
      </c>
    </row>
    <row r="630">
      <c r="A630" s="4"/>
      <c r="B630" s="4"/>
      <c r="C630" s="7" t="str">
        <f t="shared" si="1"/>
        <v/>
      </c>
      <c r="D630" s="4" t="str">
        <f t="shared" si="9"/>
        <v/>
      </c>
      <c r="E630" s="4" t="str">
        <f t="array" ref="E630">XLOOKUP(A630,'Dados Funil'!$A:$A,'Dados Funil'!$K:$K,"")</f>
        <v/>
      </c>
      <c r="F630" s="4" t="str">
        <f t="array" ref="F630">XLOOKUP(A630,'Dados Funil'!$A:$A,'Dados Funil'!$L:$L,"")</f>
        <v/>
      </c>
      <c r="G630" s="4"/>
      <c r="H630" s="4"/>
      <c r="I630" s="7" t="str">
        <f t="shared" si="2"/>
        <v/>
      </c>
      <c r="J630" s="4" t="str">
        <f t="shared" si="10"/>
        <v/>
      </c>
      <c r="K630" s="4" t="str">
        <f t="array" ref="K630">XLOOKUP(G630,'Dados Funil'!A:A,'Dados Funil'!O:O,"")</f>
        <v/>
      </c>
      <c r="L630" s="4"/>
      <c r="M630" s="4"/>
      <c r="N630" s="7" t="str">
        <f t="shared" si="3"/>
        <v/>
      </c>
      <c r="O630" s="4" t="str">
        <f t="shared" si="11"/>
        <v/>
      </c>
      <c r="P630" s="4" t="str">
        <f t="array" ref="P630">XLOOKUP(L630,'Dados Funil'!A:A,'Dados Funil'!AM:AM,"")</f>
        <v/>
      </c>
      <c r="Q630" s="4" t="str">
        <f t="array" ref="Q630">XLOOKUP(L630,'Dados Funil'!A:A,'Dados Funil'!AN:AN,"")</f>
        <v/>
      </c>
      <c r="T630" s="7" t="str">
        <f t="shared" si="4"/>
        <v/>
      </c>
      <c r="U630" s="4" t="str">
        <f t="shared" si="12"/>
        <v/>
      </c>
      <c r="V630" s="4" t="str">
        <f t="array" ref="V630">XLOOKUP(R630,'Dados Funil'!$A:$A,'Dados Funil'!$K:$K,"")</f>
        <v/>
      </c>
      <c r="W630" s="4" t="str">
        <f t="array" ref="W630">XLOOKUP(R630,'Dados Funil'!$A:$A,'Dados Funil'!$L:$L,"")</f>
        <v/>
      </c>
      <c r="X630" s="4"/>
      <c r="Y630" s="4"/>
      <c r="Z630" s="7" t="str">
        <f t="shared" si="5"/>
        <v/>
      </c>
      <c r="AA630" s="4" t="str">
        <f t="shared" si="13"/>
        <v/>
      </c>
      <c r="AB630" s="4" t="str">
        <f t="array" ref="AB630">XLOOKUP(X630,'Dados Funil'!A:A,'Dados Funil'!O:O,"")</f>
        <v/>
      </c>
      <c r="AE630" s="7" t="str">
        <f t="shared" si="6"/>
        <v/>
      </c>
      <c r="AG630" s="4" t="str">
        <f t="array" ref="AG630">XLOOKUP(AC630,'Dados Funil'!A:A,'Dados Funil'!AM:AM,"")</f>
        <v/>
      </c>
      <c r="AH630" s="4" t="str">
        <f t="array" ref="AH630">XLOOKUP(AC630,'Dados Funil'!A:A,'Dados Funil'!AN:AN,"")</f>
        <v/>
      </c>
    </row>
    <row r="631">
      <c r="A631" s="4"/>
      <c r="B631" s="4"/>
      <c r="C631" s="7" t="str">
        <f t="shared" si="1"/>
        <v/>
      </c>
      <c r="D631" s="4" t="str">
        <f t="shared" si="9"/>
        <v/>
      </c>
      <c r="E631" s="4" t="str">
        <f t="array" ref="E631">XLOOKUP(A631,'Dados Funil'!$A:$A,'Dados Funil'!$K:$K,"")</f>
        <v/>
      </c>
      <c r="F631" s="4" t="str">
        <f t="array" ref="F631">XLOOKUP(A631,'Dados Funil'!$A:$A,'Dados Funil'!$L:$L,"")</f>
        <v/>
      </c>
      <c r="G631" s="4"/>
      <c r="H631" s="4"/>
      <c r="I631" s="7" t="str">
        <f t="shared" si="2"/>
        <v/>
      </c>
      <c r="J631" s="4" t="str">
        <f t="shared" si="10"/>
        <v/>
      </c>
      <c r="K631" s="4" t="str">
        <f t="array" ref="K631">XLOOKUP(G631,'Dados Funil'!A:A,'Dados Funil'!O:O,"")</f>
        <v/>
      </c>
      <c r="L631" s="4"/>
      <c r="M631" s="4"/>
      <c r="N631" s="7" t="str">
        <f t="shared" si="3"/>
        <v/>
      </c>
      <c r="O631" s="4" t="str">
        <f t="shared" si="11"/>
        <v/>
      </c>
      <c r="P631" s="4" t="str">
        <f t="array" ref="P631">XLOOKUP(L631,'Dados Funil'!A:A,'Dados Funil'!AM:AM,"")</f>
        <v/>
      </c>
      <c r="Q631" s="4" t="str">
        <f t="array" ref="Q631">XLOOKUP(L631,'Dados Funil'!A:A,'Dados Funil'!AN:AN,"")</f>
        <v/>
      </c>
      <c r="T631" s="7" t="str">
        <f t="shared" si="4"/>
        <v/>
      </c>
      <c r="U631" s="4" t="str">
        <f t="shared" si="12"/>
        <v/>
      </c>
      <c r="V631" s="4" t="str">
        <f t="array" ref="V631">XLOOKUP(R631,'Dados Funil'!$A:$A,'Dados Funil'!$K:$K,"")</f>
        <v/>
      </c>
      <c r="W631" s="4" t="str">
        <f t="array" ref="W631">XLOOKUP(R631,'Dados Funil'!$A:$A,'Dados Funil'!$L:$L,"")</f>
        <v/>
      </c>
      <c r="X631" s="4"/>
      <c r="Y631" s="4"/>
      <c r="Z631" s="7" t="str">
        <f t="shared" si="5"/>
        <v/>
      </c>
      <c r="AA631" s="4" t="str">
        <f t="shared" si="13"/>
        <v/>
      </c>
      <c r="AB631" s="4" t="str">
        <f t="array" ref="AB631">XLOOKUP(X631,'Dados Funil'!A:A,'Dados Funil'!O:O,"")</f>
        <v/>
      </c>
      <c r="AE631" s="7" t="str">
        <f t="shared" si="6"/>
        <v/>
      </c>
      <c r="AG631" s="4" t="str">
        <f t="array" ref="AG631">XLOOKUP(AC631,'Dados Funil'!A:A,'Dados Funil'!AM:AM,"")</f>
        <v/>
      </c>
      <c r="AH631" s="4" t="str">
        <f t="array" ref="AH631">XLOOKUP(AC631,'Dados Funil'!A:A,'Dados Funil'!AN:AN,"")</f>
        <v/>
      </c>
    </row>
    <row r="632">
      <c r="A632" s="4"/>
      <c r="B632" s="4"/>
      <c r="C632" s="7" t="str">
        <f t="shared" si="1"/>
        <v/>
      </c>
      <c r="D632" s="4" t="str">
        <f t="shared" si="9"/>
        <v/>
      </c>
      <c r="E632" s="4" t="str">
        <f t="array" ref="E632">XLOOKUP(A632,'Dados Funil'!$A:$A,'Dados Funil'!$K:$K,"")</f>
        <v/>
      </c>
      <c r="F632" s="4" t="str">
        <f t="array" ref="F632">XLOOKUP(A632,'Dados Funil'!$A:$A,'Dados Funil'!$L:$L,"")</f>
        <v/>
      </c>
      <c r="G632" s="4"/>
      <c r="H632" s="4"/>
      <c r="I632" s="7" t="str">
        <f t="shared" si="2"/>
        <v/>
      </c>
      <c r="J632" s="4" t="str">
        <f t="shared" si="10"/>
        <v/>
      </c>
      <c r="K632" s="4" t="str">
        <f t="array" ref="K632">XLOOKUP(G632,'Dados Funil'!A:A,'Dados Funil'!O:O,"")</f>
        <v/>
      </c>
      <c r="L632" s="4"/>
      <c r="M632" s="4"/>
      <c r="N632" s="7" t="str">
        <f t="shared" si="3"/>
        <v/>
      </c>
      <c r="O632" s="4" t="str">
        <f t="shared" si="11"/>
        <v/>
      </c>
      <c r="P632" s="4" t="str">
        <f t="array" ref="P632">XLOOKUP(L632,'Dados Funil'!A:A,'Dados Funil'!AM:AM,"")</f>
        <v/>
      </c>
      <c r="Q632" s="4" t="str">
        <f t="array" ref="Q632">XLOOKUP(L632,'Dados Funil'!A:A,'Dados Funil'!AN:AN,"")</f>
        <v/>
      </c>
      <c r="T632" s="7" t="str">
        <f t="shared" si="4"/>
        <v/>
      </c>
      <c r="U632" s="4" t="str">
        <f t="shared" si="12"/>
        <v/>
      </c>
      <c r="V632" s="4" t="str">
        <f t="array" ref="V632">XLOOKUP(R632,'Dados Funil'!$A:$A,'Dados Funil'!$K:$K,"")</f>
        <v/>
      </c>
      <c r="W632" s="4" t="str">
        <f t="array" ref="W632">XLOOKUP(R632,'Dados Funil'!$A:$A,'Dados Funil'!$L:$L,"")</f>
        <v/>
      </c>
      <c r="X632" s="4"/>
      <c r="Y632" s="4"/>
      <c r="Z632" s="7" t="str">
        <f t="shared" si="5"/>
        <v/>
      </c>
      <c r="AA632" s="4" t="str">
        <f t="shared" si="13"/>
        <v/>
      </c>
      <c r="AB632" s="4" t="str">
        <f t="array" ref="AB632">XLOOKUP(X632,'Dados Funil'!A:A,'Dados Funil'!O:O,"")</f>
        <v/>
      </c>
      <c r="AE632" s="7" t="str">
        <f t="shared" si="6"/>
        <v/>
      </c>
      <c r="AG632" s="4" t="str">
        <f t="array" ref="AG632">XLOOKUP(AC632,'Dados Funil'!A:A,'Dados Funil'!AM:AM,"")</f>
        <v/>
      </c>
      <c r="AH632" s="4" t="str">
        <f t="array" ref="AH632">XLOOKUP(AC632,'Dados Funil'!A:A,'Dados Funil'!AN:AN,"")</f>
        <v/>
      </c>
    </row>
    <row r="633">
      <c r="A633" s="4"/>
      <c r="B633" s="4"/>
      <c r="C633" s="7" t="str">
        <f t="shared" si="1"/>
        <v/>
      </c>
      <c r="D633" s="4" t="str">
        <f t="shared" si="9"/>
        <v/>
      </c>
      <c r="E633" s="4" t="str">
        <f t="array" ref="E633">XLOOKUP(A633,'Dados Funil'!$A:$A,'Dados Funil'!$K:$K,"")</f>
        <v/>
      </c>
      <c r="F633" s="4" t="str">
        <f t="array" ref="F633">XLOOKUP(A633,'Dados Funil'!$A:$A,'Dados Funil'!$L:$L,"")</f>
        <v/>
      </c>
      <c r="G633" s="4"/>
      <c r="H633" s="4"/>
      <c r="I633" s="7" t="str">
        <f t="shared" si="2"/>
        <v/>
      </c>
      <c r="J633" s="4" t="str">
        <f t="shared" si="10"/>
        <v/>
      </c>
      <c r="K633" s="4" t="str">
        <f t="array" ref="K633">XLOOKUP(G633,'Dados Funil'!A:A,'Dados Funil'!O:O,"")</f>
        <v/>
      </c>
      <c r="L633" s="4"/>
      <c r="M633" s="4"/>
      <c r="N633" s="7" t="str">
        <f t="shared" si="3"/>
        <v/>
      </c>
      <c r="O633" s="4" t="str">
        <f t="shared" si="11"/>
        <v/>
      </c>
      <c r="P633" s="4" t="str">
        <f t="array" ref="P633">XLOOKUP(L633,'Dados Funil'!A:A,'Dados Funil'!AM:AM,"")</f>
        <v/>
      </c>
      <c r="Q633" s="4" t="str">
        <f t="array" ref="Q633">XLOOKUP(L633,'Dados Funil'!A:A,'Dados Funil'!AN:AN,"")</f>
        <v/>
      </c>
      <c r="T633" s="7" t="str">
        <f t="shared" si="4"/>
        <v/>
      </c>
      <c r="U633" s="4" t="str">
        <f t="shared" si="12"/>
        <v/>
      </c>
      <c r="V633" s="4" t="str">
        <f t="array" ref="V633">XLOOKUP(R633,'Dados Funil'!$A:$A,'Dados Funil'!$K:$K,"")</f>
        <v/>
      </c>
      <c r="W633" s="4" t="str">
        <f t="array" ref="W633">XLOOKUP(R633,'Dados Funil'!$A:$A,'Dados Funil'!$L:$L,"")</f>
        <v/>
      </c>
      <c r="X633" s="4"/>
      <c r="Y633" s="4"/>
      <c r="Z633" s="7" t="str">
        <f t="shared" si="5"/>
        <v/>
      </c>
      <c r="AA633" s="4" t="str">
        <f t="shared" si="13"/>
        <v/>
      </c>
      <c r="AB633" s="4" t="str">
        <f t="array" ref="AB633">XLOOKUP(X633,'Dados Funil'!A:A,'Dados Funil'!O:O,"")</f>
        <v/>
      </c>
      <c r="AE633" s="7" t="str">
        <f t="shared" si="6"/>
        <v/>
      </c>
      <c r="AG633" s="4" t="str">
        <f t="array" ref="AG633">XLOOKUP(AC633,'Dados Funil'!A:A,'Dados Funil'!AM:AM,"")</f>
        <v/>
      </c>
      <c r="AH633" s="4" t="str">
        <f t="array" ref="AH633">XLOOKUP(AC633,'Dados Funil'!A:A,'Dados Funil'!AN:AN,"")</f>
        <v/>
      </c>
    </row>
    <row r="634">
      <c r="A634" s="4"/>
      <c r="B634" s="4"/>
      <c r="C634" s="7" t="str">
        <f t="shared" si="1"/>
        <v/>
      </c>
      <c r="D634" s="4" t="str">
        <f t="shared" si="9"/>
        <v/>
      </c>
      <c r="E634" s="4" t="str">
        <f t="array" ref="E634">XLOOKUP(A634,'Dados Funil'!$A:$A,'Dados Funil'!$K:$K,"")</f>
        <v/>
      </c>
      <c r="F634" s="4" t="str">
        <f t="array" ref="F634">XLOOKUP(A634,'Dados Funil'!$A:$A,'Dados Funil'!$L:$L,"")</f>
        <v/>
      </c>
      <c r="G634" s="4"/>
      <c r="H634" s="4"/>
      <c r="I634" s="7" t="str">
        <f t="shared" si="2"/>
        <v/>
      </c>
      <c r="J634" s="4" t="str">
        <f t="shared" si="10"/>
        <v/>
      </c>
      <c r="K634" s="4" t="str">
        <f t="array" ref="K634">XLOOKUP(G634,'Dados Funil'!A:A,'Dados Funil'!O:O,"")</f>
        <v/>
      </c>
      <c r="L634" s="4"/>
      <c r="M634" s="4"/>
      <c r="N634" s="7" t="str">
        <f t="shared" si="3"/>
        <v/>
      </c>
      <c r="O634" s="4" t="str">
        <f t="shared" si="11"/>
        <v/>
      </c>
      <c r="P634" s="4" t="str">
        <f t="array" ref="P634">XLOOKUP(L634,'Dados Funil'!A:A,'Dados Funil'!AM:AM,"")</f>
        <v/>
      </c>
      <c r="Q634" s="4" t="str">
        <f t="array" ref="Q634">XLOOKUP(L634,'Dados Funil'!A:A,'Dados Funil'!AN:AN,"")</f>
        <v/>
      </c>
      <c r="T634" s="7" t="str">
        <f t="shared" si="4"/>
        <v/>
      </c>
      <c r="U634" s="4" t="str">
        <f t="shared" si="12"/>
        <v/>
      </c>
      <c r="V634" s="4" t="str">
        <f t="array" ref="V634">XLOOKUP(R634,'Dados Funil'!$A:$A,'Dados Funil'!$K:$K,"")</f>
        <v/>
      </c>
      <c r="W634" s="4" t="str">
        <f t="array" ref="W634">XLOOKUP(R634,'Dados Funil'!$A:$A,'Dados Funil'!$L:$L,"")</f>
        <v/>
      </c>
      <c r="X634" s="4"/>
      <c r="Y634" s="4"/>
      <c r="Z634" s="7" t="str">
        <f t="shared" si="5"/>
        <v/>
      </c>
      <c r="AA634" s="4" t="str">
        <f t="shared" si="13"/>
        <v/>
      </c>
      <c r="AB634" s="4" t="str">
        <f t="array" ref="AB634">XLOOKUP(X634,'Dados Funil'!A:A,'Dados Funil'!O:O,"")</f>
        <v/>
      </c>
      <c r="AE634" s="7" t="str">
        <f t="shared" si="6"/>
        <v/>
      </c>
      <c r="AG634" s="4" t="str">
        <f t="array" ref="AG634">XLOOKUP(AC634,'Dados Funil'!A:A,'Dados Funil'!AM:AM,"")</f>
        <v/>
      </c>
      <c r="AH634" s="4" t="str">
        <f t="array" ref="AH634">XLOOKUP(AC634,'Dados Funil'!A:A,'Dados Funil'!AN:AN,"")</f>
        <v/>
      </c>
    </row>
    <row r="635">
      <c r="A635" s="4"/>
      <c r="B635" s="4"/>
      <c r="C635" s="7" t="str">
        <f t="shared" si="1"/>
        <v/>
      </c>
      <c r="D635" s="4" t="str">
        <f t="shared" si="9"/>
        <v/>
      </c>
      <c r="E635" s="4" t="str">
        <f t="array" ref="E635">XLOOKUP(A635,'Dados Funil'!$A:$A,'Dados Funil'!$K:$K,"")</f>
        <v/>
      </c>
      <c r="F635" s="4" t="str">
        <f t="array" ref="F635">XLOOKUP(A635,'Dados Funil'!$A:$A,'Dados Funil'!$L:$L,"")</f>
        <v/>
      </c>
      <c r="G635" s="4"/>
      <c r="H635" s="4"/>
      <c r="I635" s="7" t="str">
        <f t="shared" si="2"/>
        <v/>
      </c>
      <c r="J635" s="4" t="str">
        <f t="shared" si="10"/>
        <v/>
      </c>
      <c r="K635" s="4" t="str">
        <f t="array" ref="K635">XLOOKUP(G635,'Dados Funil'!A:A,'Dados Funil'!O:O,"")</f>
        <v/>
      </c>
      <c r="L635" s="4"/>
      <c r="M635" s="4"/>
      <c r="N635" s="7" t="str">
        <f t="shared" si="3"/>
        <v/>
      </c>
      <c r="O635" s="4" t="str">
        <f t="shared" si="11"/>
        <v/>
      </c>
      <c r="P635" s="4" t="str">
        <f t="array" ref="P635">XLOOKUP(L635,'Dados Funil'!A:A,'Dados Funil'!AM:AM,"")</f>
        <v/>
      </c>
      <c r="Q635" s="4" t="str">
        <f t="array" ref="Q635">XLOOKUP(L635,'Dados Funil'!A:A,'Dados Funil'!AN:AN,"")</f>
        <v/>
      </c>
      <c r="T635" s="7" t="str">
        <f t="shared" si="4"/>
        <v/>
      </c>
      <c r="U635" s="4" t="str">
        <f t="shared" si="12"/>
        <v/>
      </c>
      <c r="V635" s="4" t="str">
        <f t="array" ref="V635">XLOOKUP(R635,'Dados Funil'!$A:$A,'Dados Funil'!$K:$K,"")</f>
        <v/>
      </c>
      <c r="W635" s="4" t="str">
        <f t="array" ref="W635">XLOOKUP(R635,'Dados Funil'!$A:$A,'Dados Funil'!$L:$L,"")</f>
        <v/>
      </c>
      <c r="X635" s="4"/>
      <c r="Y635" s="4"/>
      <c r="Z635" s="7" t="str">
        <f t="shared" si="5"/>
        <v/>
      </c>
      <c r="AA635" s="4" t="str">
        <f t="shared" si="13"/>
        <v/>
      </c>
      <c r="AB635" s="4" t="str">
        <f t="array" ref="AB635">XLOOKUP(X635,'Dados Funil'!A:A,'Dados Funil'!O:O,"")</f>
        <v/>
      </c>
      <c r="AE635" s="7" t="str">
        <f t="shared" si="6"/>
        <v/>
      </c>
      <c r="AG635" s="4" t="str">
        <f t="array" ref="AG635">XLOOKUP(AC635,'Dados Funil'!A:A,'Dados Funil'!AM:AM,"")</f>
        <v/>
      </c>
      <c r="AH635" s="4" t="str">
        <f t="array" ref="AH635">XLOOKUP(AC635,'Dados Funil'!A:A,'Dados Funil'!AN:AN,"")</f>
        <v/>
      </c>
    </row>
    <row r="636">
      <c r="A636" s="4"/>
      <c r="B636" s="4"/>
      <c r="C636" s="7" t="str">
        <f t="shared" si="1"/>
        <v/>
      </c>
      <c r="D636" s="4" t="str">
        <f t="shared" si="9"/>
        <v/>
      </c>
      <c r="E636" s="4" t="str">
        <f t="array" ref="E636">XLOOKUP(A636,'Dados Funil'!$A:$A,'Dados Funil'!$K:$K,"")</f>
        <v/>
      </c>
      <c r="F636" s="4" t="str">
        <f t="array" ref="F636">XLOOKUP(A636,'Dados Funil'!$A:$A,'Dados Funil'!$L:$L,"")</f>
        <v/>
      </c>
      <c r="G636" s="4"/>
      <c r="H636" s="4"/>
      <c r="I636" s="7" t="str">
        <f t="shared" si="2"/>
        <v/>
      </c>
      <c r="J636" s="4" t="str">
        <f t="shared" si="10"/>
        <v/>
      </c>
      <c r="K636" s="4" t="str">
        <f t="array" ref="K636">XLOOKUP(G636,'Dados Funil'!A:A,'Dados Funil'!O:O,"")</f>
        <v/>
      </c>
      <c r="L636" s="4"/>
      <c r="M636" s="4"/>
      <c r="N636" s="7" t="str">
        <f t="shared" si="3"/>
        <v/>
      </c>
      <c r="O636" s="4" t="str">
        <f t="shared" si="11"/>
        <v/>
      </c>
      <c r="P636" s="4" t="str">
        <f t="array" ref="P636">XLOOKUP(L636,'Dados Funil'!A:A,'Dados Funil'!AM:AM,"")</f>
        <v/>
      </c>
      <c r="Q636" s="4" t="str">
        <f t="array" ref="Q636">XLOOKUP(L636,'Dados Funil'!A:A,'Dados Funil'!AN:AN,"")</f>
        <v/>
      </c>
      <c r="T636" s="7" t="str">
        <f t="shared" si="4"/>
        <v/>
      </c>
      <c r="U636" s="4" t="str">
        <f t="shared" si="12"/>
        <v/>
      </c>
      <c r="V636" s="4" t="str">
        <f t="array" ref="V636">XLOOKUP(R636,'Dados Funil'!$A:$A,'Dados Funil'!$K:$K,"")</f>
        <v/>
      </c>
      <c r="W636" s="4" t="str">
        <f t="array" ref="W636">XLOOKUP(R636,'Dados Funil'!$A:$A,'Dados Funil'!$L:$L,"")</f>
        <v/>
      </c>
      <c r="X636" s="4"/>
      <c r="Y636" s="4"/>
      <c r="Z636" s="7" t="str">
        <f t="shared" si="5"/>
        <v/>
      </c>
      <c r="AA636" s="4" t="str">
        <f t="shared" si="13"/>
        <v/>
      </c>
      <c r="AB636" s="4" t="str">
        <f t="array" ref="AB636">XLOOKUP(X636,'Dados Funil'!A:A,'Dados Funil'!O:O,"")</f>
        <v/>
      </c>
      <c r="AE636" s="7" t="str">
        <f t="shared" si="6"/>
        <v/>
      </c>
      <c r="AG636" s="4" t="str">
        <f t="array" ref="AG636">XLOOKUP(AC636,'Dados Funil'!A:A,'Dados Funil'!AM:AM,"")</f>
        <v/>
      </c>
      <c r="AH636" s="4" t="str">
        <f t="array" ref="AH636">XLOOKUP(AC636,'Dados Funil'!A:A,'Dados Funil'!AN:AN,"")</f>
        <v/>
      </c>
    </row>
    <row r="637">
      <c r="A637" s="4"/>
      <c r="B637" s="4"/>
      <c r="C637" s="7" t="str">
        <f t="shared" si="1"/>
        <v/>
      </c>
      <c r="D637" s="4" t="str">
        <f t="shared" si="9"/>
        <v/>
      </c>
      <c r="E637" s="4" t="str">
        <f t="array" ref="E637">XLOOKUP(A637,'Dados Funil'!$A:$A,'Dados Funil'!$K:$K,"")</f>
        <v/>
      </c>
      <c r="F637" s="4" t="str">
        <f t="array" ref="F637">XLOOKUP(A637,'Dados Funil'!$A:$A,'Dados Funil'!$L:$L,"")</f>
        <v/>
      </c>
      <c r="G637" s="4"/>
      <c r="H637" s="4"/>
      <c r="I637" s="7" t="str">
        <f t="shared" si="2"/>
        <v/>
      </c>
      <c r="J637" s="4" t="str">
        <f t="shared" si="10"/>
        <v/>
      </c>
      <c r="K637" s="4" t="str">
        <f t="array" ref="K637">XLOOKUP(G637,'Dados Funil'!A:A,'Dados Funil'!O:O,"")</f>
        <v/>
      </c>
      <c r="L637" s="4"/>
      <c r="M637" s="4"/>
      <c r="N637" s="7" t="str">
        <f t="shared" si="3"/>
        <v/>
      </c>
      <c r="O637" s="4" t="str">
        <f t="shared" si="11"/>
        <v/>
      </c>
      <c r="P637" s="4" t="str">
        <f t="array" ref="P637">XLOOKUP(L637,'Dados Funil'!A:A,'Dados Funil'!AM:AM,"")</f>
        <v/>
      </c>
      <c r="Q637" s="4" t="str">
        <f t="array" ref="Q637">XLOOKUP(L637,'Dados Funil'!A:A,'Dados Funil'!AN:AN,"")</f>
        <v/>
      </c>
      <c r="T637" s="7" t="str">
        <f t="shared" si="4"/>
        <v/>
      </c>
      <c r="U637" s="4" t="str">
        <f t="shared" si="12"/>
        <v/>
      </c>
      <c r="V637" s="4" t="str">
        <f t="array" ref="V637">XLOOKUP(R637,'Dados Funil'!$A:$A,'Dados Funil'!$K:$K,"")</f>
        <v/>
      </c>
      <c r="W637" s="4" t="str">
        <f t="array" ref="W637">XLOOKUP(R637,'Dados Funil'!$A:$A,'Dados Funil'!$L:$L,"")</f>
        <v/>
      </c>
      <c r="X637" s="4"/>
      <c r="Y637" s="4"/>
      <c r="Z637" s="7" t="str">
        <f t="shared" si="5"/>
        <v/>
      </c>
      <c r="AA637" s="4" t="str">
        <f t="shared" si="13"/>
        <v/>
      </c>
      <c r="AB637" s="4" t="str">
        <f t="array" ref="AB637">XLOOKUP(X637,'Dados Funil'!A:A,'Dados Funil'!O:O,"")</f>
        <v/>
      </c>
      <c r="AE637" s="7" t="str">
        <f t="shared" si="6"/>
        <v/>
      </c>
      <c r="AG637" s="4" t="str">
        <f t="array" ref="AG637">XLOOKUP(AC637,'Dados Funil'!A:A,'Dados Funil'!AM:AM,"")</f>
        <v/>
      </c>
      <c r="AH637" s="4" t="str">
        <f t="array" ref="AH637">XLOOKUP(AC637,'Dados Funil'!A:A,'Dados Funil'!AN:AN,"")</f>
        <v/>
      </c>
    </row>
    <row r="638">
      <c r="A638" s="4"/>
      <c r="B638" s="4"/>
      <c r="C638" s="7" t="str">
        <f t="shared" si="1"/>
        <v/>
      </c>
      <c r="D638" s="4" t="str">
        <f t="shared" si="9"/>
        <v/>
      </c>
      <c r="E638" s="4" t="str">
        <f t="array" ref="E638">XLOOKUP(A638,'Dados Funil'!$A:$A,'Dados Funil'!$K:$K,"")</f>
        <v/>
      </c>
      <c r="F638" s="4" t="str">
        <f t="array" ref="F638">XLOOKUP(A638,'Dados Funil'!$A:$A,'Dados Funil'!$L:$L,"")</f>
        <v/>
      </c>
      <c r="G638" s="4"/>
      <c r="H638" s="4"/>
      <c r="I638" s="7" t="str">
        <f t="shared" si="2"/>
        <v/>
      </c>
      <c r="J638" s="4" t="str">
        <f t="shared" si="10"/>
        <v/>
      </c>
      <c r="K638" s="4" t="str">
        <f t="array" ref="K638">XLOOKUP(G638,'Dados Funil'!A:A,'Dados Funil'!O:O,"")</f>
        <v/>
      </c>
      <c r="L638" s="4"/>
      <c r="M638" s="4"/>
      <c r="N638" s="7" t="str">
        <f t="shared" si="3"/>
        <v/>
      </c>
      <c r="O638" s="4" t="str">
        <f t="shared" si="11"/>
        <v/>
      </c>
      <c r="P638" s="4" t="str">
        <f t="array" ref="P638">XLOOKUP(L638,'Dados Funil'!A:A,'Dados Funil'!AM:AM,"")</f>
        <v/>
      </c>
      <c r="Q638" s="4" t="str">
        <f t="array" ref="Q638">XLOOKUP(L638,'Dados Funil'!A:A,'Dados Funil'!AN:AN,"")</f>
        <v/>
      </c>
      <c r="T638" s="7" t="str">
        <f t="shared" si="4"/>
        <v/>
      </c>
      <c r="U638" s="4" t="str">
        <f t="shared" si="12"/>
        <v/>
      </c>
      <c r="V638" s="4" t="str">
        <f t="array" ref="V638">XLOOKUP(R638,'Dados Funil'!$A:$A,'Dados Funil'!$K:$K,"")</f>
        <v/>
      </c>
      <c r="W638" s="4" t="str">
        <f t="array" ref="W638">XLOOKUP(R638,'Dados Funil'!$A:$A,'Dados Funil'!$L:$L,"")</f>
        <v/>
      </c>
      <c r="X638" s="4"/>
      <c r="Y638" s="4"/>
      <c r="Z638" s="7" t="str">
        <f t="shared" si="5"/>
        <v/>
      </c>
      <c r="AA638" s="4" t="str">
        <f t="shared" si="13"/>
        <v/>
      </c>
      <c r="AB638" s="4" t="str">
        <f t="array" ref="AB638">XLOOKUP(X638,'Dados Funil'!A:A,'Dados Funil'!O:O,"")</f>
        <v/>
      </c>
      <c r="AE638" s="7" t="str">
        <f t="shared" si="6"/>
        <v/>
      </c>
      <c r="AG638" s="4" t="str">
        <f t="array" ref="AG638">XLOOKUP(AC638,'Dados Funil'!A:A,'Dados Funil'!AM:AM,"")</f>
        <v/>
      </c>
      <c r="AH638" s="4" t="str">
        <f t="array" ref="AH638">XLOOKUP(AC638,'Dados Funil'!A:A,'Dados Funil'!AN:AN,"")</f>
        <v/>
      </c>
    </row>
    <row r="639">
      <c r="A639" s="4"/>
      <c r="B639" s="4"/>
      <c r="C639" s="7" t="str">
        <f t="shared" si="1"/>
        <v/>
      </c>
      <c r="D639" s="4" t="str">
        <f t="shared" si="9"/>
        <v/>
      </c>
      <c r="E639" s="4" t="str">
        <f t="array" ref="E639">XLOOKUP(A639,'Dados Funil'!$A:$A,'Dados Funil'!$K:$K,"")</f>
        <v/>
      </c>
      <c r="F639" s="4" t="str">
        <f t="array" ref="F639">XLOOKUP(A639,'Dados Funil'!$A:$A,'Dados Funil'!$L:$L,"")</f>
        <v/>
      </c>
      <c r="G639" s="4"/>
      <c r="H639" s="4"/>
      <c r="I639" s="7" t="str">
        <f t="shared" si="2"/>
        <v/>
      </c>
      <c r="J639" s="4" t="str">
        <f t="shared" si="10"/>
        <v/>
      </c>
      <c r="K639" s="4" t="str">
        <f t="array" ref="K639">XLOOKUP(G639,'Dados Funil'!A:A,'Dados Funil'!O:O,"")</f>
        <v/>
      </c>
      <c r="L639" s="4"/>
      <c r="M639" s="4"/>
      <c r="N639" s="7" t="str">
        <f t="shared" si="3"/>
        <v/>
      </c>
      <c r="O639" s="4" t="str">
        <f t="shared" si="11"/>
        <v/>
      </c>
      <c r="P639" s="4" t="str">
        <f t="array" ref="P639">XLOOKUP(L639,'Dados Funil'!A:A,'Dados Funil'!AM:AM,"")</f>
        <v/>
      </c>
      <c r="Q639" s="4" t="str">
        <f t="array" ref="Q639">XLOOKUP(L639,'Dados Funil'!A:A,'Dados Funil'!AN:AN,"")</f>
        <v/>
      </c>
      <c r="T639" s="7" t="str">
        <f t="shared" si="4"/>
        <v/>
      </c>
      <c r="U639" s="4" t="str">
        <f t="shared" si="12"/>
        <v/>
      </c>
      <c r="V639" s="4" t="str">
        <f t="array" ref="V639">XLOOKUP(R639,'Dados Funil'!$A:$A,'Dados Funil'!$K:$K,"")</f>
        <v/>
      </c>
      <c r="W639" s="4" t="str">
        <f t="array" ref="W639">XLOOKUP(R639,'Dados Funil'!$A:$A,'Dados Funil'!$L:$L,"")</f>
        <v/>
      </c>
      <c r="X639" s="4"/>
      <c r="Y639" s="4"/>
      <c r="Z639" s="7" t="str">
        <f t="shared" si="5"/>
        <v/>
      </c>
      <c r="AA639" s="4" t="str">
        <f t="shared" si="13"/>
        <v/>
      </c>
      <c r="AB639" s="4" t="str">
        <f t="array" ref="AB639">XLOOKUP(X639,'Dados Funil'!A:A,'Dados Funil'!O:O,"")</f>
        <v/>
      </c>
      <c r="AE639" s="7" t="str">
        <f t="shared" si="6"/>
        <v/>
      </c>
      <c r="AG639" s="4" t="str">
        <f t="array" ref="AG639">XLOOKUP(AC639,'Dados Funil'!A:A,'Dados Funil'!AM:AM,"")</f>
        <v/>
      </c>
      <c r="AH639" s="4" t="str">
        <f t="array" ref="AH639">XLOOKUP(AC639,'Dados Funil'!A:A,'Dados Funil'!AN:AN,"")</f>
        <v/>
      </c>
    </row>
    <row r="640">
      <c r="A640" s="4"/>
      <c r="B640" s="4"/>
      <c r="C640" s="7" t="str">
        <f t="shared" si="1"/>
        <v/>
      </c>
      <c r="D640" s="4" t="str">
        <f t="shared" si="9"/>
        <v/>
      </c>
      <c r="E640" s="4" t="str">
        <f t="array" ref="E640">XLOOKUP(A640,'Dados Funil'!$A:$A,'Dados Funil'!$K:$K,"")</f>
        <v/>
      </c>
      <c r="F640" s="4" t="str">
        <f t="array" ref="F640">XLOOKUP(A640,'Dados Funil'!$A:$A,'Dados Funil'!$L:$L,"")</f>
        <v/>
      </c>
      <c r="G640" s="4"/>
      <c r="H640" s="4"/>
      <c r="I640" s="7" t="str">
        <f t="shared" si="2"/>
        <v/>
      </c>
      <c r="J640" s="4" t="str">
        <f t="shared" si="10"/>
        <v/>
      </c>
      <c r="K640" s="4" t="str">
        <f t="array" ref="K640">XLOOKUP(G640,'Dados Funil'!A:A,'Dados Funil'!O:O,"")</f>
        <v/>
      </c>
      <c r="L640" s="4"/>
      <c r="M640" s="4"/>
      <c r="N640" s="7" t="str">
        <f t="shared" si="3"/>
        <v/>
      </c>
      <c r="O640" s="4" t="str">
        <f t="shared" si="11"/>
        <v/>
      </c>
      <c r="P640" s="4" t="str">
        <f t="array" ref="P640">XLOOKUP(L640,'Dados Funil'!A:A,'Dados Funil'!AM:AM,"")</f>
        <v/>
      </c>
      <c r="Q640" s="4" t="str">
        <f t="array" ref="Q640">XLOOKUP(L640,'Dados Funil'!A:A,'Dados Funil'!AN:AN,"")</f>
        <v/>
      </c>
      <c r="T640" s="7" t="str">
        <f t="shared" si="4"/>
        <v/>
      </c>
      <c r="U640" s="4" t="str">
        <f t="shared" si="12"/>
        <v/>
      </c>
      <c r="V640" s="4" t="str">
        <f t="array" ref="V640">XLOOKUP(R640,'Dados Funil'!$A:$A,'Dados Funil'!$K:$K,"")</f>
        <v/>
      </c>
      <c r="W640" s="4" t="str">
        <f t="array" ref="W640">XLOOKUP(R640,'Dados Funil'!$A:$A,'Dados Funil'!$L:$L,"")</f>
        <v/>
      </c>
      <c r="X640" s="4"/>
      <c r="Y640" s="4"/>
      <c r="Z640" s="7" t="str">
        <f t="shared" si="5"/>
        <v/>
      </c>
      <c r="AA640" s="4" t="str">
        <f t="shared" si="13"/>
        <v/>
      </c>
      <c r="AB640" s="4" t="str">
        <f t="array" ref="AB640">XLOOKUP(X640,'Dados Funil'!A:A,'Dados Funil'!O:O,"")</f>
        <v/>
      </c>
      <c r="AE640" s="7" t="str">
        <f t="shared" si="6"/>
        <v/>
      </c>
      <c r="AG640" s="4" t="str">
        <f t="array" ref="AG640">XLOOKUP(AC640,'Dados Funil'!A:A,'Dados Funil'!AM:AM,"")</f>
        <v/>
      </c>
      <c r="AH640" s="4" t="str">
        <f t="array" ref="AH640">XLOOKUP(AC640,'Dados Funil'!A:A,'Dados Funil'!AN:AN,"")</f>
        <v/>
      </c>
    </row>
    <row r="641">
      <c r="A641" s="4"/>
      <c r="B641" s="4"/>
      <c r="C641" s="7" t="str">
        <f t="shared" si="1"/>
        <v/>
      </c>
      <c r="D641" s="4" t="str">
        <f t="shared" si="9"/>
        <v/>
      </c>
      <c r="E641" s="4" t="str">
        <f t="array" ref="E641">XLOOKUP(A641,'Dados Funil'!$A:$A,'Dados Funil'!$K:$K,"")</f>
        <v/>
      </c>
      <c r="F641" s="4" t="str">
        <f t="array" ref="F641">XLOOKUP(A641,'Dados Funil'!$A:$A,'Dados Funil'!$L:$L,"")</f>
        <v/>
      </c>
      <c r="G641" s="4"/>
      <c r="H641" s="4"/>
      <c r="I641" s="7" t="str">
        <f t="shared" si="2"/>
        <v/>
      </c>
      <c r="J641" s="4" t="str">
        <f t="shared" si="10"/>
        <v/>
      </c>
      <c r="K641" s="4" t="str">
        <f t="array" ref="K641">XLOOKUP(G641,'Dados Funil'!A:A,'Dados Funil'!O:O,"")</f>
        <v/>
      </c>
      <c r="L641" s="4"/>
      <c r="M641" s="4"/>
      <c r="N641" s="7" t="str">
        <f t="shared" si="3"/>
        <v/>
      </c>
      <c r="O641" s="4" t="str">
        <f t="shared" si="11"/>
        <v/>
      </c>
      <c r="P641" s="4" t="str">
        <f t="array" ref="P641">XLOOKUP(L641,'Dados Funil'!A:A,'Dados Funil'!AM:AM,"")</f>
        <v/>
      </c>
      <c r="Q641" s="4" t="str">
        <f t="array" ref="Q641">XLOOKUP(L641,'Dados Funil'!A:A,'Dados Funil'!AN:AN,"")</f>
        <v/>
      </c>
      <c r="T641" s="7" t="str">
        <f t="shared" si="4"/>
        <v/>
      </c>
      <c r="U641" s="4" t="str">
        <f t="shared" si="12"/>
        <v/>
      </c>
      <c r="V641" s="4" t="str">
        <f t="array" ref="V641">XLOOKUP(R641,'Dados Funil'!$A:$A,'Dados Funil'!$K:$K,"")</f>
        <v/>
      </c>
      <c r="W641" s="4" t="str">
        <f t="array" ref="W641">XLOOKUP(R641,'Dados Funil'!$A:$A,'Dados Funil'!$L:$L,"")</f>
        <v/>
      </c>
      <c r="X641" s="4"/>
      <c r="Y641" s="4"/>
      <c r="Z641" s="7" t="str">
        <f t="shared" si="5"/>
        <v/>
      </c>
      <c r="AA641" s="4" t="str">
        <f t="shared" si="13"/>
        <v/>
      </c>
      <c r="AB641" s="4" t="str">
        <f t="array" ref="AB641">XLOOKUP(X641,'Dados Funil'!A:A,'Dados Funil'!O:O,"")</f>
        <v/>
      </c>
      <c r="AE641" s="7" t="str">
        <f t="shared" si="6"/>
        <v/>
      </c>
      <c r="AG641" s="4" t="str">
        <f t="array" ref="AG641">XLOOKUP(AC641,'Dados Funil'!A:A,'Dados Funil'!AM:AM,"")</f>
        <v/>
      </c>
      <c r="AH641" s="4" t="str">
        <f t="array" ref="AH641">XLOOKUP(AC641,'Dados Funil'!A:A,'Dados Funil'!AN:AN,"")</f>
        <v/>
      </c>
    </row>
    <row r="642">
      <c r="A642" s="4"/>
      <c r="B642" s="4"/>
      <c r="C642" s="7" t="str">
        <f t="shared" si="1"/>
        <v/>
      </c>
      <c r="D642" s="4" t="str">
        <f t="shared" si="9"/>
        <v/>
      </c>
      <c r="E642" s="4" t="str">
        <f t="array" ref="E642">XLOOKUP(A642,'Dados Funil'!$A:$A,'Dados Funil'!$K:$K,"")</f>
        <v/>
      </c>
      <c r="F642" s="4" t="str">
        <f t="array" ref="F642">XLOOKUP(A642,'Dados Funil'!$A:$A,'Dados Funil'!$L:$L,"")</f>
        <v/>
      </c>
      <c r="G642" s="4"/>
      <c r="H642" s="4"/>
      <c r="I642" s="7" t="str">
        <f t="shared" si="2"/>
        <v/>
      </c>
      <c r="J642" s="4" t="str">
        <f t="shared" si="10"/>
        <v/>
      </c>
      <c r="K642" s="4" t="str">
        <f t="array" ref="K642">XLOOKUP(G642,'Dados Funil'!A:A,'Dados Funil'!O:O,"")</f>
        <v/>
      </c>
      <c r="L642" s="4"/>
      <c r="M642" s="4"/>
      <c r="N642" s="7" t="str">
        <f t="shared" si="3"/>
        <v/>
      </c>
      <c r="O642" s="4" t="str">
        <f t="shared" si="11"/>
        <v/>
      </c>
      <c r="P642" s="4" t="str">
        <f t="array" ref="P642">XLOOKUP(L642,'Dados Funil'!A:A,'Dados Funil'!AM:AM,"")</f>
        <v/>
      </c>
      <c r="Q642" s="4" t="str">
        <f t="array" ref="Q642">XLOOKUP(L642,'Dados Funil'!A:A,'Dados Funil'!AN:AN,"")</f>
        <v/>
      </c>
      <c r="T642" s="7" t="str">
        <f t="shared" si="4"/>
        <v/>
      </c>
      <c r="U642" s="4" t="str">
        <f t="shared" si="12"/>
        <v/>
      </c>
      <c r="V642" s="4" t="str">
        <f t="array" ref="V642">XLOOKUP(R642,'Dados Funil'!$A:$A,'Dados Funil'!$K:$K,"")</f>
        <v/>
      </c>
      <c r="W642" s="4" t="str">
        <f t="array" ref="W642">XLOOKUP(R642,'Dados Funil'!$A:$A,'Dados Funil'!$L:$L,"")</f>
        <v/>
      </c>
      <c r="X642" s="4"/>
      <c r="Y642" s="4"/>
      <c r="Z642" s="7" t="str">
        <f t="shared" si="5"/>
        <v/>
      </c>
      <c r="AA642" s="4" t="str">
        <f t="shared" si="13"/>
        <v/>
      </c>
      <c r="AB642" s="4" t="str">
        <f t="array" ref="AB642">XLOOKUP(X642,'Dados Funil'!A:A,'Dados Funil'!O:O,"")</f>
        <v/>
      </c>
      <c r="AE642" s="7" t="str">
        <f t="shared" si="6"/>
        <v/>
      </c>
      <c r="AG642" s="4" t="str">
        <f t="array" ref="AG642">XLOOKUP(AC642,'Dados Funil'!A:A,'Dados Funil'!AM:AM,"")</f>
        <v/>
      </c>
      <c r="AH642" s="4" t="str">
        <f t="array" ref="AH642">XLOOKUP(AC642,'Dados Funil'!A:A,'Dados Funil'!AN:AN,"")</f>
        <v/>
      </c>
    </row>
    <row r="643">
      <c r="A643" s="4"/>
      <c r="B643" s="4"/>
      <c r="C643" s="7" t="str">
        <f t="shared" si="1"/>
        <v/>
      </c>
      <c r="D643" s="4" t="str">
        <f t="shared" si="9"/>
        <v/>
      </c>
      <c r="E643" s="4" t="str">
        <f t="array" ref="E643">XLOOKUP(A643,'Dados Funil'!$A:$A,'Dados Funil'!$K:$K,"")</f>
        <v/>
      </c>
      <c r="F643" s="4" t="str">
        <f t="array" ref="F643">XLOOKUP(A643,'Dados Funil'!$A:$A,'Dados Funil'!$L:$L,"")</f>
        <v/>
      </c>
      <c r="G643" s="4"/>
      <c r="H643" s="4"/>
      <c r="I643" s="7" t="str">
        <f t="shared" si="2"/>
        <v/>
      </c>
      <c r="J643" s="4" t="str">
        <f t="shared" si="10"/>
        <v/>
      </c>
      <c r="K643" s="4" t="str">
        <f t="array" ref="K643">XLOOKUP(G643,'Dados Funil'!A:A,'Dados Funil'!O:O,"")</f>
        <v/>
      </c>
      <c r="L643" s="4"/>
      <c r="M643" s="4"/>
      <c r="N643" s="7" t="str">
        <f t="shared" si="3"/>
        <v/>
      </c>
      <c r="O643" s="4" t="str">
        <f t="shared" si="11"/>
        <v/>
      </c>
      <c r="P643" s="4" t="str">
        <f t="array" ref="P643">XLOOKUP(L643,'Dados Funil'!A:A,'Dados Funil'!AM:AM,"")</f>
        <v/>
      </c>
      <c r="Q643" s="4" t="str">
        <f t="array" ref="Q643">XLOOKUP(L643,'Dados Funil'!A:A,'Dados Funil'!AN:AN,"")</f>
        <v/>
      </c>
      <c r="T643" s="7" t="str">
        <f t="shared" si="4"/>
        <v/>
      </c>
      <c r="U643" s="4" t="str">
        <f t="shared" si="12"/>
        <v/>
      </c>
      <c r="V643" s="4" t="str">
        <f t="array" ref="V643">XLOOKUP(R643,'Dados Funil'!$A:$A,'Dados Funil'!$K:$K,"")</f>
        <v/>
      </c>
      <c r="W643" s="4" t="str">
        <f t="array" ref="W643">XLOOKUP(R643,'Dados Funil'!$A:$A,'Dados Funil'!$L:$L,"")</f>
        <v/>
      </c>
      <c r="X643" s="4"/>
      <c r="Y643" s="4"/>
      <c r="Z643" s="7" t="str">
        <f t="shared" si="5"/>
        <v/>
      </c>
      <c r="AA643" s="4" t="str">
        <f t="shared" si="13"/>
        <v/>
      </c>
      <c r="AB643" s="4" t="str">
        <f t="array" ref="AB643">XLOOKUP(X643,'Dados Funil'!A:A,'Dados Funil'!O:O,"")</f>
        <v/>
      </c>
      <c r="AE643" s="7" t="str">
        <f t="shared" si="6"/>
        <v/>
      </c>
      <c r="AG643" s="4" t="str">
        <f t="array" ref="AG643">XLOOKUP(AC643,'Dados Funil'!A:A,'Dados Funil'!AM:AM,"")</f>
        <v/>
      </c>
      <c r="AH643" s="4" t="str">
        <f t="array" ref="AH643">XLOOKUP(AC643,'Dados Funil'!A:A,'Dados Funil'!AN:AN,"")</f>
        <v/>
      </c>
    </row>
    <row r="644">
      <c r="A644" s="4"/>
      <c r="B644" s="4"/>
      <c r="C644" s="7" t="str">
        <f t="shared" si="1"/>
        <v/>
      </c>
      <c r="D644" s="4" t="str">
        <f t="shared" si="9"/>
        <v/>
      </c>
      <c r="E644" s="4" t="str">
        <f t="array" ref="E644">XLOOKUP(A644,'Dados Funil'!$A:$A,'Dados Funil'!$K:$K,"")</f>
        <v/>
      </c>
      <c r="F644" s="4" t="str">
        <f t="array" ref="F644">XLOOKUP(A644,'Dados Funil'!$A:$A,'Dados Funil'!$L:$L,"")</f>
        <v/>
      </c>
      <c r="G644" s="4"/>
      <c r="H644" s="4"/>
      <c r="I644" s="7" t="str">
        <f t="shared" si="2"/>
        <v/>
      </c>
      <c r="J644" s="4" t="str">
        <f t="shared" si="10"/>
        <v/>
      </c>
      <c r="K644" s="4" t="str">
        <f t="array" ref="K644">XLOOKUP(G644,'Dados Funil'!A:A,'Dados Funil'!O:O,"")</f>
        <v/>
      </c>
      <c r="L644" s="4"/>
      <c r="M644" s="4"/>
      <c r="N644" s="7" t="str">
        <f t="shared" si="3"/>
        <v/>
      </c>
      <c r="O644" s="4" t="str">
        <f t="shared" si="11"/>
        <v/>
      </c>
      <c r="P644" s="4" t="str">
        <f t="array" ref="P644">XLOOKUP(L644,'Dados Funil'!A:A,'Dados Funil'!AM:AM,"")</f>
        <v/>
      </c>
      <c r="Q644" s="4" t="str">
        <f t="array" ref="Q644">XLOOKUP(L644,'Dados Funil'!A:A,'Dados Funil'!AN:AN,"")</f>
        <v/>
      </c>
      <c r="T644" s="7" t="str">
        <f t="shared" si="4"/>
        <v/>
      </c>
      <c r="U644" s="4" t="str">
        <f t="shared" si="12"/>
        <v/>
      </c>
      <c r="V644" s="4" t="str">
        <f t="array" ref="V644">XLOOKUP(R644,'Dados Funil'!$A:$A,'Dados Funil'!$K:$K,"")</f>
        <v/>
      </c>
      <c r="W644" s="4" t="str">
        <f t="array" ref="W644">XLOOKUP(R644,'Dados Funil'!$A:$A,'Dados Funil'!$L:$L,"")</f>
        <v/>
      </c>
      <c r="X644" s="4"/>
      <c r="Y644" s="4"/>
      <c r="Z644" s="7" t="str">
        <f t="shared" si="5"/>
        <v/>
      </c>
      <c r="AA644" s="4" t="str">
        <f t="shared" si="13"/>
        <v/>
      </c>
      <c r="AB644" s="4" t="str">
        <f t="array" ref="AB644">XLOOKUP(X644,'Dados Funil'!A:A,'Dados Funil'!O:O,"")</f>
        <v/>
      </c>
      <c r="AE644" s="7" t="str">
        <f t="shared" si="6"/>
        <v/>
      </c>
      <c r="AG644" s="4" t="str">
        <f t="array" ref="AG644">XLOOKUP(AC644,'Dados Funil'!A:A,'Dados Funil'!AM:AM,"")</f>
        <v/>
      </c>
      <c r="AH644" s="4" t="str">
        <f t="array" ref="AH644">XLOOKUP(AC644,'Dados Funil'!A:A,'Dados Funil'!AN:AN,"")</f>
        <v/>
      </c>
    </row>
    <row r="645">
      <c r="A645" s="4"/>
      <c r="B645" s="4"/>
      <c r="C645" s="7" t="str">
        <f t="shared" si="1"/>
        <v/>
      </c>
      <c r="D645" s="4" t="str">
        <f t="shared" si="9"/>
        <v/>
      </c>
      <c r="E645" s="4" t="str">
        <f t="array" ref="E645">XLOOKUP(A645,'Dados Funil'!$A:$A,'Dados Funil'!$K:$K,"")</f>
        <v/>
      </c>
      <c r="F645" s="4" t="str">
        <f t="array" ref="F645">XLOOKUP(A645,'Dados Funil'!$A:$A,'Dados Funil'!$L:$L,"")</f>
        <v/>
      </c>
      <c r="G645" s="4"/>
      <c r="H645" s="4"/>
      <c r="I645" s="7" t="str">
        <f t="shared" si="2"/>
        <v/>
      </c>
      <c r="J645" s="4" t="str">
        <f t="shared" si="10"/>
        <v/>
      </c>
      <c r="K645" s="4" t="str">
        <f t="array" ref="K645">XLOOKUP(G645,'Dados Funil'!A:A,'Dados Funil'!O:O,"")</f>
        <v/>
      </c>
      <c r="L645" s="4"/>
      <c r="M645" s="4"/>
      <c r="N645" s="7" t="str">
        <f t="shared" si="3"/>
        <v/>
      </c>
      <c r="O645" s="4" t="str">
        <f t="shared" si="11"/>
        <v/>
      </c>
      <c r="P645" s="4" t="str">
        <f t="array" ref="P645">XLOOKUP(L645,'Dados Funil'!A:A,'Dados Funil'!AM:AM,"")</f>
        <v/>
      </c>
      <c r="Q645" s="4" t="str">
        <f t="array" ref="Q645">XLOOKUP(L645,'Dados Funil'!A:A,'Dados Funil'!AN:AN,"")</f>
        <v/>
      </c>
      <c r="T645" s="7" t="str">
        <f t="shared" si="4"/>
        <v/>
      </c>
      <c r="U645" s="4" t="str">
        <f t="shared" si="12"/>
        <v/>
      </c>
      <c r="V645" s="4" t="str">
        <f t="array" ref="V645">XLOOKUP(R645,'Dados Funil'!$A:$A,'Dados Funil'!$K:$K,"")</f>
        <v/>
      </c>
      <c r="W645" s="4" t="str">
        <f t="array" ref="W645">XLOOKUP(R645,'Dados Funil'!$A:$A,'Dados Funil'!$L:$L,"")</f>
        <v/>
      </c>
      <c r="X645" s="4"/>
      <c r="Y645" s="4"/>
      <c r="Z645" s="7" t="str">
        <f t="shared" si="5"/>
        <v/>
      </c>
      <c r="AA645" s="4" t="str">
        <f t="shared" si="13"/>
        <v/>
      </c>
      <c r="AB645" s="4" t="str">
        <f t="array" ref="AB645">XLOOKUP(X645,'Dados Funil'!A:A,'Dados Funil'!O:O,"")</f>
        <v/>
      </c>
      <c r="AE645" s="7" t="str">
        <f t="shared" si="6"/>
        <v/>
      </c>
      <c r="AG645" s="4" t="str">
        <f t="array" ref="AG645">XLOOKUP(AC645,'Dados Funil'!A:A,'Dados Funil'!AM:AM,"")</f>
        <v/>
      </c>
      <c r="AH645" s="4" t="str">
        <f t="array" ref="AH645">XLOOKUP(AC645,'Dados Funil'!A:A,'Dados Funil'!AN:AN,"")</f>
        <v/>
      </c>
    </row>
    <row r="646">
      <c r="A646" s="4"/>
      <c r="B646" s="4"/>
      <c r="C646" s="7" t="str">
        <f t="shared" si="1"/>
        <v/>
      </c>
      <c r="D646" s="4" t="str">
        <f t="shared" si="9"/>
        <v/>
      </c>
      <c r="E646" s="4" t="str">
        <f t="array" ref="E646">XLOOKUP(A646,'Dados Funil'!$A:$A,'Dados Funil'!$K:$K,"")</f>
        <v/>
      </c>
      <c r="F646" s="4" t="str">
        <f t="array" ref="F646">XLOOKUP(A646,'Dados Funil'!$A:$A,'Dados Funil'!$L:$L,"")</f>
        <v/>
      </c>
      <c r="G646" s="4"/>
      <c r="H646" s="4"/>
      <c r="I646" s="7" t="str">
        <f t="shared" si="2"/>
        <v/>
      </c>
      <c r="J646" s="4" t="str">
        <f t="shared" si="10"/>
        <v/>
      </c>
      <c r="K646" s="4" t="str">
        <f t="array" ref="K646">XLOOKUP(G646,'Dados Funil'!A:A,'Dados Funil'!O:O,"")</f>
        <v/>
      </c>
      <c r="L646" s="4"/>
      <c r="M646" s="4"/>
      <c r="N646" s="7" t="str">
        <f t="shared" si="3"/>
        <v/>
      </c>
      <c r="O646" s="4" t="str">
        <f t="shared" si="11"/>
        <v/>
      </c>
      <c r="P646" s="4" t="str">
        <f t="array" ref="P646">XLOOKUP(L646,'Dados Funil'!A:A,'Dados Funil'!AM:AM,"")</f>
        <v/>
      </c>
      <c r="Q646" s="4" t="str">
        <f t="array" ref="Q646">XLOOKUP(L646,'Dados Funil'!A:A,'Dados Funil'!AN:AN,"")</f>
        <v/>
      </c>
      <c r="T646" s="7" t="str">
        <f t="shared" si="4"/>
        <v/>
      </c>
      <c r="U646" s="4" t="str">
        <f t="shared" si="12"/>
        <v/>
      </c>
      <c r="V646" s="4" t="str">
        <f t="array" ref="V646">XLOOKUP(R646,'Dados Funil'!$A:$A,'Dados Funil'!$K:$K,"")</f>
        <v/>
      </c>
      <c r="W646" s="4" t="str">
        <f t="array" ref="W646">XLOOKUP(R646,'Dados Funil'!$A:$A,'Dados Funil'!$L:$L,"")</f>
        <v/>
      </c>
      <c r="X646" s="4"/>
      <c r="Y646" s="4"/>
      <c r="Z646" s="7" t="str">
        <f t="shared" si="5"/>
        <v/>
      </c>
      <c r="AA646" s="4" t="str">
        <f t="shared" si="13"/>
        <v/>
      </c>
      <c r="AB646" s="4" t="str">
        <f t="array" ref="AB646">XLOOKUP(X646,'Dados Funil'!A:A,'Dados Funil'!O:O,"")</f>
        <v/>
      </c>
      <c r="AE646" s="7" t="str">
        <f t="shared" si="6"/>
        <v/>
      </c>
      <c r="AG646" s="4" t="str">
        <f t="array" ref="AG646">XLOOKUP(AC646,'Dados Funil'!A:A,'Dados Funil'!AM:AM,"")</f>
        <v/>
      </c>
      <c r="AH646" s="4" t="str">
        <f t="array" ref="AH646">XLOOKUP(AC646,'Dados Funil'!A:A,'Dados Funil'!AN:AN,"")</f>
        <v/>
      </c>
    </row>
    <row r="647">
      <c r="A647" s="4"/>
      <c r="B647" s="4"/>
      <c r="C647" s="7" t="str">
        <f t="shared" si="1"/>
        <v/>
      </c>
      <c r="D647" s="4" t="str">
        <f t="shared" si="9"/>
        <v/>
      </c>
      <c r="E647" s="4" t="str">
        <f t="array" ref="E647">XLOOKUP(A647,'Dados Funil'!$A:$A,'Dados Funil'!$K:$K,"")</f>
        <v/>
      </c>
      <c r="F647" s="4" t="str">
        <f t="array" ref="F647">XLOOKUP(A647,'Dados Funil'!$A:$A,'Dados Funil'!$L:$L,"")</f>
        <v/>
      </c>
      <c r="G647" s="4"/>
      <c r="H647" s="4"/>
      <c r="I647" s="7" t="str">
        <f t="shared" si="2"/>
        <v/>
      </c>
      <c r="J647" s="4" t="str">
        <f t="shared" si="10"/>
        <v/>
      </c>
      <c r="K647" s="4" t="str">
        <f t="array" ref="K647">XLOOKUP(G647,'Dados Funil'!A:A,'Dados Funil'!O:O,"")</f>
        <v/>
      </c>
      <c r="L647" s="4"/>
      <c r="M647" s="4"/>
      <c r="N647" s="7" t="str">
        <f t="shared" si="3"/>
        <v/>
      </c>
      <c r="O647" s="4" t="str">
        <f t="shared" si="11"/>
        <v/>
      </c>
      <c r="P647" s="4" t="str">
        <f t="array" ref="P647">XLOOKUP(L647,'Dados Funil'!A:A,'Dados Funil'!AM:AM,"")</f>
        <v/>
      </c>
      <c r="Q647" s="4" t="str">
        <f t="array" ref="Q647">XLOOKUP(L647,'Dados Funil'!A:A,'Dados Funil'!AN:AN,"")</f>
        <v/>
      </c>
      <c r="T647" s="7" t="str">
        <f t="shared" si="4"/>
        <v/>
      </c>
      <c r="U647" s="4" t="str">
        <f t="shared" si="12"/>
        <v/>
      </c>
      <c r="V647" s="4" t="str">
        <f t="array" ref="V647">XLOOKUP(R647,'Dados Funil'!$A:$A,'Dados Funil'!$K:$K,"")</f>
        <v/>
      </c>
      <c r="W647" s="4" t="str">
        <f t="array" ref="W647">XLOOKUP(R647,'Dados Funil'!$A:$A,'Dados Funil'!$L:$L,"")</f>
        <v/>
      </c>
      <c r="X647" s="4"/>
      <c r="Y647" s="4"/>
      <c r="Z647" s="7" t="str">
        <f t="shared" si="5"/>
        <v/>
      </c>
      <c r="AA647" s="4" t="str">
        <f t="shared" si="13"/>
        <v/>
      </c>
      <c r="AB647" s="4" t="str">
        <f t="array" ref="AB647">XLOOKUP(X647,'Dados Funil'!A:A,'Dados Funil'!O:O,"")</f>
        <v/>
      </c>
      <c r="AE647" s="7" t="str">
        <f t="shared" si="6"/>
        <v/>
      </c>
      <c r="AG647" s="4" t="str">
        <f t="array" ref="AG647">XLOOKUP(AC647,'Dados Funil'!A:A,'Dados Funil'!AM:AM,"")</f>
        <v/>
      </c>
      <c r="AH647" s="4" t="str">
        <f t="array" ref="AH647">XLOOKUP(AC647,'Dados Funil'!A:A,'Dados Funil'!AN:AN,"")</f>
        <v/>
      </c>
    </row>
    <row r="648">
      <c r="A648" s="4"/>
      <c r="B648" s="4"/>
      <c r="C648" s="7" t="str">
        <f t="shared" si="1"/>
        <v/>
      </c>
      <c r="D648" s="4" t="str">
        <f t="shared" si="9"/>
        <v/>
      </c>
      <c r="E648" s="4" t="str">
        <f t="array" ref="E648">XLOOKUP(A648,'Dados Funil'!$A:$A,'Dados Funil'!$K:$K,"")</f>
        <v/>
      </c>
      <c r="F648" s="4" t="str">
        <f t="array" ref="F648">XLOOKUP(A648,'Dados Funil'!$A:$A,'Dados Funil'!$L:$L,"")</f>
        <v/>
      </c>
      <c r="G648" s="4"/>
      <c r="H648" s="4"/>
      <c r="I648" s="7" t="str">
        <f t="shared" si="2"/>
        <v/>
      </c>
      <c r="J648" s="4" t="str">
        <f t="shared" si="10"/>
        <v/>
      </c>
      <c r="K648" s="4" t="str">
        <f t="array" ref="K648">XLOOKUP(G648,'Dados Funil'!A:A,'Dados Funil'!O:O,"")</f>
        <v/>
      </c>
      <c r="L648" s="4"/>
      <c r="M648" s="4"/>
      <c r="N648" s="7" t="str">
        <f t="shared" si="3"/>
        <v/>
      </c>
      <c r="O648" s="4" t="str">
        <f t="shared" si="11"/>
        <v/>
      </c>
      <c r="P648" s="4" t="str">
        <f t="array" ref="P648">XLOOKUP(L648,'Dados Funil'!A:A,'Dados Funil'!AM:AM,"")</f>
        <v/>
      </c>
      <c r="Q648" s="4" t="str">
        <f t="array" ref="Q648">XLOOKUP(L648,'Dados Funil'!A:A,'Dados Funil'!AN:AN,"")</f>
        <v/>
      </c>
      <c r="T648" s="7" t="str">
        <f t="shared" si="4"/>
        <v/>
      </c>
      <c r="U648" s="4" t="str">
        <f t="shared" si="12"/>
        <v/>
      </c>
      <c r="V648" s="4" t="str">
        <f t="array" ref="V648">XLOOKUP(R648,'Dados Funil'!$A:$A,'Dados Funil'!$K:$K,"")</f>
        <v/>
      </c>
      <c r="W648" s="4" t="str">
        <f t="array" ref="W648">XLOOKUP(R648,'Dados Funil'!$A:$A,'Dados Funil'!$L:$L,"")</f>
        <v/>
      </c>
      <c r="X648" s="4"/>
      <c r="Y648" s="4"/>
      <c r="Z648" s="7" t="str">
        <f t="shared" si="5"/>
        <v/>
      </c>
      <c r="AA648" s="4" t="str">
        <f t="shared" si="13"/>
        <v/>
      </c>
      <c r="AB648" s="4" t="str">
        <f t="array" ref="AB648">XLOOKUP(X648,'Dados Funil'!A:A,'Dados Funil'!O:O,"")</f>
        <v/>
      </c>
      <c r="AE648" s="7" t="str">
        <f t="shared" si="6"/>
        <v/>
      </c>
      <c r="AG648" s="4" t="str">
        <f t="array" ref="AG648">XLOOKUP(AC648,'Dados Funil'!A:A,'Dados Funil'!AM:AM,"")</f>
        <v/>
      </c>
      <c r="AH648" s="4" t="str">
        <f t="array" ref="AH648">XLOOKUP(AC648,'Dados Funil'!A:A,'Dados Funil'!AN:AN,"")</f>
        <v/>
      </c>
    </row>
    <row r="649">
      <c r="A649" s="4"/>
      <c r="B649" s="4"/>
      <c r="C649" s="7" t="str">
        <f t="shared" si="1"/>
        <v/>
      </c>
      <c r="D649" s="4" t="str">
        <f t="shared" si="9"/>
        <v/>
      </c>
      <c r="E649" s="4" t="str">
        <f t="array" ref="E649">XLOOKUP(A649,'Dados Funil'!$A:$A,'Dados Funil'!$K:$K,"")</f>
        <v/>
      </c>
      <c r="F649" s="4" t="str">
        <f t="array" ref="F649">XLOOKUP(A649,'Dados Funil'!$A:$A,'Dados Funil'!$L:$L,"")</f>
        <v/>
      </c>
      <c r="G649" s="4"/>
      <c r="H649" s="4"/>
      <c r="I649" s="7" t="str">
        <f t="shared" si="2"/>
        <v/>
      </c>
      <c r="J649" s="4" t="str">
        <f t="shared" si="10"/>
        <v/>
      </c>
      <c r="K649" s="4" t="str">
        <f t="array" ref="K649">XLOOKUP(G649,'Dados Funil'!A:A,'Dados Funil'!O:O,"")</f>
        <v/>
      </c>
      <c r="L649" s="4"/>
      <c r="M649" s="4"/>
      <c r="N649" s="7" t="str">
        <f t="shared" si="3"/>
        <v/>
      </c>
      <c r="O649" s="4" t="str">
        <f t="shared" si="11"/>
        <v/>
      </c>
      <c r="P649" s="4" t="str">
        <f t="array" ref="P649">XLOOKUP(L649,'Dados Funil'!A:A,'Dados Funil'!AM:AM,"")</f>
        <v/>
      </c>
      <c r="Q649" s="4" t="str">
        <f t="array" ref="Q649">XLOOKUP(L649,'Dados Funil'!A:A,'Dados Funil'!AN:AN,"")</f>
        <v/>
      </c>
      <c r="T649" s="7" t="str">
        <f t="shared" si="4"/>
        <v/>
      </c>
      <c r="U649" s="4" t="str">
        <f t="shared" si="12"/>
        <v/>
      </c>
      <c r="V649" s="4" t="str">
        <f t="array" ref="V649">XLOOKUP(R649,'Dados Funil'!$A:$A,'Dados Funil'!$K:$K,"")</f>
        <v/>
      </c>
      <c r="W649" s="4" t="str">
        <f t="array" ref="W649">XLOOKUP(R649,'Dados Funil'!$A:$A,'Dados Funil'!$L:$L,"")</f>
        <v/>
      </c>
      <c r="X649" s="4"/>
      <c r="Y649" s="4"/>
      <c r="Z649" s="7" t="str">
        <f t="shared" si="5"/>
        <v/>
      </c>
      <c r="AA649" s="4" t="str">
        <f t="shared" si="13"/>
        <v/>
      </c>
      <c r="AB649" s="4" t="str">
        <f t="array" ref="AB649">XLOOKUP(X649,'Dados Funil'!A:A,'Dados Funil'!O:O,"")</f>
        <v/>
      </c>
      <c r="AE649" s="7" t="str">
        <f t="shared" si="6"/>
        <v/>
      </c>
      <c r="AG649" s="4" t="str">
        <f t="array" ref="AG649">XLOOKUP(AC649,'Dados Funil'!A:A,'Dados Funil'!AM:AM,"")</f>
        <v/>
      </c>
      <c r="AH649" s="4" t="str">
        <f t="array" ref="AH649">XLOOKUP(AC649,'Dados Funil'!A:A,'Dados Funil'!AN:AN,"")</f>
        <v/>
      </c>
    </row>
    <row r="650">
      <c r="A650" s="4"/>
      <c r="B650" s="4"/>
      <c r="C650" s="7" t="str">
        <f t="shared" si="1"/>
        <v/>
      </c>
      <c r="D650" s="4" t="str">
        <f t="shared" si="9"/>
        <v/>
      </c>
      <c r="E650" s="4" t="str">
        <f t="array" ref="E650">XLOOKUP(A650,'Dados Funil'!$A:$A,'Dados Funil'!$K:$K,"")</f>
        <v/>
      </c>
      <c r="F650" s="4" t="str">
        <f t="array" ref="F650">XLOOKUP(A650,'Dados Funil'!$A:$A,'Dados Funil'!$L:$L,"")</f>
        <v/>
      </c>
      <c r="G650" s="4"/>
      <c r="H650" s="4"/>
      <c r="I650" s="7" t="str">
        <f t="shared" si="2"/>
        <v/>
      </c>
      <c r="J650" s="4" t="str">
        <f t="shared" si="10"/>
        <v/>
      </c>
      <c r="K650" s="4" t="str">
        <f t="array" ref="K650">XLOOKUP(G650,'Dados Funil'!A:A,'Dados Funil'!O:O,"")</f>
        <v/>
      </c>
      <c r="L650" s="4"/>
      <c r="M650" s="4"/>
      <c r="N650" s="7" t="str">
        <f t="shared" si="3"/>
        <v/>
      </c>
      <c r="O650" s="4" t="str">
        <f t="shared" si="11"/>
        <v/>
      </c>
      <c r="P650" s="4" t="str">
        <f t="array" ref="P650">XLOOKUP(L650,'Dados Funil'!A:A,'Dados Funil'!AM:AM,"")</f>
        <v/>
      </c>
      <c r="Q650" s="4" t="str">
        <f t="array" ref="Q650">XLOOKUP(L650,'Dados Funil'!A:A,'Dados Funil'!AN:AN,"")</f>
        <v/>
      </c>
      <c r="T650" s="7" t="str">
        <f t="shared" si="4"/>
        <v/>
      </c>
      <c r="U650" s="4" t="str">
        <f t="shared" si="12"/>
        <v/>
      </c>
      <c r="V650" s="4" t="str">
        <f t="array" ref="V650">XLOOKUP(R650,'Dados Funil'!$A:$A,'Dados Funil'!$K:$K,"")</f>
        <v/>
      </c>
      <c r="W650" s="4" t="str">
        <f t="array" ref="W650">XLOOKUP(R650,'Dados Funil'!$A:$A,'Dados Funil'!$L:$L,"")</f>
        <v/>
      </c>
      <c r="X650" s="4"/>
      <c r="Y650" s="4"/>
      <c r="Z650" s="7" t="str">
        <f t="shared" si="5"/>
        <v/>
      </c>
      <c r="AA650" s="4" t="str">
        <f t="shared" si="13"/>
        <v/>
      </c>
      <c r="AB650" s="4" t="str">
        <f t="array" ref="AB650">XLOOKUP(X650,'Dados Funil'!A:A,'Dados Funil'!O:O,"")</f>
        <v/>
      </c>
      <c r="AE650" s="7" t="str">
        <f t="shared" si="6"/>
        <v/>
      </c>
      <c r="AG650" s="4" t="str">
        <f t="array" ref="AG650">XLOOKUP(AC650,'Dados Funil'!A:A,'Dados Funil'!AM:AM,"")</f>
        <v/>
      </c>
      <c r="AH650" s="4" t="str">
        <f t="array" ref="AH650">XLOOKUP(AC650,'Dados Funil'!A:A,'Dados Funil'!AN:AN,"")</f>
        <v/>
      </c>
    </row>
    <row r="651">
      <c r="A651" s="4"/>
      <c r="B651" s="4"/>
      <c r="C651" s="7" t="str">
        <f t="shared" si="1"/>
        <v/>
      </c>
      <c r="D651" s="4" t="str">
        <f t="shared" si="9"/>
        <v/>
      </c>
      <c r="E651" s="4" t="str">
        <f t="array" ref="E651">XLOOKUP(A651,'Dados Funil'!$A:$A,'Dados Funil'!$K:$K,"")</f>
        <v/>
      </c>
      <c r="F651" s="4" t="str">
        <f t="array" ref="F651">XLOOKUP(A651,'Dados Funil'!$A:$A,'Dados Funil'!$L:$L,"")</f>
        <v/>
      </c>
      <c r="G651" s="4"/>
      <c r="H651" s="4"/>
      <c r="I651" s="7" t="str">
        <f t="shared" si="2"/>
        <v/>
      </c>
      <c r="J651" s="4" t="str">
        <f t="shared" si="10"/>
        <v/>
      </c>
      <c r="K651" s="4" t="str">
        <f t="array" ref="K651">XLOOKUP(G651,'Dados Funil'!A:A,'Dados Funil'!O:O,"")</f>
        <v/>
      </c>
      <c r="L651" s="4"/>
      <c r="M651" s="4"/>
      <c r="N651" s="7" t="str">
        <f t="shared" si="3"/>
        <v/>
      </c>
      <c r="O651" s="4" t="str">
        <f t="shared" si="11"/>
        <v/>
      </c>
      <c r="P651" s="4" t="str">
        <f t="array" ref="P651">XLOOKUP(L651,'Dados Funil'!A:A,'Dados Funil'!AM:AM,"")</f>
        <v/>
      </c>
      <c r="Q651" s="4" t="str">
        <f t="array" ref="Q651">XLOOKUP(L651,'Dados Funil'!A:A,'Dados Funil'!AN:AN,"")</f>
        <v/>
      </c>
      <c r="T651" s="7" t="str">
        <f t="shared" si="4"/>
        <v/>
      </c>
      <c r="U651" s="4" t="str">
        <f t="shared" si="12"/>
        <v/>
      </c>
      <c r="V651" s="4" t="str">
        <f t="array" ref="V651">XLOOKUP(R651,'Dados Funil'!$A:$A,'Dados Funil'!$K:$K,"")</f>
        <v/>
      </c>
      <c r="W651" s="4" t="str">
        <f t="array" ref="W651">XLOOKUP(R651,'Dados Funil'!$A:$A,'Dados Funil'!$L:$L,"")</f>
        <v/>
      </c>
      <c r="X651" s="4"/>
      <c r="Y651" s="4"/>
      <c r="Z651" s="7" t="str">
        <f t="shared" si="5"/>
        <v/>
      </c>
      <c r="AA651" s="4" t="str">
        <f t="shared" si="13"/>
        <v/>
      </c>
      <c r="AB651" s="4" t="str">
        <f t="array" ref="AB651">XLOOKUP(X651,'Dados Funil'!A:A,'Dados Funil'!O:O,"")</f>
        <v/>
      </c>
      <c r="AE651" s="7" t="str">
        <f t="shared" si="6"/>
        <v/>
      </c>
      <c r="AG651" s="4" t="str">
        <f t="array" ref="AG651">XLOOKUP(AC651,'Dados Funil'!A:A,'Dados Funil'!AM:AM,"")</f>
        <v/>
      </c>
      <c r="AH651" s="4" t="str">
        <f t="array" ref="AH651">XLOOKUP(AC651,'Dados Funil'!A:A,'Dados Funil'!AN:AN,"")</f>
        <v/>
      </c>
    </row>
    <row r="652">
      <c r="A652" s="4"/>
      <c r="B652" s="4"/>
      <c r="C652" s="7" t="str">
        <f t="shared" si="1"/>
        <v/>
      </c>
      <c r="D652" s="4" t="str">
        <f t="shared" si="9"/>
        <v/>
      </c>
      <c r="E652" s="4" t="str">
        <f t="array" ref="E652">XLOOKUP(A652,'Dados Funil'!$A:$A,'Dados Funil'!$K:$K,"")</f>
        <v/>
      </c>
      <c r="F652" s="4" t="str">
        <f t="array" ref="F652">XLOOKUP(A652,'Dados Funil'!$A:$A,'Dados Funil'!$L:$L,"")</f>
        <v/>
      </c>
      <c r="G652" s="4"/>
      <c r="H652" s="4"/>
      <c r="I652" s="7" t="str">
        <f t="shared" si="2"/>
        <v/>
      </c>
      <c r="J652" s="4" t="str">
        <f t="shared" si="10"/>
        <v/>
      </c>
      <c r="K652" s="4" t="str">
        <f t="array" ref="K652">XLOOKUP(G652,'Dados Funil'!A:A,'Dados Funil'!O:O,"")</f>
        <v/>
      </c>
      <c r="L652" s="4"/>
      <c r="M652" s="4"/>
      <c r="N652" s="7" t="str">
        <f t="shared" si="3"/>
        <v/>
      </c>
      <c r="O652" s="4" t="str">
        <f t="shared" si="11"/>
        <v/>
      </c>
      <c r="P652" s="4" t="str">
        <f t="array" ref="P652">XLOOKUP(L652,'Dados Funil'!A:A,'Dados Funil'!AM:AM,"")</f>
        <v/>
      </c>
      <c r="Q652" s="4" t="str">
        <f t="array" ref="Q652">XLOOKUP(L652,'Dados Funil'!A:A,'Dados Funil'!AN:AN,"")</f>
        <v/>
      </c>
      <c r="T652" s="7" t="str">
        <f t="shared" si="4"/>
        <v/>
      </c>
      <c r="U652" s="4" t="str">
        <f t="shared" si="12"/>
        <v/>
      </c>
      <c r="V652" s="4" t="str">
        <f t="array" ref="V652">XLOOKUP(R652,'Dados Funil'!$A:$A,'Dados Funil'!$K:$K,"")</f>
        <v/>
      </c>
      <c r="W652" s="4" t="str">
        <f t="array" ref="W652">XLOOKUP(R652,'Dados Funil'!$A:$A,'Dados Funil'!$L:$L,"")</f>
        <v/>
      </c>
      <c r="X652" s="4"/>
      <c r="Y652" s="4"/>
      <c r="Z652" s="7" t="str">
        <f t="shared" si="5"/>
        <v/>
      </c>
      <c r="AA652" s="4" t="str">
        <f t="shared" si="13"/>
        <v/>
      </c>
      <c r="AB652" s="4" t="str">
        <f t="array" ref="AB652">XLOOKUP(X652,'Dados Funil'!A:A,'Dados Funil'!O:O,"")</f>
        <v/>
      </c>
      <c r="AE652" s="7" t="str">
        <f t="shared" si="6"/>
        <v/>
      </c>
      <c r="AG652" s="4" t="str">
        <f t="array" ref="AG652">XLOOKUP(AC652,'Dados Funil'!A:A,'Dados Funil'!AM:AM,"")</f>
        <v/>
      </c>
      <c r="AH652" s="4" t="str">
        <f t="array" ref="AH652">XLOOKUP(AC652,'Dados Funil'!A:A,'Dados Funil'!AN:AN,"")</f>
        <v/>
      </c>
    </row>
    <row r="653">
      <c r="A653" s="4"/>
      <c r="B653" s="4"/>
      <c r="C653" s="7" t="str">
        <f t="shared" si="1"/>
        <v/>
      </c>
      <c r="D653" s="4" t="str">
        <f t="shared" si="9"/>
        <v/>
      </c>
      <c r="E653" s="4" t="str">
        <f t="array" ref="E653">XLOOKUP(A653,'Dados Funil'!$A:$A,'Dados Funil'!$K:$K,"")</f>
        <v/>
      </c>
      <c r="F653" s="4" t="str">
        <f t="array" ref="F653">XLOOKUP(A653,'Dados Funil'!$A:$A,'Dados Funil'!$L:$L,"")</f>
        <v/>
      </c>
      <c r="G653" s="4"/>
      <c r="H653" s="4"/>
      <c r="I653" s="7" t="str">
        <f t="shared" si="2"/>
        <v/>
      </c>
      <c r="J653" s="4" t="str">
        <f t="shared" si="10"/>
        <v/>
      </c>
      <c r="K653" s="4" t="str">
        <f t="array" ref="K653">XLOOKUP(G653,'Dados Funil'!A:A,'Dados Funil'!O:O,"")</f>
        <v/>
      </c>
      <c r="L653" s="4"/>
      <c r="M653" s="4"/>
      <c r="N653" s="7" t="str">
        <f t="shared" si="3"/>
        <v/>
      </c>
      <c r="O653" s="4" t="str">
        <f t="shared" si="11"/>
        <v/>
      </c>
      <c r="P653" s="4" t="str">
        <f t="array" ref="P653">XLOOKUP(L653,'Dados Funil'!A:A,'Dados Funil'!AM:AM,"")</f>
        <v/>
      </c>
      <c r="Q653" s="4" t="str">
        <f t="array" ref="Q653">XLOOKUP(L653,'Dados Funil'!A:A,'Dados Funil'!AN:AN,"")</f>
        <v/>
      </c>
      <c r="T653" s="7" t="str">
        <f t="shared" si="4"/>
        <v/>
      </c>
      <c r="U653" s="4" t="str">
        <f t="shared" si="12"/>
        <v/>
      </c>
      <c r="V653" s="4" t="str">
        <f t="array" ref="V653">XLOOKUP(R653,'Dados Funil'!$A:$A,'Dados Funil'!$K:$K,"")</f>
        <v/>
      </c>
      <c r="W653" s="4" t="str">
        <f t="array" ref="W653">XLOOKUP(R653,'Dados Funil'!$A:$A,'Dados Funil'!$L:$L,"")</f>
        <v/>
      </c>
      <c r="X653" s="4"/>
      <c r="Y653" s="4"/>
      <c r="Z653" s="7" t="str">
        <f t="shared" si="5"/>
        <v/>
      </c>
      <c r="AA653" s="4" t="str">
        <f t="shared" si="13"/>
        <v/>
      </c>
      <c r="AB653" s="4" t="str">
        <f t="array" ref="AB653">XLOOKUP(X653,'Dados Funil'!A:A,'Dados Funil'!O:O,"")</f>
        <v/>
      </c>
      <c r="AE653" s="7" t="str">
        <f t="shared" si="6"/>
        <v/>
      </c>
      <c r="AG653" s="4" t="str">
        <f t="array" ref="AG653">XLOOKUP(AC653,'Dados Funil'!A:A,'Dados Funil'!AM:AM,"")</f>
        <v/>
      </c>
      <c r="AH653" s="4" t="str">
        <f t="array" ref="AH653">XLOOKUP(AC653,'Dados Funil'!A:A,'Dados Funil'!AN:AN,"")</f>
        <v/>
      </c>
    </row>
    <row r="654">
      <c r="A654" s="4"/>
      <c r="B654" s="4"/>
      <c r="C654" s="7" t="str">
        <f t="shared" si="1"/>
        <v/>
      </c>
      <c r="D654" s="4" t="str">
        <f t="shared" si="9"/>
        <v/>
      </c>
      <c r="E654" s="4" t="str">
        <f t="array" ref="E654">XLOOKUP(A654,'Dados Funil'!$A:$A,'Dados Funil'!$K:$K,"")</f>
        <v/>
      </c>
      <c r="F654" s="4" t="str">
        <f t="array" ref="F654">XLOOKUP(A654,'Dados Funil'!$A:$A,'Dados Funil'!$L:$L,"")</f>
        <v/>
      </c>
      <c r="G654" s="4"/>
      <c r="H654" s="4"/>
      <c r="I654" s="7" t="str">
        <f t="shared" si="2"/>
        <v/>
      </c>
      <c r="J654" s="4" t="str">
        <f t="shared" si="10"/>
        <v/>
      </c>
      <c r="K654" s="4" t="str">
        <f t="array" ref="K654">XLOOKUP(G654,'Dados Funil'!A:A,'Dados Funil'!O:O,"")</f>
        <v/>
      </c>
      <c r="L654" s="4"/>
      <c r="M654" s="4"/>
      <c r="N654" s="7" t="str">
        <f t="shared" si="3"/>
        <v/>
      </c>
      <c r="O654" s="4" t="str">
        <f t="shared" si="11"/>
        <v/>
      </c>
      <c r="P654" s="4" t="str">
        <f t="array" ref="P654">XLOOKUP(L654,'Dados Funil'!A:A,'Dados Funil'!AM:AM,"")</f>
        <v/>
      </c>
      <c r="Q654" s="4" t="str">
        <f t="array" ref="Q654">XLOOKUP(L654,'Dados Funil'!A:A,'Dados Funil'!AN:AN,"")</f>
        <v/>
      </c>
      <c r="T654" s="7" t="str">
        <f t="shared" si="4"/>
        <v/>
      </c>
      <c r="U654" s="4" t="str">
        <f t="shared" si="12"/>
        <v/>
      </c>
      <c r="V654" s="4" t="str">
        <f t="array" ref="V654">XLOOKUP(R654,'Dados Funil'!$A:$A,'Dados Funil'!$K:$K,"")</f>
        <v/>
      </c>
      <c r="W654" s="4" t="str">
        <f t="array" ref="W654">XLOOKUP(R654,'Dados Funil'!$A:$A,'Dados Funil'!$L:$L,"")</f>
        <v/>
      </c>
      <c r="X654" s="4"/>
      <c r="Y654" s="4"/>
      <c r="Z654" s="7" t="str">
        <f t="shared" si="5"/>
        <v/>
      </c>
      <c r="AA654" s="4" t="str">
        <f t="shared" si="13"/>
        <v/>
      </c>
      <c r="AB654" s="4" t="str">
        <f t="array" ref="AB654">XLOOKUP(X654,'Dados Funil'!A:A,'Dados Funil'!O:O,"")</f>
        <v/>
      </c>
      <c r="AE654" s="7" t="str">
        <f t="shared" si="6"/>
        <v/>
      </c>
      <c r="AG654" s="4" t="str">
        <f t="array" ref="AG654">XLOOKUP(AC654,'Dados Funil'!A:A,'Dados Funil'!AM:AM,"")</f>
        <v/>
      </c>
      <c r="AH654" s="4" t="str">
        <f t="array" ref="AH654">XLOOKUP(AC654,'Dados Funil'!A:A,'Dados Funil'!AN:AN,"")</f>
        <v/>
      </c>
    </row>
    <row r="655">
      <c r="A655" s="4"/>
      <c r="B655" s="4"/>
      <c r="C655" s="7" t="str">
        <f t="shared" si="1"/>
        <v/>
      </c>
      <c r="D655" s="4" t="str">
        <f t="shared" si="9"/>
        <v/>
      </c>
      <c r="E655" s="4" t="str">
        <f t="array" ref="E655">XLOOKUP(A655,'Dados Funil'!$A:$A,'Dados Funil'!$K:$K,"")</f>
        <v/>
      </c>
      <c r="F655" s="4" t="str">
        <f t="array" ref="F655">XLOOKUP(A655,'Dados Funil'!$A:$A,'Dados Funil'!$L:$L,"")</f>
        <v/>
      </c>
      <c r="G655" s="4"/>
      <c r="H655" s="4"/>
      <c r="I655" s="7" t="str">
        <f t="shared" si="2"/>
        <v/>
      </c>
      <c r="J655" s="4" t="str">
        <f t="shared" si="10"/>
        <v/>
      </c>
      <c r="K655" s="4" t="str">
        <f t="array" ref="K655">XLOOKUP(G655,'Dados Funil'!A:A,'Dados Funil'!O:O,"")</f>
        <v/>
      </c>
      <c r="L655" s="4"/>
      <c r="M655" s="4"/>
      <c r="N655" s="7" t="str">
        <f t="shared" si="3"/>
        <v/>
      </c>
      <c r="O655" s="4" t="str">
        <f t="shared" si="11"/>
        <v/>
      </c>
      <c r="P655" s="4" t="str">
        <f t="array" ref="P655">XLOOKUP(L655,'Dados Funil'!A:A,'Dados Funil'!AM:AM,"")</f>
        <v/>
      </c>
      <c r="Q655" s="4" t="str">
        <f t="array" ref="Q655">XLOOKUP(L655,'Dados Funil'!A:A,'Dados Funil'!AN:AN,"")</f>
        <v/>
      </c>
      <c r="T655" s="7" t="str">
        <f t="shared" si="4"/>
        <v/>
      </c>
      <c r="U655" s="4" t="str">
        <f t="shared" si="12"/>
        <v/>
      </c>
      <c r="V655" s="4" t="str">
        <f t="array" ref="V655">XLOOKUP(R655,'Dados Funil'!$A:$A,'Dados Funil'!$K:$K,"")</f>
        <v/>
      </c>
      <c r="W655" s="4" t="str">
        <f t="array" ref="W655">XLOOKUP(R655,'Dados Funil'!$A:$A,'Dados Funil'!$L:$L,"")</f>
        <v/>
      </c>
      <c r="X655" s="4"/>
      <c r="Y655" s="4"/>
      <c r="Z655" s="7" t="str">
        <f t="shared" si="5"/>
        <v/>
      </c>
      <c r="AA655" s="4" t="str">
        <f t="shared" si="13"/>
        <v/>
      </c>
      <c r="AB655" s="4" t="str">
        <f t="array" ref="AB655">XLOOKUP(X655,'Dados Funil'!A:A,'Dados Funil'!O:O,"")</f>
        <v/>
      </c>
      <c r="AE655" s="7" t="str">
        <f t="shared" si="6"/>
        <v/>
      </c>
      <c r="AG655" s="4" t="str">
        <f t="array" ref="AG655">XLOOKUP(AC655,'Dados Funil'!A:A,'Dados Funil'!AM:AM,"")</f>
        <v/>
      </c>
      <c r="AH655" s="4" t="str">
        <f t="array" ref="AH655">XLOOKUP(AC655,'Dados Funil'!A:A,'Dados Funil'!AN:AN,"")</f>
        <v/>
      </c>
    </row>
    <row r="656">
      <c r="A656" s="4"/>
      <c r="B656" s="4"/>
      <c r="C656" s="7" t="str">
        <f t="shared" si="1"/>
        <v/>
      </c>
      <c r="D656" s="4" t="str">
        <f t="shared" si="9"/>
        <v/>
      </c>
      <c r="E656" s="4" t="str">
        <f t="array" ref="E656">XLOOKUP(A656,'Dados Funil'!$A:$A,'Dados Funil'!$K:$K,"")</f>
        <v/>
      </c>
      <c r="F656" s="4" t="str">
        <f t="array" ref="F656">XLOOKUP(A656,'Dados Funil'!$A:$A,'Dados Funil'!$L:$L,"")</f>
        <v/>
      </c>
      <c r="G656" s="4"/>
      <c r="H656" s="4"/>
      <c r="I656" s="7" t="str">
        <f t="shared" si="2"/>
        <v/>
      </c>
      <c r="J656" s="4" t="str">
        <f t="shared" si="10"/>
        <v/>
      </c>
      <c r="K656" s="4" t="str">
        <f t="array" ref="K656">XLOOKUP(G656,'Dados Funil'!A:A,'Dados Funil'!O:O,"")</f>
        <v/>
      </c>
      <c r="L656" s="4"/>
      <c r="M656" s="4"/>
      <c r="N656" s="7" t="str">
        <f t="shared" si="3"/>
        <v/>
      </c>
      <c r="O656" s="4" t="str">
        <f t="shared" si="11"/>
        <v/>
      </c>
      <c r="P656" s="4" t="str">
        <f t="array" ref="P656">XLOOKUP(L656,'Dados Funil'!A:A,'Dados Funil'!AM:AM,"")</f>
        <v/>
      </c>
      <c r="Q656" s="4" t="str">
        <f t="array" ref="Q656">XLOOKUP(L656,'Dados Funil'!A:A,'Dados Funil'!AN:AN,"")</f>
        <v/>
      </c>
      <c r="T656" s="7" t="str">
        <f t="shared" si="4"/>
        <v/>
      </c>
      <c r="U656" s="4" t="str">
        <f t="shared" si="12"/>
        <v/>
      </c>
      <c r="V656" s="4" t="str">
        <f t="array" ref="V656">XLOOKUP(R656,'Dados Funil'!$A:$A,'Dados Funil'!$K:$K,"")</f>
        <v/>
      </c>
      <c r="W656" s="4" t="str">
        <f t="array" ref="W656">XLOOKUP(R656,'Dados Funil'!$A:$A,'Dados Funil'!$L:$L,"")</f>
        <v/>
      </c>
      <c r="X656" s="4"/>
      <c r="Y656" s="4"/>
      <c r="Z656" s="7" t="str">
        <f t="shared" si="5"/>
        <v/>
      </c>
      <c r="AA656" s="4" t="str">
        <f t="shared" si="13"/>
        <v/>
      </c>
      <c r="AB656" s="4" t="str">
        <f t="array" ref="AB656">XLOOKUP(X656,'Dados Funil'!A:A,'Dados Funil'!O:O,"")</f>
        <v/>
      </c>
      <c r="AE656" s="7" t="str">
        <f t="shared" si="6"/>
        <v/>
      </c>
      <c r="AG656" s="4" t="str">
        <f t="array" ref="AG656">XLOOKUP(AC656,'Dados Funil'!A:A,'Dados Funil'!AM:AM,"")</f>
        <v/>
      </c>
      <c r="AH656" s="4" t="str">
        <f t="array" ref="AH656">XLOOKUP(AC656,'Dados Funil'!A:A,'Dados Funil'!AN:AN,"")</f>
        <v/>
      </c>
    </row>
    <row r="657">
      <c r="A657" s="4"/>
      <c r="B657" s="4"/>
      <c r="C657" s="7" t="str">
        <f t="shared" si="1"/>
        <v/>
      </c>
      <c r="D657" s="4" t="str">
        <f t="shared" si="9"/>
        <v/>
      </c>
      <c r="E657" s="4" t="str">
        <f t="array" ref="E657">XLOOKUP(A657,'Dados Funil'!$A:$A,'Dados Funil'!$K:$K,"")</f>
        <v/>
      </c>
      <c r="F657" s="4" t="str">
        <f t="array" ref="F657">XLOOKUP(A657,'Dados Funil'!$A:$A,'Dados Funil'!$L:$L,"")</f>
        <v/>
      </c>
      <c r="G657" s="4"/>
      <c r="H657" s="4"/>
      <c r="I657" s="7" t="str">
        <f t="shared" si="2"/>
        <v/>
      </c>
      <c r="J657" s="4" t="str">
        <f t="shared" si="10"/>
        <v/>
      </c>
      <c r="K657" s="4" t="str">
        <f t="array" ref="K657">XLOOKUP(G657,'Dados Funil'!A:A,'Dados Funil'!O:O,"")</f>
        <v/>
      </c>
      <c r="L657" s="4"/>
      <c r="M657" s="4"/>
      <c r="N657" s="7" t="str">
        <f t="shared" si="3"/>
        <v/>
      </c>
      <c r="O657" s="4" t="str">
        <f t="shared" si="11"/>
        <v/>
      </c>
      <c r="P657" s="4" t="str">
        <f t="array" ref="P657">XLOOKUP(L657,'Dados Funil'!A:A,'Dados Funil'!AM:AM,"")</f>
        <v/>
      </c>
      <c r="Q657" s="4" t="str">
        <f t="array" ref="Q657">XLOOKUP(L657,'Dados Funil'!A:A,'Dados Funil'!AN:AN,"")</f>
        <v/>
      </c>
      <c r="T657" s="7" t="str">
        <f t="shared" si="4"/>
        <v/>
      </c>
      <c r="U657" s="4" t="str">
        <f t="shared" si="12"/>
        <v/>
      </c>
      <c r="V657" s="4" t="str">
        <f t="array" ref="V657">XLOOKUP(R657,'Dados Funil'!$A:$A,'Dados Funil'!$K:$K,"")</f>
        <v/>
      </c>
      <c r="W657" s="4" t="str">
        <f t="array" ref="W657">XLOOKUP(R657,'Dados Funil'!$A:$A,'Dados Funil'!$L:$L,"")</f>
        <v/>
      </c>
      <c r="X657" s="4"/>
      <c r="Y657" s="4"/>
      <c r="Z657" s="7" t="str">
        <f t="shared" si="5"/>
        <v/>
      </c>
      <c r="AA657" s="4" t="str">
        <f t="shared" si="13"/>
        <v/>
      </c>
      <c r="AB657" s="4" t="str">
        <f t="array" ref="AB657">XLOOKUP(X657,'Dados Funil'!A:A,'Dados Funil'!O:O,"")</f>
        <v/>
      </c>
      <c r="AE657" s="7" t="str">
        <f t="shared" si="6"/>
        <v/>
      </c>
      <c r="AG657" s="4" t="str">
        <f t="array" ref="AG657">XLOOKUP(AC657,'Dados Funil'!A:A,'Dados Funil'!AM:AM,"")</f>
        <v/>
      </c>
      <c r="AH657" s="4" t="str">
        <f t="array" ref="AH657">XLOOKUP(AC657,'Dados Funil'!A:A,'Dados Funil'!AN:AN,"")</f>
        <v/>
      </c>
    </row>
    <row r="658">
      <c r="A658" s="4"/>
      <c r="B658" s="4"/>
      <c r="C658" s="7" t="str">
        <f t="shared" si="1"/>
        <v/>
      </c>
      <c r="D658" s="4" t="str">
        <f t="shared" si="9"/>
        <v/>
      </c>
      <c r="E658" s="4" t="str">
        <f t="array" ref="E658">XLOOKUP(A658,'Dados Funil'!$A:$A,'Dados Funil'!$K:$K,"")</f>
        <v/>
      </c>
      <c r="F658" s="4" t="str">
        <f t="array" ref="F658">XLOOKUP(A658,'Dados Funil'!$A:$A,'Dados Funil'!$L:$L,"")</f>
        <v/>
      </c>
      <c r="G658" s="4"/>
      <c r="H658" s="4"/>
      <c r="I658" s="7" t="str">
        <f t="shared" si="2"/>
        <v/>
      </c>
      <c r="J658" s="4" t="str">
        <f t="shared" si="10"/>
        <v/>
      </c>
      <c r="K658" s="4" t="str">
        <f t="array" ref="K658">XLOOKUP(G658,'Dados Funil'!A:A,'Dados Funil'!O:O,"")</f>
        <v/>
      </c>
      <c r="L658" s="4"/>
      <c r="M658" s="4"/>
      <c r="N658" s="7" t="str">
        <f t="shared" si="3"/>
        <v/>
      </c>
      <c r="O658" s="4" t="str">
        <f t="shared" si="11"/>
        <v/>
      </c>
      <c r="P658" s="4" t="str">
        <f t="array" ref="P658">XLOOKUP(L658,'Dados Funil'!A:A,'Dados Funil'!AM:AM,"")</f>
        <v/>
      </c>
      <c r="Q658" s="4" t="str">
        <f t="array" ref="Q658">XLOOKUP(L658,'Dados Funil'!A:A,'Dados Funil'!AN:AN,"")</f>
        <v/>
      </c>
      <c r="T658" s="7" t="str">
        <f t="shared" si="4"/>
        <v/>
      </c>
      <c r="U658" s="4" t="str">
        <f t="shared" si="12"/>
        <v/>
      </c>
      <c r="V658" s="4" t="str">
        <f t="array" ref="V658">XLOOKUP(R658,'Dados Funil'!$A:$A,'Dados Funil'!$K:$K,"")</f>
        <v/>
      </c>
      <c r="W658" s="4" t="str">
        <f t="array" ref="W658">XLOOKUP(R658,'Dados Funil'!$A:$A,'Dados Funil'!$L:$L,"")</f>
        <v/>
      </c>
      <c r="X658" s="4"/>
      <c r="Y658" s="4"/>
      <c r="Z658" s="7" t="str">
        <f t="shared" si="5"/>
        <v/>
      </c>
      <c r="AA658" s="4" t="str">
        <f t="shared" si="13"/>
        <v/>
      </c>
      <c r="AB658" s="4" t="str">
        <f t="array" ref="AB658">XLOOKUP(X658,'Dados Funil'!A:A,'Dados Funil'!O:O,"")</f>
        <v/>
      </c>
      <c r="AE658" s="7" t="str">
        <f t="shared" si="6"/>
        <v/>
      </c>
      <c r="AG658" s="4" t="str">
        <f t="array" ref="AG658">XLOOKUP(AC658,'Dados Funil'!A:A,'Dados Funil'!AM:AM,"")</f>
        <v/>
      </c>
      <c r="AH658" s="4" t="str">
        <f t="array" ref="AH658">XLOOKUP(AC658,'Dados Funil'!A:A,'Dados Funil'!AN:AN,"")</f>
        <v/>
      </c>
    </row>
    <row r="659">
      <c r="A659" s="4"/>
      <c r="B659" s="4"/>
      <c r="C659" s="7" t="str">
        <f t="shared" si="1"/>
        <v/>
      </c>
      <c r="D659" s="4" t="str">
        <f t="shared" si="9"/>
        <v/>
      </c>
      <c r="E659" s="4" t="str">
        <f t="array" ref="E659">XLOOKUP(A659,'Dados Funil'!$A:$A,'Dados Funil'!$K:$K,"")</f>
        <v/>
      </c>
      <c r="F659" s="4" t="str">
        <f t="array" ref="F659">XLOOKUP(A659,'Dados Funil'!$A:$A,'Dados Funil'!$L:$L,"")</f>
        <v/>
      </c>
      <c r="G659" s="4"/>
      <c r="H659" s="4"/>
      <c r="I659" s="7" t="str">
        <f t="shared" si="2"/>
        <v/>
      </c>
      <c r="J659" s="4" t="str">
        <f t="shared" si="10"/>
        <v/>
      </c>
      <c r="K659" s="4" t="str">
        <f t="array" ref="K659">XLOOKUP(G659,'Dados Funil'!A:A,'Dados Funil'!O:O,"")</f>
        <v/>
      </c>
      <c r="L659" s="4"/>
      <c r="M659" s="4"/>
      <c r="N659" s="7" t="str">
        <f t="shared" si="3"/>
        <v/>
      </c>
      <c r="O659" s="4" t="str">
        <f t="shared" si="11"/>
        <v/>
      </c>
      <c r="P659" s="4" t="str">
        <f t="array" ref="P659">XLOOKUP(L659,'Dados Funil'!A:A,'Dados Funil'!AM:AM,"")</f>
        <v/>
      </c>
      <c r="Q659" s="4" t="str">
        <f t="array" ref="Q659">XLOOKUP(L659,'Dados Funil'!A:A,'Dados Funil'!AN:AN,"")</f>
        <v/>
      </c>
      <c r="T659" s="7" t="str">
        <f t="shared" si="4"/>
        <v/>
      </c>
      <c r="U659" s="4" t="str">
        <f t="shared" si="12"/>
        <v/>
      </c>
      <c r="V659" s="4" t="str">
        <f t="array" ref="V659">XLOOKUP(R659,'Dados Funil'!$A:$A,'Dados Funil'!$K:$K,"")</f>
        <v/>
      </c>
      <c r="W659" s="4" t="str">
        <f t="array" ref="W659">XLOOKUP(R659,'Dados Funil'!$A:$A,'Dados Funil'!$L:$L,"")</f>
        <v/>
      </c>
      <c r="X659" s="4"/>
      <c r="Y659" s="4"/>
      <c r="Z659" s="7" t="str">
        <f t="shared" si="5"/>
        <v/>
      </c>
      <c r="AA659" s="4" t="str">
        <f t="shared" si="13"/>
        <v/>
      </c>
      <c r="AB659" s="4" t="str">
        <f t="array" ref="AB659">XLOOKUP(X659,'Dados Funil'!A:A,'Dados Funil'!O:O,"")</f>
        <v/>
      </c>
      <c r="AE659" s="7" t="str">
        <f t="shared" si="6"/>
        <v/>
      </c>
      <c r="AG659" s="4" t="str">
        <f t="array" ref="AG659">XLOOKUP(AC659,'Dados Funil'!A:A,'Dados Funil'!AM:AM,"")</f>
        <v/>
      </c>
      <c r="AH659" s="4" t="str">
        <f t="array" ref="AH659">XLOOKUP(AC659,'Dados Funil'!A:A,'Dados Funil'!AN:AN,"")</f>
        <v/>
      </c>
    </row>
    <row r="660">
      <c r="A660" s="4"/>
      <c r="B660" s="4"/>
      <c r="C660" s="7" t="str">
        <f t="shared" si="1"/>
        <v/>
      </c>
      <c r="D660" s="4" t="str">
        <f t="shared" si="9"/>
        <v/>
      </c>
      <c r="E660" s="4" t="str">
        <f t="array" ref="E660">XLOOKUP(A660,'Dados Funil'!$A:$A,'Dados Funil'!$K:$K,"")</f>
        <v/>
      </c>
      <c r="F660" s="4" t="str">
        <f t="array" ref="F660">XLOOKUP(A660,'Dados Funil'!$A:$A,'Dados Funil'!$L:$L,"")</f>
        <v/>
      </c>
      <c r="G660" s="4"/>
      <c r="H660" s="4"/>
      <c r="I660" s="7" t="str">
        <f t="shared" si="2"/>
        <v/>
      </c>
      <c r="J660" s="4" t="str">
        <f t="shared" si="10"/>
        <v/>
      </c>
      <c r="K660" s="4" t="str">
        <f t="array" ref="K660">XLOOKUP(G660,'Dados Funil'!A:A,'Dados Funil'!O:O,"")</f>
        <v/>
      </c>
      <c r="L660" s="4"/>
      <c r="M660" s="4"/>
      <c r="N660" s="7" t="str">
        <f t="shared" si="3"/>
        <v/>
      </c>
      <c r="O660" s="4" t="str">
        <f t="shared" si="11"/>
        <v/>
      </c>
      <c r="P660" s="4" t="str">
        <f t="array" ref="P660">XLOOKUP(L660,'Dados Funil'!A:A,'Dados Funil'!AM:AM,"")</f>
        <v/>
      </c>
      <c r="Q660" s="4" t="str">
        <f t="array" ref="Q660">XLOOKUP(L660,'Dados Funil'!A:A,'Dados Funil'!AN:AN,"")</f>
        <v/>
      </c>
      <c r="T660" s="7" t="str">
        <f t="shared" si="4"/>
        <v/>
      </c>
      <c r="U660" s="4" t="str">
        <f t="shared" si="12"/>
        <v/>
      </c>
      <c r="V660" s="4" t="str">
        <f t="array" ref="V660">XLOOKUP(R660,'Dados Funil'!$A:$A,'Dados Funil'!$K:$K,"")</f>
        <v/>
      </c>
      <c r="W660" s="4" t="str">
        <f t="array" ref="W660">XLOOKUP(R660,'Dados Funil'!$A:$A,'Dados Funil'!$L:$L,"")</f>
        <v/>
      </c>
      <c r="X660" s="4"/>
      <c r="Y660" s="4"/>
      <c r="Z660" s="7" t="str">
        <f t="shared" si="5"/>
        <v/>
      </c>
      <c r="AA660" s="4" t="str">
        <f t="shared" si="13"/>
        <v/>
      </c>
      <c r="AB660" s="4" t="str">
        <f t="array" ref="AB660">XLOOKUP(X660,'Dados Funil'!A:A,'Dados Funil'!O:O,"")</f>
        <v/>
      </c>
      <c r="AE660" s="7" t="str">
        <f t="shared" si="6"/>
        <v/>
      </c>
      <c r="AG660" s="4" t="str">
        <f t="array" ref="AG660">XLOOKUP(AC660,'Dados Funil'!A:A,'Dados Funil'!AM:AM,"")</f>
        <v/>
      </c>
      <c r="AH660" s="4" t="str">
        <f t="array" ref="AH660">XLOOKUP(AC660,'Dados Funil'!A:A,'Dados Funil'!AN:AN,"")</f>
        <v/>
      </c>
    </row>
    <row r="661">
      <c r="A661" s="4"/>
      <c r="B661" s="4"/>
      <c r="C661" s="7" t="str">
        <f t="shared" si="1"/>
        <v/>
      </c>
      <c r="D661" s="4" t="str">
        <f t="shared" si="9"/>
        <v/>
      </c>
      <c r="E661" s="4" t="str">
        <f t="array" ref="E661">XLOOKUP(A661,'Dados Funil'!$A:$A,'Dados Funil'!$K:$K,"")</f>
        <v/>
      </c>
      <c r="F661" s="4" t="str">
        <f t="array" ref="F661">XLOOKUP(A661,'Dados Funil'!$A:$A,'Dados Funil'!$L:$L,"")</f>
        <v/>
      </c>
      <c r="G661" s="4"/>
      <c r="H661" s="4"/>
      <c r="I661" s="7" t="str">
        <f t="shared" si="2"/>
        <v/>
      </c>
      <c r="J661" s="4" t="str">
        <f t="shared" si="10"/>
        <v/>
      </c>
      <c r="K661" s="4" t="str">
        <f t="array" ref="K661">XLOOKUP(G661,'Dados Funil'!A:A,'Dados Funil'!O:O,"")</f>
        <v/>
      </c>
      <c r="L661" s="4"/>
      <c r="M661" s="4"/>
      <c r="N661" s="7" t="str">
        <f t="shared" si="3"/>
        <v/>
      </c>
      <c r="O661" s="4" t="str">
        <f t="shared" si="11"/>
        <v/>
      </c>
      <c r="P661" s="4" t="str">
        <f t="array" ref="P661">XLOOKUP(L661,'Dados Funil'!A:A,'Dados Funil'!AM:AM,"")</f>
        <v/>
      </c>
      <c r="Q661" s="4" t="str">
        <f t="array" ref="Q661">XLOOKUP(L661,'Dados Funil'!A:A,'Dados Funil'!AN:AN,"")</f>
        <v/>
      </c>
      <c r="T661" s="7" t="str">
        <f t="shared" si="4"/>
        <v/>
      </c>
      <c r="U661" s="4" t="str">
        <f t="shared" si="12"/>
        <v/>
      </c>
      <c r="V661" s="4" t="str">
        <f t="array" ref="V661">XLOOKUP(R661,'Dados Funil'!$A:$A,'Dados Funil'!$K:$K,"")</f>
        <v/>
      </c>
      <c r="W661" s="4" t="str">
        <f t="array" ref="W661">XLOOKUP(R661,'Dados Funil'!$A:$A,'Dados Funil'!$L:$L,"")</f>
        <v/>
      </c>
      <c r="X661" s="4"/>
      <c r="Y661" s="4"/>
      <c r="Z661" s="7" t="str">
        <f t="shared" si="5"/>
        <v/>
      </c>
      <c r="AA661" s="4" t="str">
        <f t="shared" si="13"/>
        <v/>
      </c>
      <c r="AB661" s="4" t="str">
        <f t="array" ref="AB661">XLOOKUP(X661,'Dados Funil'!A:A,'Dados Funil'!O:O,"")</f>
        <v/>
      </c>
      <c r="AE661" s="7" t="str">
        <f t="shared" si="6"/>
        <v/>
      </c>
      <c r="AG661" s="4" t="str">
        <f t="array" ref="AG661">XLOOKUP(AC661,'Dados Funil'!A:A,'Dados Funil'!AM:AM,"")</f>
        <v/>
      </c>
      <c r="AH661" s="4" t="str">
        <f t="array" ref="AH661">XLOOKUP(AC661,'Dados Funil'!A:A,'Dados Funil'!AN:AN,"")</f>
        <v/>
      </c>
    </row>
    <row r="662">
      <c r="A662" s="4"/>
      <c r="B662" s="4"/>
      <c r="C662" s="7" t="str">
        <f t="shared" si="1"/>
        <v/>
      </c>
      <c r="D662" s="4" t="str">
        <f t="shared" si="9"/>
        <v/>
      </c>
      <c r="E662" s="4" t="str">
        <f t="array" ref="E662">XLOOKUP(A662,'Dados Funil'!$A:$A,'Dados Funil'!$K:$K,"")</f>
        <v/>
      </c>
      <c r="F662" s="4" t="str">
        <f t="array" ref="F662">XLOOKUP(A662,'Dados Funil'!$A:$A,'Dados Funil'!$L:$L,"")</f>
        <v/>
      </c>
      <c r="G662" s="4"/>
      <c r="H662" s="4"/>
      <c r="I662" s="7" t="str">
        <f t="shared" si="2"/>
        <v/>
      </c>
      <c r="J662" s="4" t="str">
        <f t="shared" si="10"/>
        <v/>
      </c>
      <c r="K662" s="4" t="str">
        <f t="array" ref="K662">XLOOKUP(G662,'Dados Funil'!A:A,'Dados Funil'!O:O,"")</f>
        <v/>
      </c>
      <c r="L662" s="4"/>
      <c r="M662" s="4"/>
      <c r="N662" s="7" t="str">
        <f t="shared" si="3"/>
        <v/>
      </c>
      <c r="O662" s="4" t="str">
        <f t="shared" si="11"/>
        <v/>
      </c>
      <c r="P662" s="4" t="str">
        <f t="array" ref="P662">XLOOKUP(L662,'Dados Funil'!A:A,'Dados Funil'!AM:AM,"")</f>
        <v/>
      </c>
      <c r="Q662" s="4" t="str">
        <f t="array" ref="Q662">XLOOKUP(L662,'Dados Funil'!A:A,'Dados Funil'!AN:AN,"")</f>
        <v/>
      </c>
      <c r="T662" s="7" t="str">
        <f t="shared" si="4"/>
        <v/>
      </c>
      <c r="U662" s="4" t="str">
        <f t="shared" si="12"/>
        <v/>
      </c>
      <c r="V662" s="4" t="str">
        <f t="array" ref="V662">XLOOKUP(R662,'Dados Funil'!$A:$A,'Dados Funil'!$K:$K,"")</f>
        <v/>
      </c>
      <c r="W662" s="4" t="str">
        <f t="array" ref="W662">XLOOKUP(R662,'Dados Funil'!$A:$A,'Dados Funil'!$L:$L,"")</f>
        <v/>
      </c>
      <c r="X662" s="4"/>
      <c r="Y662" s="4"/>
      <c r="Z662" s="7" t="str">
        <f t="shared" si="5"/>
        <v/>
      </c>
      <c r="AA662" s="4" t="str">
        <f t="shared" si="13"/>
        <v/>
      </c>
      <c r="AB662" s="4" t="str">
        <f t="array" ref="AB662">XLOOKUP(X662,'Dados Funil'!A:A,'Dados Funil'!O:O,"")</f>
        <v/>
      </c>
      <c r="AE662" s="7" t="str">
        <f t="shared" si="6"/>
        <v/>
      </c>
      <c r="AG662" s="4" t="str">
        <f t="array" ref="AG662">XLOOKUP(AC662,'Dados Funil'!A:A,'Dados Funil'!AM:AM,"")</f>
        <v/>
      </c>
      <c r="AH662" s="4" t="str">
        <f t="array" ref="AH662">XLOOKUP(AC662,'Dados Funil'!A:A,'Dados Funil'!AN:AN,"")</f>
        <v/>
      </c>
    </row>
    <row r="663">
      <c r="A663" s="4"/>
      <c r="B663" s="4"/>
      <c r="C663" s="7" t="str">
        <f t="shared" si="1"/>
        <v/>
      </c>
      <c r="D663" s="4" t="str">
        <f t="shared" si="9"/>
        <v/>
      </c>
      <c r="E663" s="4" t="str">
        <f t="array" ref="E663">XLOOKUP(A663,'Dados Funil'!$A:$A,'Dados Funil'!$K:$K,"")</f>
        <v/>
      </c>
      <c r="F663" s="4" t="str">
        <f t="array" ref="F663">XLOOKUP(A663,'Dados Funil'!$A:$A,'Dados Funil'!$L:$L,"")</f>
        <v/>
      </c>
      <c r="G663" s="4"/>
      <c r="H663" s="4"/>
      <c r="I663" s="7" t="str">
        <f t="shared" si="2"/>
        <v/>
      </c>
      <c r="J663" s="4" t="str">
        <f t="shared" si="10"/>
        <v/>
      </c>
      <c r="K663" s="4" t="str">
        <f t="array" ref="K663">XLOOKUP(G663,'Dados Funil'!A:A,'Dados Funil'!O:O,"")</f>
        <v/>
      </c>
      <c r="L663" s="4"/>
      <c r="M663" s="4"/>
      <c r="N663" s="7" t="str">
        <f t="shared" si="3"/>
        <v/>
      </c>
      <c r="O663" s="4" t="str">
        <f t="shared" si="11"/>
        <v/>
      </c>
      <c r="P663" s="4" t="str">
        <f t="array" ref="P663">XLOOKUP(L663,'Dados Funil'!A:A,'Dados Funil'!AM:AM,"")</f>
        <v/>
      </c>
      <c r="Q663" s="4" t="str">
        <f t="array" ref="Q663">XLOOKUP(L663,'Dados Funil'!A:A,'Dados Funil'!AN:AN,"")</f>
        <v/>
      </c>
      <c r="T663" s="7" t="str">
        <f t="shared" si="4"/>
        <v/>
      </c>
      <c r="U663" s="4" t="str">
        <f t="shared" si="12"/>
        <v/>
      </c>
      <c r="V663" s="4" t="str">
        <f t="array" ref="V663">XLOOKUP(R663,'Dados Funil'!$A:$A,'Dados Funil'!$K:$K,"")</f>
        <v/>
      </c>
      <c r="W663" s="4" t="str">
        <f t="array" ref="W663">XLOOKUP(R663,'Dados Funil'!$A:$A,'Dados Funil'!$L:$L,"")</f>
        <v/>
      </c>
      <c r="X663" s="4"/>
      <c r="Y663" s="4"/>
      <c r="Z663" s="7" t="str">
        <f t="shared" si="5"/>
        <v/>
      </c>
      <c r="AA663" s="4" t="str">
        <f t="shared" si="13"/>
        <v/>
      </c>
      <c r="AB663" s="4" t="str">
        <f t="array" ref="AB663">XLOOKUP(X663,'Dados Funil'!A:A,'Dados Funil'!O:O,"")</f>
        <v/>
      </c>
      <c r="AE663" s="7" t="str">
        <f t="shared" si="6"/>
        <v/>
      </c>
      <c r="AG663" s="4" t="str">
        <f t="array" ref="AG663">XLOOKUP(AC663,'Dados Funil'!A:A,'Dados Funil'!AM:AM,"")</f>
        <v/>
      </c>
      <c r="AH663" s="4" t="str">
        <f t="array" ref="AH663">XLOOKUP(AC663,'Dados Funil'!A:A,'Dados Funil'!AN:AN,"")</f>
        <v/>
      </c>
    </row>
    <row r="664">
      <c r="A664" s="4"/>
      <c r="B664" s="4"/>
      <c r="C664" s="7" t="str">
        <f t="shared" si="1"/>
        <v/>
      </c>
      <c r="D664" s="4" t="str">
        <f t="shared" si="9"/>
        <v/>
      </c>
      <c r="E664" s="4" t="str">
        <f t="array" ref="E664">XLOOKUP(A664,'Dados Funil'!$A:$A,'Dados Funil'!$K:$K,"")</f>
        <v/>
      </c>
      <c r="F664" s="4" t="str">
        <f t="array" ref="F664">XLOOKUP(A664,'Dados Funil'!$A:$A,'Dados Funil'!$L:$L,"")</f>
        <v/>
      </c>
      <c r="G664" s="4"/>
      <c r="H664" s="4"/>
      <c r="I664" s="7" t="str">
        <f t="shared" si="2"/>
        <v/>
      </c>
      <c r="J664" s="4" t="str">
        <f t="shared" si="10"/>
        <v/>
      </c>
      <c r="K664" s="4" t="str">
        <f t="array" ref="K664">XLOOKUP(G664,'Dados Funil'!A:A,'Dados Funil'!O:O,"")</f>
        <v/>
      </c>
      <c r="L664" s="4"/>
      <c r="M664" s="4"/>
      <c r="N664" s="7" t="str">
        <f t="shared" si="3"/>
        <v/>
      </c>
      <c r="O664" s="4" t="str">
        <f t="shared" si="11"/>
        <v/>
      </c>
      <c r="P664" s="4" t="str">
        <f t="array" ref="P664">XLOOKUP(L664,'Dados Funil'!A:A,'Dados Funil'!AM:AM,"")</f>
        <v/>
      </c>
      <c r="Q664" s="4" t="str">
        <f t="array" ref="Q664">XLOOKUP(L664,'Dados Funil'!A:A,'Dados Funil'!AN:AN,"")</f>
        <v/>
      </c>
      <c r="T664" s="7" t="str">
        <f t="shared" si="4"/>
        <v/>
      </c>
      <c r="U664" s="4" t="str">
        <f t="shared" si="12"/>
        <v/>
      </c>
      <c r="V664" s="4" t="str">
        <f t="array" ref="V664">XLOOKUP(R664,'Dados Funil'!$A:$A,'Dados Funil'!$K:$K,"")</f>
        <v/>
      </c>
      <c r="W664" s="4" t="str">
        <f t="array" ref="W664">XLOOKUP(R664,'Dados Funil'!$A:$A,'Dados Funil'!$L:$L,"")</f>
        <v/>
      </c>
      <c r="X664" s="4"/>
      <c r="Y664" s="4"/>
      <c r="Z664" s="7" t="str">
        <f t="shared" si="5"/>
        <v/>
      </c>
      <c r="AA664" s="4" t="str">
        <f t="shared" si="13"/>
        <v/>
      </c>
      <c r="AB664" s="4" t="str">
        <f t="array" ref="AB664">XLOOKUP(X664,'Dados Funil'!A:A,'Dados Funil'!O:O,"")</f>
        <v/>
      </c>
      <c r="AE664" s="7" t="str">
        <f t="shared" si="6"/>
        <v/>
      </c>
      <c r="AG664" s="4" t="str">
        <f t="array" ref="AG664">XLOOKUP(AC664,'Dados Funil'!A:A,'Dados Funil'!AM:AM,"")</f>
        <v/>
      </c>
      <c r="AH664" s="4" t="str">
        <f t="array" ref="AH664">XLOOKUP(AC664,'Dados Funil'!A:A,'Dados Funil'!AN:AN,"")</f>
        <v/>
      </c>
    </row>
    <row r="665">
      <c r="A665" s="4"/>
      <c r="B665" s="4"/>
      <c r="C665" s="7" t="str">
        <f t="shared" si="1"/>
        <v/>
      </c>
      <c r="D665" s="4" t="str">
        <f t="shared" si="9"/>
        <v/>
      </c>
      <c r="E665" s="4" t="str">
        <f t="array" ref="E665">XLOOKUP(A665,'Dados Funil'!$A:$A,'Dados Funil'!$K:$K,"")</f>
        <v/>
      </c>
      <c r="F665" s="4" t="str">
        <f t="array" ref="F665">XLOOKUP(A665,'Dados Funil'!$A:$A,'Dados Funil'!$L:$L,"")</f>
        <v/>
      </c>
      <c r="G665" s="4"/>
      <c r="H665" s="4"/>
      <c r="I665" s="7" t="str">
        <f t="shared" si="2"/>
        <v/>
      </c>
      <c r="J665" s="4" t="str">
        <f t="shared" si="10"/>
        <v/>
      </c>
      <c r="K665" s="4" t="str">
        <f t="array" ref="K665">XLOOKUP(G665,'Dados Funil'!A:A,'Dados Funil'!O:O,"")</f>
        <v/>
      </c>
      <c r="L665" s="4"/>
      <c r="M665" s="4"/>
      <c r="N665" s="7" t="str">
        <f t="shared" si="3"/>
        <v/>
      </c>
      <c r="O665" s="4" t="str">
        <f t="shared" si="11"/>
        <v/>
      </c>
      <c r="P665" s="4" t="str">
        <f t="array" ref="P665">XLOOKUP(L665,'Dados Funil'!A:A,'Dados Funil'!AM:AM,"")</f>
        <v/>
      </c>
      <c r="Q665" s="4" t="str">
        <f t="array" ref="Q665">XLOOKUP(L665,'Dados Funil'!A:A,'Dados Funil'!AN:AN,"")</f>
        <v/>
      </c>
      <c r="T665" s="7" t="str">
        <f t="shared" si="4"/>
        <v/>
      </c>
      <c r="U665" s="4" t="str">
        <f t="shared" si="12"/>
        <v/>
      </c>
      <c r="V665" s="4" t="str">
        <f t="array" ref="V665">XLOOKUP(R665,'Dados Funil'!$A:$A,'Dados Funil'!$K:$K,"")</f>
        <v/>
      </c>
      <c r="W665" s="4" t="str">
        <f t="array" ref="W665">XLOOKUP(R665,'Dados Funil'!$A:$A,'Dados Funil'!$L:$L,"")</f>
        <v/>
      </c>
      <c r="X665" s="4"/>
      <c r="Y665" s="4"/>
      <c r="Z665" s="7" t="str">
        <f t="shared" si="5"/>
        <v/>
      </c>
      <c r="AA665" s="4" t="str">
        <f t="shared" si="13"/>
        <v/>
      </c>
      <c r="AB665" s="4" t="str">
        <f t="array" ref="AB665">XLOOKUP(X665,'Dados Funil'!A:A,'Dados Funil'!O:O,"")</f>
        <v/>
      </c>
      <c r="AE665" s="7" t="str">
        <f t="shared" si="6"/>
        <v/>
      </c>
      <c r="AG665" s="4" t="str">
        <f t="array" ref="AG665">XLOOKUP(AC665,'Dados Funil'!A:A,'Dados Funil'!AM:AM,"")</f>
        <v/>
      </c>
      <c r="AH665" s="4" t="str">
        <f t="array" ref="AH665">XLOOKUP(AC665,'Dados Funil'!A:A,'Dados Funil'!AN:AN,"")</f>
        <v/>
      </c>
    </row>
    <row r="666">
      <c r="A666" s="4"/>
      <c r="B666" s="4"/>
      <c r="C666" s="7" t="str">
        <f t="shared" si="1"/>
        <v/>
      </c>
      <c r="D666" s="4" t="str">
        <f t="shared" si="9"/>
        <v/>
      </c>
      <c r="E666" s="4" t="str">
        <f t="array" ref="E666">XLOOKUP(A666,'Dados Funil'!$A:$A,'Dados Funil'!$K:$K,"")</f>
        <v/>
      </c>
      <c r="F666" s="4" t="str">
        <f t="array" ref="F666">XLOOKUP(A666,'Dados Funil'!$A:$A,'Dados Funil'!$L:$L,"")</f>
        <v/>
      </c>
      <c r="G666" s="4"/>
      <c r="H666" s="4"/>
      <c r="I666" s="7" t="str">
        <f t="shared" si="2"/>
        <v/>
      </c>
      <c r="J666" s="4" t="str">
        <f t="shared" si="10"/>
        <v/>
      </c>
      <c r="K666" s="4" t="str">
        <f t="array" ref="K666">XLOOKUP(G666,'Dados Funil'!A:A,'Dados Funil'!O:O,"")</f>
        <v/>
      </c>
      <c r="L666" s="4"/>
      <c r="M666" s="4"/>
      <c r="N666" s="7" t="str">
        <f t="shared" si="3"/>
        <v/>
      </c>
      <c r="O666" s="4" t="str">
        <f t="shared" si="11"/>
        <v/>
      </c>
      <c r="P666" s="4" t="str">
        <f t="array" ref="P666">XLOOKUP(L666,'Dados Funil'!A:A,'Dados Funil'!AM:AM,"")</f>
        <v/>
      </c>
      <c r="Q666" s="4" t="str">
        <f t="array" ref="Q666">XLOOKUP(L666,'Dados Funil'!A:A,'Dados Funil'!AN:AN,"")</f>
        <v/>
      </c>
      <c r="T666" s="7" t="str">
        <f t="shared" si="4"/>
        <v/>
      </c>
      <c r="U666" s="4" t="str">
        <f t="shared" si="12"/>
        <v/>
      </c>
      <c r="V666" s="4" t="str">
        <f t="array" ref="V666">XLOOKUP(R666,'Dados Funil'!$A:$A,'Dados Funil'!$K:$K,"")</f>
        <v/>
      </c>
      <c r="W666" s="4" t="str">
        <f t="array" ref="W666">XLOOKUP(R666,'Dados Funil'!$A:$A,'Dados Funil'!$L:$L,"")</f>
        <v/>
      </c>
      <c r="X666" s="4"/>
      <c r="Y666" s="4"/>
      <c r="Z666" s="7" t="str">
        <f t="shared" si="5"/>
        <v/>
      </c>
      <c r="AA666" s="4" t="str">
        <f t="shared" si="13"/>
        <v/>
      </c>
      <c r="AB666" s="4" t="str">
        <f t="array" ref="AB666">XLOOKUP(X666,'Dados Funil'!A:A,'Dados Funil'!O:O,"")</f>
        <v/>
      </c>
      <c r="AE666" s="7" t="str">
        <f t="shared" si="6"/>
        <v/>
      </c>
      <c r="AG666" s="4" t="str">
        <f t="array" ref="AG666">XLOOKUP(AC666,'Dados Funil'!A:A,'Dados Funil'!AM:AM,"")</f>
        <v/>
      </c>
      <c r="AH666" s="4" t="str">
        <f t="array" ref="AH666">XLOOKUP(AC666,'Dados Funil'!A:A,'Dados Funil'!AN:AN,"")</f>
        <v/>
      </c>
    </row>
    <row r="667">
      <c r="A667" s="4"/>
      <c r="B667" s="4"/>
      <c r="C667" s="7" t="str">
        <f t="shared" si="1"/>
        <v/>
      </c>
      <c r="D667" s="4" t="str">
        <f t="shared" si="9"/>
        <v/>
      </c>
      <c r="E667" s="4" t="str">
        <f t="array" ref="E667">XLOOKUP(A667,'Dados Funil'!$A:$A,'Dados Funil'!$K:$K,"")</f>
        <v/>
      </c>
      <c r="F667" s="4" t="str">
        <f t="array" ref="F667">XLOOKUP(A667,'Dados Funil'!$A:$A,'Dados Funil'!$L:$L,"")</f>
        <v/>
      </c>
      <c r="G667" s="4"/>
      <c r="H667" s="4"/>
      <c r="I667" s="7" t="str">
        <f t="shared" si="2"/>
        <v/>
      </c>
      <c r="J667" s="4" t="str">
        <f t="shared" si="10"/>
        <v/>
      </c>
      <c r="K667" s="4" t="str">
        <f t="array" ref="K667">XLOOKUP(G667,'Dados Funil'!A:A,'Dados Funil'!O:O,"")</f>
        <v/>
      </c>
      <c r="L667" s="4"/>
      <c r="M667" s="4"/>
      <c r="N667" s="7" t="str">
        <f t="shared" si="3"/>
        <v/>
      </c>
      <c r="O667" s="4" t="str">
        <f t="shared" si="11"/>
        <v/>
      </c>
      <c r="P667" s="4" t="str">
        <f t="array" ref="P667">XLOOKUP(L667,'Dados Funil'!A:A,'Dados Funil'!AM:AM,"")</f>
        <v/>
      </c>
      <c r="Q667" s="4" t="str">
        <f t="array" ref="Q667">XLOOKUP(L667,'Dados Funil'!A:A,'Dados Funil'!AN:AN,"")</f>
        <v/>
      </c>
      <c r="T667" s="7" t="str">
        <f t="shared" si="4"/>
        <v/>
      </c>
      <c r="U667" s="4" t="str">
        <f t="shared" si="12"/>
        <v/>
      </c>
      <c r="V667" s="4" t="str">
        <f t="array" ref="V667">XLOOKUP(R667,'Dados Funil'!$A:$A,'Dados Funil'!$K:$K,"")</f>
        <v/>
      </c>
      <c r="W667" s="4" t="str">
        <f t="array" ref="W667">XLOOKUP(R667,'Dados Funil'!$A:$A,'Dados Funil'!$L:$L,"")</f>
        <v/>
      </c>
      <c r="X667" s="4"/>
      <c r="Y667" s="4"/>
      <c r="Z667" s="7" t="str">
        <f t="shared" si="5"/>
        <v/>
      </c>
      <c r="AA667" s="4" t="str">
        <f t="shared" si="13"/>
        <v/>
      </c>
      <c r="AB667" s="4" t="str">
        <f t="array" ref="AB667">XLOOKUP(X667,'Dados Funil'!A:A,'Dados Funil'!O:O,"")</f>
        <v/>
      </c>
      <c r="AE667" s="7" t="str">
        <f t="shared" si="6"/>
        <v/>
      </c>
      <c r="AG667" s="4" t="str">
        <f t="array" ref="AG667">XLOOKUP(AC667,'Dados Funil'!A:A,'Dados Funil'!AM:AM,"")</f>
        <v/>
      </c>
      <c r="AH667" s="4" t="str">
        <f t="array" ref="AH667">XLOOKUP(AC667,'Dados Funil'!A:A,'Dados Funil'!AN:AN,"")</f>
        <v/>
      </c>
    </row>
    <row r="668">
      <c r="A668" s="4"/>
      <c r="B668" s="4"/>
      <c r="C668" s="7" t="str">
        <f t="shared" si="1"/>
        <v/>
      </c>
      <c r="D668" s="4" t="str">
        <f t="shared" si="9"/>
        <v/>
      </c>
      <c r="E668" s="4" t="str">
        <f t="array" ref="E668">XLOOKUP(A668,'Dados Funil'!$A:$A,'Dados Funil'!$K:$K,"")</f>
        <v/>
      </c>
      <c r="F668" s="4" t="str">
        <f t="array" ref="F668">XLOOKUP(A668,'Dados Funil'!$A:$A,'Dados Funil'!$L:$L,"")</f>
        <v/>
      </c>
      <c r="G668" s="4"/>
      <c r="H668" s="4"/>
      <c r="I668" s="7" t="str">
        <f t="shared" si="2"/>
        <v/>
      </c>
      <c r="J668" s="4" t="str">
        <f t="shared" si="10"/>
        <v/>
      </c>
      <c r="K668" s="4" t="str">
        <f t="array" ref="K668">XLOOKUP(G668,'Dados Funil'!A:A,'Dados Funil'!O:O,"")</f>
        <v/>
      </c>
      <c r="L668" s="4"/>
      <c r="M668" s="4"/>
      <c r="N668" s="7" t="str">
        <f t="shared" si="3"/>
        <v/>
      </c>
      <c r="O668" s="4" t="str">
        <f t="shared" si="11"/>
        <v/>
      </c>
      <c r="P668" s="4" t="str">
        <f t="array" ref="P668">XLOOKUP(L668,'Dados Funil'!A:A,'Dados Funil'!AM:AM,"")</f>
        <v/>
      </c>
      <c r="Q668" s="4" t="str">
        <f t="array" ref="Q668">XLOOKUP(L668,'Dados Funil'!A:A,'Dados Funil'!AN:AN,"")</f>
        <v/>
      </c>
      <c r="T668" s="7" t="str">
        <f t="shared" si="4"/>
        <v/>
      </c>
      <c r="U668" s="4" t="str">
        <f t="shared" si="12"/>
        <v/>
      </c>
      <c r="V668" s="4" t="str">
        <f t="array" ref="V668">XLOOKUP(R668,'Dados Funil'!$A:$A,'Dados Funil'!$K:$K,"")</f>
        <v/>
      </c>
      <c r="W668" s="4" t="str">
        <f t="array" ref="W668">XLOOKUP(R668,'Dados Funil'!$A:$A,'Dados Funil'!$L:$L,"")</f>
        <v/>
      </c>
      <c r="X668" s="4"/>
      <c r="Y668" s="4"/>
      <c r="Z668" s="7" t="str">
        <f t="shared" si="5"/>
        <v/>
      </c>
      <c r="AA668" s="4" t="str">
        <f t="shared" si="13"/>
        <v/>
      </c>
      <c r="AB668" s="4" t="str">
        <f t="array" ref="AB668">XLOOKUP(X668,'Dados Funil'!A:A,'Dados Funil'!O:O,"")</f>
        <v/>
      </c>
      <c r="AE668" s="7" t="str">
        <f t="shared" si="6"/>
        <v/>
      </c>
      <c r="AG668" s="4" t="str">
        <f t="array" ref="AG668">XLOOKUP(AC668,'Dados Funil'!A:A,'Dados Funil'!AM:AM,"")</f>
        <v/>
      </c>
      <c r="AH668" s="4" t="str">
        <f t="array" ref="AH668">XLOOKUP(AC668,'Dados Funil'!A:A,'Dados Funil'!AN:AN,"")</f>
        <v/>
      </c>
    </row>
    <row r="669">
      <c r="A669" s="4"/>
      <c r="B669" s="4"/>
      <c r="C669" s="7" t="str">
        <f t="shared" si="1"/>
        <v/>
      </c>
      <c r="D669" s="4" t="str">
        <f t="shared" si="9"/>
        <v/>
      </c>
      <c r="E669" s="4" t="str">
        <f t="array" ref="E669">XLOOKUP(A669,'Dados Funil'!$A:$A,'Dados Funil'!$K:$K,"")</f>
        <v/>
      </c>
      <c r="F669" s="4" t="str">
        <f t="array" ref="F669">XLOOKUP(A669,'Dados Funil'!$A:$A,'Dados Funil'!$L:$L,"")</f>
        <v/>
      </c>
      <c r="G669" s="4"/>
      <c r="H669" s="4"/>
      <c r="I669" s="7" t="str">
        <f t="shared" si="2"/>
        <v/>
      </c>
      <c r="J669" s="4" t="str">
        <f t="shared" si="10"/>
        <v/>
      </c>
      <c r="K669" s="4" t="str">
        <f t="array" ref="K669">XLOOKUP(G669,'Dados Funil'!A:A,'Dados Funil'!O:O,"")</f>
        <v/>
      </c>
      <c r="L669" s="4"/>
      <c r="M669" s="4"/>
      <c r="N669" s="7" t="str">
        <f t="shared" si="3"/>
        <v/>
      </c>
      <c r="O669" s="4" t="str">
        <f t="shared" si="11"/>
        <v/>
      </c>
      <c r="P669" s="4" t="str">
        <f t="array" ref="P669">XLOOKUP(L669,'Dados Funil'!A:A,'Dados Funil'!AM:AM,"")</f>
        <v/>
      </c>
      <c r="Q669" s="4" t="str">
        <f t="array" ref="Q669">XLOOKUP(L669,'Dados Funil'!A:A,'Dados Funil'!AN:AN,"")</f>
        <v/>
      </c>
      <c r="T669" s="7" t="str">
        <f t="shared" si="4"/>
        <v/>
      </c>
      <c r="U669" s="4" t="str">
        <f t="shared" si="12"/>
        <v/>
      </c>
      <c r="V669" s="4" t="str">
        <f t="array" ref="V669">XLOOKUP(R669,'Dados Funil'!$A:$A,'Dados Funil'!$K:$K,"")</f>
        <v/>
      </c>
      <c r="W669" s="4" t="str">
        <f t="array" ref="W669">XLOOKUP(R669,'Dados Funil'!$A:$A,'Dados Funil'!$L:$L,"")</f>
        <v/>
      </c>
      <c r="X669" s="4"/>
      <c r="Y669" s="4"/>
      <c r="Z669" s="7" t="str">
        <f t="shared" si="5"/>
        <v/>
      </c>
      <c r="AA669" s="4" t="str">
        <f t="shared" si="13"/>
        <v/>
      </c>
      <c r="AB669" s="4" t="str">
        <f t="array" ref="AB669">XLOOKUP(X669,'Dados Funil'!A:A,'Dados Funil'!O:O,"")</f>
        <v/>
      </c>
      <c r="AE669" s="7" t="str">
        <f t="shared" si="6"/>
        <v/>
      </c>
      <c r="AG669" s="4" t="str">
        <f t="array" ref="AG669">XLOOKUP(AC669,'Dados Funil'!A:A,'Dados Funil'!AM:AM,"")</f>
        <v/>
      </c>
      <c r="AH669" s="4" t="str">
        <f t="array" ref="AH669">XLOOKUP(AC669,'Dados Funil'!A:A,'Dados Funil'!AN:AN,"")</f>
        <v/>
      </c>
    </row>
    <row r="670">
      <c r="A670" s="4"/>
      <c r="B670" s="4"/>
      <c r="C670" s="7" t="str">
        <f t="shared" si="1"/>
        <v/>
      </c>
      <c r="D670" s="4" t="str">
        <f t="shared" si="9"/>
        <v/>
      </c>
      <c r="E670" s="4" t="str">
        <f t="array" ref="E670">XLOOKUP(A670,'Dados Funil'!$A:$A,'Dados Funil'!$K:$K,"")</f>
        <v/>
      </c>
      <c r="F670" s="4" t="str">
        <f t="array" ref="F670">XLOOKUP(A670,'Dados Funil'!$A:$A,'Dados Funil'!$L:$L,"")</f>
        <v/>
      </c>
      <c r="G670" s="4"/>
      <c r="H670" s="4"/>
      <c r="I670" s="7" t="str">
        <f t="shared" si="2"/>
        <v/>
      </c>
      <c r="J670" s="4" t="str">
        <f t="shared" si="10"/>
        <v/>
      </c>
      <c r="K670" s="4" t="str">
        <f t="array" ref="K670">XLOOKUP(G670,'Dados Funil'!A:A,'Dados Funil'!O:O,"")</f>
        <v/>
      </c>
      <c r="L670" s="4"/>
      <c r="M670" s="4"/>
      <c r="N670" s="7" t="str">
        <f t="shared" si="3"/>
        <v/>
      </c>
      <c r="O670" s="4" t="str">
        <f t="shared" si="11"/>
        <v/>
      </c>
      <c r="P670" s="4" t="str">
        <f t="array" ref="P670">XLOOKUP(L670,'Dados Funil'!A:A,'Dados Funil'!AM:AM,"")</f>
        <v/>
      </c>
      <c r="Q670" s="4" t="str">
        <f t="array" ref="Q670">XLOOKUP(L670,'Dados Funil'!A:A,'Dados Funil'!AN:AN,"")</f>
        <v/>
      </c>
      <c r="T670" s="7" t="str">
        <f t="shared" si="4"/>
        <v/>
      </c>
      <c r="U670" s="4" t="str">
        <f t="shared" si="12"/>
        <v/>
      </c>
      <c r="V670" s="4" t="str">
        <f t="array" ref="V670">XLOOKUP(R670,'Dados Funil'!$A:$A,'Dados Funil'!$K:$K,"")</f>
        <v/>
      </c>
      <c r="W670" s="4" t="str">
        <f t="array" ref="W670">XLOOKUP(R670,'Dados Funil'!$A:$A,'Dados Funil'!$L:$L,"")</f>
        <v/>
      </c>
      <c r="X670" s="4"/>
      <c r="Y670" s="4"/>
      <c r="Z670" s="7" t="str">
        <f t="shared" si="5"/>
        <v/>
      </c>
      <c r="AA670" s="4" t="str">
        <f t="shared" si="13"/>
        <v/>
      </c>
      <c r="AB670" s="4" t="str">
        <f t="array" ref="AB670">XLOOKUP(X670,'Dados Funil'!A:A,'Dados Funil'!O:O,"")</f>
        <v/>
      </c>
      <c r="AE670" s="7" t="str">
        <f t="shared" si="6"/>
        <v/>
      </c>
      <c r="AG670" s="4" t="str">
        <f t="array" ref="AG670">XLOOKUP(AC670,'Dados Funil'!A:A,'Dados Funil'!AM:AM,"")</f>
        <v/>
      </c>
      <c r="AH670" s="4" t="str">
        <f t="array" ref="AH670">XLOOKUP(AC670,'Dados Funil'!A:A,'Dados Funil'!AN:AN,"")</f>
        <v/>
      </c>
    </row>
    <row r="671">
      <c r="A671" s="4"/>
      <c r="B671" s="4"/>
      <c r="C671" s="7" t="str">
        <f t="shared" si="1"/>
        <v/>
      </c>
      <c r="D671" s="4" t="str">
        <f t="shared" si="9"/>
        <v/>
      </c>
      <c r="E671" s="4" t="str">
        <f t="array" ref="E671">XLOOKUP(A671,'Dados Funil'!$A:$A,'Dados Funil'!$K:$K,"")</f>
        <v/>
      </c>
      <c r="F671" s="4" t="str">
        <f t="array" ref="F671">XLOOKUP(A671,'Dados Funil'!$A:$A,'Dados Funil'!$L:$L,"")</f>
        <v/>
      </c>
      <c r="G671" s="4"/>
      <c r="H671" s="4"/>
      <c r="I671" s="7" t="str">
        <f t="shared" si="2"/>
        <v/>
      </c>
      <c r="J671" s="4" t="str">
        <f t="shared" si="10"/>
        <v/>
      </c>
      <c r="K671" s="4" t="str">
        <f t="array" ref="K671">XLOOKUP(G671,'Dados Funil'!A:A,'Dados Funil'!O:O,"")</f>
        <v/>
      </c>
      <c r="L671" s="4"/>
      <c r="M671" s="4"/>
      <c r="N671" s="7" t="str">
        <f t="shared" si="3"/>
        <v/>
      </c>
      <c r="O671" s="4" t="str">
        <f t="shared" si="11"/>
        <v/>
      </c>
      <c r="P671" s="4" t="str">
        <f t="array" ref="P671">XLOOKUP(L671,'Dados Funil'!A:A,'Dados Funil'!AM:AM,"")</f>
        <v/>
      </c>
      <c r="Q671" s="4" t="str">
        <f t="array" ref="Q671">XLOOKUP(L671,'Dados Funil'!A:A,'Dados Funil'!AN:AN,"")</f>
        <v/>
      </c>
      <c r="T671" s="7" t="str">
        <f t="shared" si="4"/>
        <v/>
      </c>
      <c r="U671" s="4" t="str">
        <f t="shared" si="12"/>
        <v/>
      </c>
      <c r="V671" s="4" t="str">
        <f t="array" ref="V671">XLOOKUP(R671,'Dados Funil'!$A:$A,'Dados Funil'!$K:$K,"")</f>
        <v/>
      </c>
      <c r="W671" s="4" t="str">
        <f t="array" ref="W671">XLOOKUP(R671,'Dados Funil'!$A:$A,'Dados Funil'!$L:$L,"")</f>
        <v/>
      </c>
      <c r="X671" s="4"/>
      <c r="Y671" s="4"/>
      <c r="Z671" s="7" t="str">
        <f t="shared" si="5"/>
        <v/>
      </c>
      <c r="AA671" s="4" t="str">
        <f t="shared" si="13"/>
        <v/>
      </c>
      <c r="AB671" s="4" t="str">
        <f t="array" ref="AB671">XLOOKUP(X671,'Dados Funil'!A:A,'Dados Funil'!O:O,"")</f>
        <v/>
      </c>
      <c r="AE671" s="7" t="str">
        <f t="shared" si="6"/>
        <v/>
      </c>
      <c r="AG671" s="4" t="str">
        <f t="array" ref="AG671">XLOOKUP(AC671,'Dados Funil'!A:A,'Dados Funil'!AM:AM,"")</f>
        <v/>
      </c>
      <c r="AH671" s="4" t="str">
        <f t="array" ref="AH671">XLOOKUP(AC671,'Dados Funil'!A:A,'Dados Funil'!AN:AN,"")</f>
        <v/>
      </c>
    </row>
    <row r="672">
      <c r="A672" s="4"/>
      <c r="B672" s="4"/>
      <c r="C672" s="7" t="str">
        <f t="shared" si="1"/>
        <v/>
      </c>
      <c r="D672" s="4" t="str">
        <f t="shared" si="9"/>
        <v/>
      </c>
      <c r="E672" s="4" t="str">
        <f t="array" ref="E672">XLOOKUP(A672,'Dados Funil'!$A:$A,'Dados Funil'!$K:$K,"")</f>
        <v/>
      </c>
      <c r="F672" s="4" t="str">
        <f t="array" ref="F672">XLOOKUP(A672,'Dados Funil'!$A:$A,'Dados Funil'!$L:$L,"")</f>
        <v/>
      </c>
      <c r="G672" s="4"/>
      <c r="H672" s="4"/>
      <c r="I672" s="7" t="str">
        <f t="shared" si="2"/>
        <v/>
      </c>
      <c r="J672" s="4" t="str">
        <f t="shared" si="10"/>
        <v/>
      </c>
      <c r="K672" s="4" t="str">
        <f t="array" ref="K672">XLOOKUP(G672,'Dados Funil'!A:A,'Dados Funil'!O:O,"")</f>
        <v/>
      </c>
      <c r="L672" s="4"/>
      <c r="M672" s="4"/>
      <c r="N672" s="7" t="str">
        <f t="shared" si="3"/>
        <v/>
      </c>
      <c r="O672" s="4" t="str">
        <f t="shared" si="11"/>
        <v/>
      </c>
      <c r="P672" s="4" t="str">
        <f t="array" ref="P672">XLOOKUP(L672,'Dados Funil'!A:A,'Dados Funil'!AM:AM,"")</f>
        <v/>
      </c>
      <c r="Q672" s="4" t="str">
        <f t="array" ref="Q672">XLOOKUP(L672,'Dados Funil'!A:A,'Dados Funil'!AN:AN,"")</f>
        <v/>
      </c>
      <c r="T672" s="7" t="str">
        <f t="shared" si="4"/>
        <v/>
      </c>
      <c r="U672" s="4" t="str">
        <f t="shared" si="12"/>
        <v/>
      </c>
      <c r="V672" s="4" t="str">
        <f t="array" ref="V672">XLOOKUP(R672,'Dados Funil'!$A:$A,'Dados Funil'!$K:$K,"")</f>
        <v/>
      </c>
      <c r="W672" s="4" t="str">
        <f t="array" ref="W672">XLOOKUP(R672,'Dados Funil'!$A:$A,'Dados Funil'!$L:$L,"")</f>
        <v/>
      </c>
      <c r="X672" s="4"/>
      <c r="Y672" s="4"/>
      <c r="Z672" s="7" t="str">
        <f t="shared" si="5"/>
        <v/>
      </c>
      <c r="AA672" s="4" t="str">
        <f t="shared" si="13"/>
        <v/>
      </c>
      <c r="AB672" s="4" t="str">
        <f t="array" ref="AB672">XLOOKUP(X672,'Dados Funil'!A:A,'Dados Funil'!O:O,"")</f>
        <v/>
      </c>
      <c r="AE672" s="7" t="str">
        <f t="shared" si="6"/>
        <v/>
      </c>
      <c r="AG672" s="4" t="str">
        <f t="array" ref="AG672">XLOOKUP(AC672,'Dados Funil'!A:A,'Dados Funil'!AM:AM,"")</f>
        <v/>
      </c>
      <c r="AH672" s="4" t="str">
        <f t="array" ref="AH672">XLOOKUP(AC672,'Dados Funil'!A:A,'Dados Funil'!AN:AN,"")</f>
        <v/>
      </c>
    </row>
    <row r="673">
      <c r="A673" s="4"/>
      <c r="B673" s="4"/>
      <c r="C673" s="7" t="str">
        <f t="shared" si="1"/>
        <v/>
      </c>
      <c r="D673" s="4" t="str">
        <f t="shared" si="9"/>
        <v/>
      </c>
      <c r="E673" s="4" t="str">
        <f t="array" ref="E673">XLOOKUP(A673,'Dados Funil'!$A:$A,'Dados Funil'!$K:$K,"")</f>
        <v/>
      </c>
      <c r="F673" s="4" t="str">
        <f t="array" ref="F673">XLOOKUP(A673,'Dados Funil'!$A:$A,'Dados Funil'!$L:$L,"")</f>
        <v/>
      </c>
      <c r="G673" s="4"/>
      <c r="H673" s="4"/>
      <c r="I673" s="7" t="str">
        <f t="shared" si="2"/>
        <v/>
      </c>
      <c r="J673" s="4" t="str">
        <f t="shared" si="10"/>
        <v/>
      </c>
      <c r="K673" s="4" t="str">
        <f t="array" ref="K673">XLOOKUP(G673,'Dados Funil'!A:A,'Dados Funil'!O:O,"")</f>
        <v/>
      </c>
      <c r="L673" s="4"/>
      <c r="M673" s="4"/>
      <c r="N673" s="7" t="str">
        <f t="shared" si="3"/>
        <v/>
      </c>
      <c r="O673" s="4" t="str">
        <f t="shared" si="11"/>
        <v/>
      </c>
      <c r="P673" s="4" t="str">
        <f t="array" ref="P673">XLOOKUP(L673,'Dados Funil'!A:A,'Dados Funil'!AM:AM,"")</f>
        <v/>
      </c>
      <c r="Q673" s="4" t="str">
        <f t="array" ref="Q673">XLOOKUP(L673,'Dados Funil'!A:A,'Dados Funil'!AN:AN,"")</f>
        <v/>
      </c>
      <c r="T673" s="7" t="str">
        <f t="shared" si="4"/>
        <v/>
      </c>
      <c r="U673" s="4" t="str">
        <f t="shared" si="12"/>
        <v/>
      </c>
      <c r="V673" s="4" t="str">
        <f t="array" ref="V673">XLOOKUP(R673,'Dados Funil'!$A:$A,'Dados Funil'!$K:$K,"")</f>
        <v/>
      </c>
      <c r="W673" s="4" t="str">
        <f t="array" ref="W673">XLOOKUP(R673,'Dados Funil'!$A:$A,'Dados Funil'!$L:$L,"")</f>
        <v/>
      </c>
      <c r="X673" s="4"/>
      <c r="Y673" s="4"/>
      <c r="Z673" s="7" t="str">
        <f t="shared" si="5"/>
        <v/>
      </c>
      <c r="AA673" s="4" t="str">
        <f t="shared" si="13"/>
        <v/>
      </c>
      <c r="AB673" s="4" t="str">
        <f t="array" ref="AB673">XLOOKUP(X673,'Dados Funil'!A:A,'Dados Funil'!O:O,"")</f>
        <v/>
      </c>
      <c r="AE673" s="7" t="str">
        <f t="shared" si="6"/>
        <v/>
      </c>
      <c r="AG673" s="4" t="str">
        <f t="array" ref="AG673">XLOOKUP(AC673,'Dados Funil'!A:A,'Dados Funil'!AM:AM,"")</f>
        <v/>
      </c>
      <c r="AH673" s="4" t="str">
        <f t="array" ref="AH673">XLOOKUP(AC673,'Dados Funil'!A:A,'Dados Funil'!AN:AN,"")</f>
        <v/>
      </c>
    </row>
    <row r="674">
      <c r="A674" s="4"/>
      <c r="B674" s="4"/>
      <c r="C674" s="7" t="str">
        <f t="shared" si="1"/>
        <v/>
      </c>
      <c r="D674" s="4" t="str">
        <f t="shared" si="9"/>
        <v/>
      </c>
      <c r="E674" s="4" t="str">
        <f t="array" ref="E674">XLOOKUP(A674,'Dados Funil'!$A:$A,'Dados Funil'!$K:$K,"")</f>
        <v/>
      </c>
      <c r="F674" s="4" t="str">
        <f t="array" ref="F674">XLOOKUP(A674,'Dados Funil'!$A:$A,'Dados Funil'!$L:$L,"")</f>
        <v/>
      </c>
      <c r="G674" s="4"/>
      <c r="H674" s="4"/>
      <c r="I674" s="7" t="str">
        <f t="shared" si="2"/>
        <v/>
      </c>
      <c r="J674" s="4" t="str">
        <f t="shared" si="10"/>
        <v/>
      </c>
      <c r="K674" s="4" t="str">
        <f t="array" ref="K674">XLOOKUP(G674,'Dados Funil'!A:A,'Dados Funil'!O:O,"")</f>
        <v/>
      </c>
      <c r="L674" s="4"/>
      <c r="M674" s="4"/>
      <c r="N674" s="7" t="str">
        <f t="shared" si="3"/>
        <v/>
      </c>
      <c r="O674" s="4" t="str">
        <f t="shared" si="11"/>
        <v/>
      </c>
      <c r="P674" s="4" t="str">
        <f t="array" ref="P674">XLOOKUP(L674,'Dados Funil'!A:A,'Dados Funil'!AM:AM,"")</f>
        <v/>
      </c>
      <c r="Q674" s="4" t="str">
        <f t="array" ref="Q674">XLOOKUP(L674,'Dados Funil'!A:A,'Dados Funil'!AN:AN,"")</f>
        <v/>
      </c>
      <c r="T674" s="7" t="str">
        <f t="shared" si="4"/>
        <v/>
      </c>
      <c r="U674" s="4" t="str">
        <f t="shared" si="12"/>
        <v/>
      </c>
      <c r="V674" s="4" t="str">
        <f t="array" ref="V674">XLOOKUP(R674,'Dados Funil'!$A:$A,'Dados Funil'!$K:$K,"")</f>
        <v/>
      </c>
      <c r="W674" s="4" t="str">
        <f t="array" ref="W674">XLOOKUP(R674,'Dados Funil'!$A:$A,'Dados Funil'!$L:$L,"")</f>
        <v/>
      </c>
      <c r="X674" s="4"/>
      <c r="Y674" s="4"/>
      <c r="Z674" s="7" t="str">
        <f t="shared" si="5"/>
        <v/>
      </c>
      <c r="AA674" s="4" t="str">
        <f t="shared" si="13"/>
        <v/>
      </c>
      <c r="AB674" s="4" t="str">
        <f t="array" ref="AB674">XLOOKUP(X674,'Dados Funil'!A:A,'Dados Funil'!O:O,"")</f>
        <v/>
      </c>
      <c r="AE674" s="7" t="str">
        <f t="shared" si="6"/>
        <v/>
      </c>
      <c r="AG674" s="4" t="str">
        <f t="array" ref="AG674">XLOOKUP(AC674,'Dados Funil'!A:A,'Dados Funil'!AM:AM,"")</f>
        <v/>
      </c>
      <c r="AH674" s="4" t="str">
        <f t="array" ref="AH674">XLOOKUP(AC674,'Dados Funil'!A:A,'Dados Funil'!AN:AN,"")</f>
        <v/>
      </c>
    </row>
    <row r="675">
      <c r="A675" s="4"/>
      <c r="B675" s="4"/>
      <c r="C675" s="7" t="str">
        <f t="shared" si="1"/>
        <v/>
      </c>
      <c r="D675" s="4" t="str">
        <f t="shared" si="9"/>
        <v/>
      </c>
      <c r="E675" s="4" t="str">
        <f t="array" ref="E675">XLOOKUP(A675,'Dados Funil'!$A:$A,'Dados Funil'!$K:$K,"")</f>
        <v/>
      </c>
      <c r="F675" s="4" t="str">
        <f t="array" ref="F675">XLOOKUP(A675,'Dados Funil'!$A:$A,'Dados Funil'!$L:$L,"")</f>
        <v/>
      </c>
      <c r="G675" s="4"/>
      <c r="H675" s="4"/>
      <c r="I675" s="7" t="str">
        <f t="shared" si="2"/>
        <v/>
      </c>
      <c r="J675" s="4" t="str">
        <f t="shared" si="10"/>
        <v/>
      </c>
      <c r="K675" s="4" t="str">
        <f t="array" ref="K675">XLOOKUP(G675,'Dados Funil'!A:A,'Dados Funil'!O:O,"")</f>
        <v/>
      </c>
      <c r="L675" s="4"/>
      <c r="M675" s="4"/>
      <c r="N675" s="7" t="str">
        <f t="shared" si="3"/>
        <v/>
      </c>
      <c r="O675" s="4" t="str">
        <f t="shared" si="11"/>
        <v/>
      </c>
      <c r="P675" s="4" t="str">
        <f t="array" ref="P675">XLOOKUP(L675,'Dados Funil'!A:A,'Dados Funil'!AM:AM,"")</f>
        <v/>
      </c>
      <c r="Q675" s="4" t="str">
        <f t="array" ref="Q675">XLOOKUP(L675,'Dados Funil'!A:A,'Dados Funil'!AN:AN,"")</f>
        <v/>
      </c>
      <c r="T675" s="7" t="str">
        <f t="shared" si="4"/>
        <v/>
      </c>
      <c r="U675" s="4" t="str">
        <f t="shared" si="12"/>
        <v/>
      </c>
      <c r="V675" s="4" t="str">
        <f t="array" ref="V675">XLOOKUP(R675,'Dados Funil'!$A:$A,'Dados Funil'!$K:$K,"")</f>
        <v/>
      </c>
      <c r="W675" s="4" t="str">
        <f t="array" ref="W675">XLOOKUP(R675,'Dados Funil'!$A:$A,'Dados Funil'!$L:$L,"")</f>
        <v/>
      </c>
      <c r="X675" s="4"/>
      <c r="Y675" s="4"/>
      <c r="Z675" s="7" t="str">
        <f t="shared" si="5"/>
        <v/>
      </c>
      <c r="AA675" s="4" t="str">
        <f t="shared" si="13"/>
        <v/>
      </c>
      <c r="AB675" s="4" t="str">
        <f t="array" ref="AB675">XLOOKUP(X675,'Dados Funil'!A:A,'Dados Funil'!O:O,"")</f>
        <v/>
      </c>
      <c r="AE675" s="7" t="str">
        <f t="shared" si="6"/>
        <v/>
      </c>
      <c r="AG675" s="4" t="str">
        <f t="array" ref="AG675">XLOOKUP(AC675,'Dados Funil'!A:A,'Dados Funil'!AM:AM,"")</f>
        <v/>
      </c>
      <c r="AH675" s="4" t="str">
        <f t="array" ref="AH675">XLOOKUP(AC675,'Dados Funil'!A:A,'Dados Funil'!AN:AN,"")</f>
        <v/>
      </c>
    </row>
    <row r="676">
      <c r="A676" s="4"/>
      <c r="B676" s="4"/>
      <c r="C676" s="7" t="str">
        <f t="shared" si="1"/>
        <v/>
      </c>
      <c r="D676" s="4" t="str">
        <f t="shared" si="9"/>
        <v/>
      </c>
      <c r="E676" s="4" t="str">
        <f t="array" ref="E676">XLOOKUP(A676,'Dados Funil'!$A:$A,'Dados Funil'!$K:$K,"")</f>
        <v/>
      </c>
      <c r="F676" s="4" t="str">
        <f t="array" ref="F676">XLOOKUP(A676,'Dados Funil'!$A:$A,'Dados Funil'!$L:$L,"")</f>
        <v/>
      </c>
      <c r="G676" s="4"/>
      <c r="H676" s="4"/>
      <c r="I676" s="7" t="str">
        <f t="shared" si="2"/>
        <v/>
      </c>
      <c r="J676" s="4" t="str">
        <f t="shared" si="10"/>
        <v/>
      </c>
      <c r="K676" s="4" t="str">
        <f t="array" ref="K676">XLOOKUP(G676,'Dados Funil'!A:A,'Dados Funil'!O:O,"")</f>
        <v/>
      </c>
      <c r="L676" s="4"/>
      <c r="M676" s="4"/>
      <c r="N676" s="7" t="str">
        <f t="shared" si="3"/>
        <v/>
      </c>
      <c r="O676" s="4" t="str">
        <f t="shared" si="11"/>
        <v/>
      </c>
      <c r="P676" s="4" t="str">
        <f t="array" ref="P676">XLOOKUP(L676,'Dados Funil'!A:A,'Dados Funil'!AM:AM,"")</f>
        <v/>
      </c>
      <c r="Q676" s="4" t="str">
        <f t="array" ref="Q676">XLOOKUP(L676,'Dados Funil'!A:A,'Dados Funil'!AN:AN,"")</f>
        <v/>
      </c>
      <c r="T676" s="7" t="str">
        <f t="shared" si="4"/>
        <v/>
      </c>
      <c r="U676" s="4" t="str">
        <f t="shared" si="12"/>
        <v/>
      </c>
      <c r="V676" s="4" t="str">
        <f t="array" ref="V676">XLOOKUP(R676,'Dados Funil'!$A:$A,'Dados Funil'!$K:$K,"")</f>
        <v/>
      </c>
      <c r="W676" s="4" t="str">
        <f t="array" ref="W676">XLOOKUP(R676,'Dados Funil'!$A:$A,'Dados Funil'!$L:$L,"")</f>
        <v/>
      </c>
      <c r="X676" s="4"/>
      <c r="Y676" s="4"/>
      <c r="Z676" s="7" t="str">
        <f t="shared" si="5"/>
        <v/>
      </c>
      <c r="AA676" s="4" t="str">
        <f t="shared" si="13"/>
        <v/>
      </c>
      <c r="AB676" s="4" t="str">
        <f t="array" ref="AB676">XLOOKUP(X676,'Dados Funil'!A:A,'Dados Funil'!O:O,"")</f>
        <v/>
      </c>
      <c r="AE676" s="7" t="str">
        <f t="shared" si="6"/>
        <v/>
      </c>
      <c r="AG676" s="4" t="str">
        <f t="array" ref="AG676">XLOOKUP(AC676,'Dados Funil'!A:A,'Dados Funil'!AM:AM,"")</f>
        <v/>
      </c>
      <c r="AH676" s="4" t="str">
        <f t="array" ref="AH676">XLOOKUP(AC676,'Dados Funil'!A:A,'Dados Funil'!AN:AN,"")</f>
        <v/>
      </c>
    </row>
    <row r="677">
      <c r="A677" s="4"/>
      <c r="B677" s="4"/>
      <c r="C677" s="7" t="str">
        <f t="shared" si="1"/>
        <v/>
      </c>
      <c r="D677" s="4" t="str">
        <f t="shared" si="9"/>
        <v/>
      </c>
      <c r="E677" s="4" t="str">
        <f t="array" ref="E677">XLOOKUP(A677,'Dados Funil'!$A:$A,'Dados Funil'!$K:$K,"")</f>
        <v/>
      </c>
      <c r="F677" s="4" t="str">
        <f t="array" ref="F677">XLOOKUP(A677,'Dados Funil'!$A:$A,'Dados Funil'!$L:$L,"")</f>
        <v/>
      </c>
      <c r="G677" s="4"/>
      <c r="H677" s="4"/>
      <c r="I677" s="7" t="str">
        <f t="shared" si="2"/>
        <v/>
      </c>
      <c r="J677" s="4" t="str">
        <f t="shared" si="10"/>
        <v/>
      </c>
      <c r="K677" s="4" t="str">
        <f t="array" ref="K677">XLOOKUP(G677,'Dados Funil'!A:A,'Dados Funil'!O:O,"")</f>
        <v/>
      </c>
      <c r="L677" s="4"/>
      <c r="M677" s="4"/>
      <c r="N677" s="7" t="str">
        <f t="shared" si="3"/>
        <v/>
      </c>
      <c r="O677" s="4" t="str">
        <f t="shared" si="11"/>
        <v/>
      </c>
      <c r="P677" s="4" t="str">
        <f t="array" ref="P677">XLOOKUP(L677,'Dados Funil'!A:A,'Dados Funil'!AM:AM,"")</f>
        <v/>
      </c>
      <c r="Q677" s="4" t="str">
        <f t="array" ref="Q677">XLOOKUP(L677,'Dados Funil'!A:A,'Dados Funil'!AN:AN,"")</f>
        <v/>
      </c>
      <c r="T677" s="7" t="str">
        <f t="shared" si="4"/>
        <v/>
      </c>
      <c r="U677" s="4" t="str">
        <f t="shared" si="12"/>
        <v/>
      </c>
      <c r="V677" s="4" t="str">
        <f t="array" ref="V677">XLOOKUP(R677,'Dados Funil'!$A:$A,'Dados Funil'!$K:$K,"")</f>
        <v/>
      </c>
      <c r="W677" s="4" t="str">
        <f t="array" ref="W677">XLOOKUP(R677,'Dados Funil'!$A:$A,'Dados Funil'!$L:$L,"")</f>
        <v/>
      </c>
      <c r="X677" s="4"/>
      <c r="Y677" s="4"/>
      <c r="Z677" s="7" t="str">
        <f t="shared" si="5"/>
        <v/>
      </c>
      <c r="AA677" s="4" t="str">
        <f t="shared" si="13"/>
        <v/>
      </c>
      <c r="AB677" s="4" t="str">
        <f t="array" ref="AB677">XLOOKUP(X677,'Dados Funil'!A:A,'Dados Funil'!O:O,"")</f>
        <v/>
      </c>
      <c r="AE677" s="7" t="str">
        <f t="shared" si="6"/>
        <v/>
      </c>
      <c r="AG677" s="4" t="str">
        <f t="array" ref="AG677">XLOOKUP(AC677,'Dados Funil'!A:A,'Dados Funil'!AM:AM,"")</f>
        <v/>
      </c>
      <c r="AH677" s="4" t="str">
        <f t="array" ref="AH677">XLOOKUP(AC677,'Dados Funil'!A:A,'Dados Funil'!AN:AN,"")</f>
        <v/>
      </c>
    </row>
    <row r="678">
      <c r="A678" s="4"/>
      <c r="B678" s="4"/>
      <c r="C678" s="7" t="str">
        <f t="shared" si="1"/>
        <v/>
      </c>
      <c r="D678" s="4" t="str">
        <f t="shared" si="9"/>
        <v/>
      </c>
      <c r="E678" s="4" t="str">
        <f t="array" ref="E678">XLOOKUP(A678,'Dados Funil'!$A:$A,'Dados Funil'!$K:$K,"")</f>
        <v/>
      </c>
      <c r="F678" s="4" t="str">
        <f t="array" ref="F678">XLOOKUP(A678,'Dados Funil'!$A:$A,'Dados Funil'!$L:$L,"")</f>
        <v/>
      </c>
      <c r="G678" s="4"/>
      <c r="H678" s="4"/>
      <c r="I678" s="7" t="str">
        <f t="shared" si="2"/>
        <v/>
      </c>
      <c r="J678" s="4" t="str">
        <f t="shared" si="10"/>
        <v/>
      </c>
      <c r="K678" s="4" t="str">
        <f t="array" ref="K678">XLOOKUP(G678,'Dados Funil'!A:A,'Dados Funil'!O:O,"")</f>
        <v/>
      </c>
      <c r="L678" s="4"/>
      <c r="M678" s="4"/>
      <c r="N678" s="7" t="str">
        <f t="shared" si="3"/>
        <v/>
      </c>
      <c r="O678" s="4" t="str">
        <f t="shared" si="11"/>
        <v/>
      </c>
      <c r="P678" s="4" t="str">
        <f t="array" ref="P678">XLOOKUP(L678,'Dados Funil'!A:A,'Dados Funil'!AM:AM,"")</f>
        <v/>
      </c>
      <c r="Q678" s="4" t="str">
        <f t="array" ref="Q678">XLOOKUP(L678,'Dados Funil'!A:A,'Dados Funil'!AN:AN,"")</f>
        <v/>
      </c>
      <c r="T678" s="7" t="str">
        <f t="shared" si="4"/>
        <v/>
      </c>
      <c r="U678" s="4" t="str">
        <f t="shared" si="12"/>
        <v/>
      </c>
      <c r="V678" s="4" t="str">
        <f t="array" ref="V678">XLOOKUP(R678,'Dados Funil'!$A:$A,'Dados Funil'!$K:$K,"")</f>
        <v/>
      </c>
      <c r="W678" s="4" t="str">
        <f t="array" ref="W678">XLOOKUP(R678,'Dados Funil'!$A:$A,'Dados Funil'!$L:$L,"")</f>
        <v/>
      </c>
      <c r="X678" s="4"/>
      <c r="Y678" s="4"/>
      <c r="Z678" s="7" t="str">
        <f t="shared" si="5"/>
        <v/>
      </c>
      <c r="AA678" s="4" t="str">
        <f t="shared" si="13"/>
        <v/>
      </c>
      <c r="AB678" s="4" t="str">
        <f t="array" ref="AB678">XLOOKUP(X678,'Dados Funil'!A:A,'Dados Funil'!O:O,"")</f>
        <v/>
      </c>
      <c r="AE678" s="7" t="str">
        <f t="shared" si="6"/>
        <v/>
      </c>
      <c r="AG678" s="4" t="str">
        <f t="array" ref="AG678">XLOOKUP(AC678,'Dados Funil'!A:A,'Dados Funil'!AM:AM,"")</f>
        <v/>
      </c>
      <c r="AH678" s="4" t="str">
        <f t="array" ref="AH678">XLOOKUP(AC678,'Dados Funil'!A:A,'Dados Funil'!AN:AN,"")</f>
        <v/>
      </c>
    </row>
    <row r="679">
      <c r="A679" s="4"/>
      <c r="B679" s="4"/>
      <c r="C679" s="7" t="str">
        <f t="shared" si="1"/>
        <v/>
      </c>
      <c r="D679" s="4" t="str">
        <f t="shared" si="9"/>
        <v/>
      </c>
      <c r="E679" s="4" t="str">
        <f t="array" ref="E679">XLOOKUP(A679,'Dados Funil'!$A:$A,'Dados Funil'!$K:$K,"")</f>
        <v/>
      </c>
      <c r="F679" s="4" t="str">
        <f t="array" ref="F679">XLOOKUP(A679,'Dados Funil'!$A:$A,'Dados Funil'!$L:$L,"")</f>
        <v/>
      </c>
      <c r="G679" s="4"/>
      <c r="H679" s="4"/>
      <c r="I679" s="7" t="str">
        <f t="shared" si="2"/>
        <v/>
      </c>
      <c r="J679" s="4" t="str">
        <f t="shared" si="10"/>
        <v/>
      </c>
      <c r="K679" s="4" t="str">
        <f t="array" ref="K679">XLOOKUP(G679,'Dados Funil'!A:A,'Dados Funil'!O:O,"")</f>
        <v/>
      </c>
      <c r="L679" s="4"/>
      <c r="M679" s="4"/>
      <c r="N679" s="7" t="str">
        <f t="shared" si="3"/>
        <v/>
      </c>
      <c r="O679" s="4" t="str">
        <f t="shared" si="11"/>
        <v/>
      </c>
      <c r="P679" s="4" t="str">
        <f t="array" ref="P679">XLOOKUP(L679,'Dados Funil'!A:A,'Dados Funil'!AM:AM,"")</f>
        <v/>
      </c>
      <c r="Q679" s="4" t="str">
        <f t="array" ref="Q679">XLOOKUP(L679,'Dados Funil'!A:A,'Dados Funil'!AN:AN,"")</f>
        <v/>
      </c>
      <c r="T679" s="7" t="str">
        <f t="shared" si="4"/>
        <v/>
      </c>
      <c r="U679" s="4" t="str">
        <f t="shared" si="12"/>
        <v/>
      </c>
      <c r="V679" s="4" t="str">
        <f t="array" ref="V679">XLOOKUP(R679,'Dados Funil'!$A:$A,'Dados Funil'!$K:$K,"")</f>
        <v/>
      </c>
      <c r="W679" s="4" t="str">
        <f t="array" ref="W679">XLOOKUP(R679,'Dados Funil'!$A:$A,'Dados Funil'!$L:$L,"")</f>
        <v/>
      </c>
      <c r="X679" s="4"/>
      <c r="Y679" s="4"/>
      <c r="Z679" s="7" t="str">
        <f t="shared" si="5"/>
        <v/>
      </c>
      <c r="AA679" s="4" t="str">
        <f t="shared" si="13"/>
        <v/>
      </c>
      <c r="AB679" s="4" t="str">
        <f t="array" ref="AB679">XLOOKUP(X679,'Dados Funil'!A:A,'Dados Funil'!O:O,"")</f>
        <v/>
      </c>
      <c r="AE679" s="7" t="str">
        <f t="shared" si="6"/>
        <v/>
      </c>
      <c r="AG679" s="4" t="str">
        <f t="array" ref="AG679">XLOOKUP(AC679,'Dados Funil'!A:A,'Dados Funil'!AM:AM,"")</f>
        <v/>
      </c>
      <c r="AH679" s="4" t="str">
        <f t="array" ref="AH679">XLOOKUP(AC679,'Dados Funil'!A:A,'Dados Funil'!AN:AN,"")</f>
        <v/>
      </c>
    </row>
    <row r="680">
      <c r="A680" s="4"/>
      <c r="B680" s="4"/>
      <c r="C680" s="7" t="str">
        <f t="shared" si="1"/>
        <v/>
      </c>
      <c r="D680" s="4" t="str">
        <f t="shared" si="9"/>
        <v/>
      </c>
      <c r="E680" s="4" t="str">
        <f t="array" ref="E680">XLOOKUP(A680,'Dados Funil'!$A:$A,'Dados Funil'!$K:$K,"")</f>
        <v/>
      </c>
      <c r="F680" s="4" t="str">
        <f t="array" ref="F680">XLOOKUP(A680,'Dados Funil'!$A:$A,'Dados Funil'!$L:$L,"")</f>
        <v/>
      </c>
      <c r="G680" s="4"/>
      <c r="H680" s="4"/>
      <c r="I680" s="7" t="str">
        <f t="shared" si="2"/>
        <v/>
      </c>
      <c r="J680" s="4" t="str">
        <f t="shared" si="10"/>
        <v/>
      </c>
      <c r="K680" s="4" t="str">
        <f t="array" ref="K680">XLOOKUP(G680,'Dados Funil'!A:A,'Dados Funil'!O:O,"")</f>
        <v/>
      </c>
      <c r="L680" s="4"/>
      <c r="M680" s="4"/>
      <c r="N680" s="7" t="str">
        <f t="shared" si="3"/>
        <v/>
      </c>
      <c r="O680" s="4" t="str">
        <f t="shared" si="11"/>
        <v/>
      </c>
      <c r="P680" s="4" t="str">
        <f t="array" ref="P680">XLOOKUP(L680,'Dados Funil'!A:A,'Dados Funil'!AM:AM,"")</f>
        <v/>
      </c>
      <c r="Q680" s="4" t="str">
        <f t="array" ref="Q680">XLOOKUP(L680,'Dados Funil'!A:A,'Dados Funil'!AN:AN,"")</f>
        <v/>
      </c>
      <c r="T680" s="7" t="str">
        <f t="shared" si="4"/>
        <v/>
      </c>
      <c r="U680" s="4" t="str">
        <f t="shared" si="12"/>
        <v/>
      </c>
      <c r="V680" s="4" t="str">
        <f t="array" ref="V680">XLOOKUP(R680,'Dados Funil'!$A:$A,'Dados Funil'!$K:$K,"")</f>
        <v/>
      </c>
      <c r="W680" s="4" t="str">
        <f t="array" ref="W680">XLOOKUP(R680,'Dados Funil'!$A:$A,'Dados Funil'!$L:$L,"")</f>
        <v/>
      </c>
      <c r="X680" s="4"/>
      <c r="Y680" s="4"/>
      <c r="Z680" s="7" t="str">
        <f t="shared" si="5"/>
        <v/>
      </c>
      <c r="AA680" s="4" t="str">
        <f t="shared" si="13"/>
        <v/>
      </c>
      <c r="AB680" s="4" t="str">
        <f t="array" ref="AB680">XLOOKUP(X680,'Dados Funil'!A:A,'Dados Funil'!O:O,"")</f>
        <v/>
      </c>
      <c r="AE680" s="7" t="str">
        <f t="shared" si="6"/>
        <v/>
      </c>
      <c r="AG680" s="4" t="str">
        <f t="array" ref="AG680">XLOOKUP(AC680,'Dados Funil'!A:A,'Dados Funil'!AM:AM,"")</f>
        <v/>
      </c>
      <c r="AH680" s="4" t="str">
        <f t="array" ref="AH680">XLOOKUP(AC680,'Dados Funil'!A:A,'Dados Funil'!AN:AN,"")</f>
        <v/>
      </c>
    </row>
    <row r="681">
      <c r="A681" s="4"/>
      <c r="B681" s="4"/>
      <c r="C681" s="7" t="str">
        <f t="shared" si="1"/>
        <v/>
      </c>
      <c r="D681" s="4" t="str">
        <f t="shared" si="9"/>
        <v/>
      </c>
      <c r="E681" s="4" t="str">
        <f t="array" ref="E681">XLOOKUP(A681,'Dados Funil'!$A:$A,'Dados Funil'!$K:$K,"")</f>
        <v/>
      </c>
      <c r="F681" s="4" t="str">
        <f t="array" ref="F681">XLOOKUP(A681,'Dados Funil'!$A:$A,'Dados Funil'!$L:$L,"")</f>
        <v/>
      </c>
      <c r="G681" s="4"/>
      <c r="H681" s="4"/>
      <c r="I681" s="7" t="str">
        <f t="shared" si="2"/>
        <v/>
      </c>
      <c r="J681" s="4" t="str">
        <f t="shared" si="10"/>
        <v/>
      </c>
      <c r="K681" s="4" t="str">
        <f t="array" ref="K681">XLOOKUP(G681,'Dados Funil'!A:A,'Dados Funil'!O:O,"")</f>
        <v/>
      </c>
      <c r="L681" s="4"/>
      <c r="M681" s="4"/>
      <c r="N681" s="7" t="str">
        <f t="shared" si="3"/>
        <v/>
      </c>
      <c r="O681" s="4" t="str">
        <f t="shared" si="11"/>
        <v/>
      </c>
      <c r="P681" s="4" t="str">
        <f t="array" ref="P681">XLOOKUP(L681,'Dados Funil'!A:A,'Dados Funil'!AM:AM,"")</f>
        <v/>
      </c>
      <c r="Q681" s="4" t="str">
        <f t="array" ref="Q681">XLOOKUP(L681,'Dados Funil'!A:A,'Dados Funil'!AN:AN,"")</f>
        <v/>
      </c>
      <c r="T681" s="7" t="str">
        <f t="shared" si="4"/>
        <v/>
      </c>
      <c r="U681" s="4" t="str">
        <f t="shared" si="12"/>
        <v/>
      </c>
      <c r="V681" s="4" t="str">
        <f t="array" ref="V681">XLOOKUP(R681,'Dados Funil'!$A:$A,'Dados Funil'!$K:$K,"")</f>
        <v/>
      </c>
      <c r="W681" s="4" t="str">
        <f t="array" ref="W681">XLOOKUP(R681,'Dados Funil'!$A:$A,'Dados Funil'!$L:$L,"")</f>
        <v/>
      </c>
      <c r="X681" s="4"/>
      <c r="Y681" s="4"/>
      <c r="Z681" s="7" t="str">
        <f t="shared" si="5"/>
        <v/>
      </c>
      <c r="AA681" s="4" t="str">
        <f t="shared" si="13"/>
        <v/>
      </c>
      <c r="AB681" s="4" t="str">
        <f t="array" ref="AB681">XLOOKUP(X681,'Dados Funil'!A:A,'Dados Funil'!O:O,"")</f>
        <v/>
      </c>
      <c r="AE681" s="7" t="str">
        <f t="shared" si="6"/>
        <v/>
      </c>
      <c r="AG681" s="4" t="str">
        <f t="array" ref="AG681">XLOOKUP(AC681,'Dados Funil'!A:A,'Dados Funil'!AM:AM,"")</f>
        <v/>
      </c>
      <c r="AH681" s="4" t="str">
        <f t="array" ref="AH681">XLOOKUP(AC681,'Dados Funil'!A:A,'Dados Funil'!AN:AN,"")</f>
        <v/>
      </c>
    </row>
    <row r="682">
      <c r="A682" s="4"/>
      <c r="B682" s="4"/>
      <c r="C682" s="7" t="str">
        <f t="shared" si="1"/>
        <v/>
      </c>
      <c r="D682" s="4" t="str">
        <f t="shared" si="9"/>
        <v/>
      </c>
      <c r="E682" s="4" t="str">
        <f t="array" ref="E682">XLOOKUP(A682,'Dados Funil'!$A:$A,'Dados Funil'!$K:$K,"")</f>
        <v/>
      </c>
      <c r="F682" s="4" t="str">
        <f t="array" ref="F682">XLOOKUP(A682,'Dados Funil'!$A:$A,'Dados Funil'!$L:$L,"")</f>
        <v/>
      </c>
      <c r="G682" s="4"/>
      <c r="H682" s="4"/>
      <c r="I682" s="7" t="str">
        <f t="shared" si="2"/>
        <v/>
      </c>
      <c r="J682" s="4" t="str">
        <f t="shared" si="10"/>
        <v/>
      </c>
      <c r="K682" s="4" t="str">
        <f t="array" ref="K682">XLOOKUP(G682,'Dados Funil'!A:A,'Dados Funil'!O:O,"")</f>
        <v/>
      </c>
      <c r="L682" s="4"/>
      <c r="M682" s="4"/>
      <c r="N682" s="7" t="str">
        <f t="shared" si="3"/>
        <v/>
      </c>
      <c r="O682" s="4" t="str">
        <f t="shared" si="11"/>
        <v/>
      </c>
      <c r="P682" s="4" t="str">
        <f t="array" ref="P682">XLOOKUP(L682,'Dados Funil'!A:A,'Dados Funil'!AM:AM,"")</f>
        <v/>
      </c>
      <c r="Q682" s="4" t="str">
        <f t="array" ref="Q682">XLOOKUP(L682,'Dados Funil'!A:A,'Dados Funil'!AN:AN,"")</f>
        <v/>
      </c>
      <c r="T682" s="7" t="str">
        <f t="shared" si="4"/>
        <v/>
      </c>
      <c r="U682" s="4" t="str">
        <f t="shared" si="12"/>
        <v/>
      </c>
      <c r="V682" s="4" t="str">
        <f t="array" ref="V682">XLOOKUP(R682,'Dados Funil'!$A:$A,'Dados Funil'!$K:$K,"")</f>
        <v/>
      </c>
      <c r="W682" s="4" t="str">
        <f t="array" ref="W682">XLOOKUP(R682,'Dados Funil'!$A:$A,'Dados Funil'!$L:$L,"")</f>
        <v/>
      </c>
      <c r="X682" s="4"/>
      <c r="Y682" s="4"/>
      <c r="Z682" s="7" t="str">
        <f t="shared" si="5"/>
        <v/>
      </c>
      <c r="AA682" s="4" t="str">
        <f t="shared" si="13"/>
        <v/>
      </c>
      <c r="AB682" s="4" t="str">
        <f t="array" ref="AB682">XLOOKUP(X682,'Dados Funil'!A:A,'Dados Funil'!O:O,"")</f>
        <v/>
      </c>
      <c r="AE682" s="7" t="str">
        <f t="shared" si="6"/>
        <v/>
      </c>
      <c r="AG682" s="4" t="str">
        <f t="array" ref="AG682">XLOOKUP(AC682,'Dados Funil'!A:A,'Dados Funil'!AM:AM,"")</f>
        <v/>
      </c>
      <c r="AH682" s="4" t="str">
        <f t="array" ref="AH682">XLOOKUP(AC682,'Dados Funil'!A:A,'Dados Funil'!AN:AN,"")</f>
        <v/>
      </c>
    </row>
    <row r="683">
      <c r="A683" s="4"/>
      <c r="B683" s="4"/>
      <c r="C683" s="7" t="str">
        <f t="shared" si="1"/>
        <v/>
      </c>
      <c r="D683" s="4" t="str">
        <f t="shared" si="9"/>
        <v/>
      </c>
      <c r="E683" s="4" t="str">
        <f t="array" ref="E683">XLOOKUP(A683,'Dados Funil'!$A:$A,'Dados Funil'!$K:$K,"")</f>
        <v/>
      </c>
      <c r="F683" s="4" t="str">
        <f t="array" ref="F683">XLOOKUP(A683,'Dados Funil'!$A:$A,'Dados Funil'!$L:$L,"")</f>
        <v/>
      </c>
      <c r="G683" s="4"/>
      <c r="H683" s="4"/>
      <c r="I683" s="7" t="str">
        <f t="shared" si="2"/>
        <v/>
      </c>
      <c r="J683" s="4" t="str">
        <f t="shared" si="10"/>
        <v/>
      </c>
      <c r="K683" s="4" t="str">
        <f t="array" ref="K683">XLOOKUP(G683,'Dados Funil'!A:A,'Dados Funil'!O:O,"")</f>
        <v/>
      </c>
      <c r="L683" s="4"/>
      <c r="M683" s="4"/>
      <c r="N683" s="7" t="str">
        <f t="shared" si="3"/>
        <v/>
      </c>
      <c r="O683" s="4" t="str">
        <f t="shared" si="11"/>
        <v/>
      </c>
      <c r="P683" s="4" t="str">
        <f t="array" ref="P683">XLOOKUP(L683,'Dados Funil'!A:A,'Dados Funil'!AM:AM,"")</f>
        <v/>
      </c>
      <c r="Q683" s="4" t="str">
        <f t="array" ref="Q683">XLOOKUP(L683,'Dados Funil'!A:A,'Dados Funil'!AN:AN,"")</f>
        <v/>
      </c>
      <c r="T683" s="7" t="str">
        <f t="shared" si="4"/>
        <v/>
      </c>
      <c r="U683" s="4" t="str">
        <f t="shared" si="12"/>
        <v/>
      </c>
      <c r="V683" s="4" t="str">
        <f t="array" ref="V683">XLOOKUP(R683,'Dados Funil'!$A:$A,'Dados Funil'!$K:$K,"")</f>
        <v/>
      </c>
      <c r="W683" s="4" t="str">
        <f t="array" ref="W683">XLOOKUP(R683,'Dados Funil'!$A:$A,'Dados Funil'!$L:$L,"")</f>
        <v/>
      </c>
      <c r="X683" s="4"/>
      <c r="Y683" s="4"/>
      <c r="Z683" s="7" t="str">
        <f t="shared" si="5"/>
        <v/>
      </c>
      <c r="AA683" s="4" t="str">
        <f t="shared" si="13"/>
        <v/>
      </c>
      <c r="AB683" s="4" t="str">
        <f t="array" ref="AB683">XLOOKUP(X683,'Dados Funil'!A:A,'Dados Funil'!O:O,"")</f>
        <v/>
      </c>
      <c r="AE683" s="7" t="str">
        <f t="shared" si="6"/>
        <v/>
      </c>
      <c r="AG683" s="4" t="str">
        <f t="array" ref="AG683">XLOOKUP(AC683,'Dados Funil'!A:A,'Dados Funil'!AM:AM,"")</f>
        <v/>
      </c>
      <c r="AH683" s="4" t="str">
        <f t="array" ref="AH683">XLOOKUP(AC683,'Dados Funil'!A:A,'Dados Funil'!AN:AN,"")</f>
        <v/>
      </c>
    </row>
    <row r="684">
      <c r="A684" s="4"/>
      <c r="B684" s="4"/>
      <c r="C684" s="7" t="str">
        <f t="shared" si="1"/>
        <v/>
      </c>
      <c r="D684" s="4" t="str">
        <f t="shared" si="9"/>
        <v/>
      </c>
      <c r="E684" s="4" t="str">
        <f t="array" ref="E684">XLOOKUP(A684,'Dados Funil'!$A:$A,'Dados Funil'!$K:$K,"")</f>
        <v/>
      </c>
      <c r="F684" s="4" t="str">
        <f t="array" ref="F684">XLOOKUP(A684,'Dados Funil'!$A:$A,'Dados Funil'!$L:$L,"")</f>
        <v/>
      </c>
      <c r="G684" s="4"/>
      <c r="H684" s="4"/>
      <c r="I684" s="7" t="str">
        <f t="shared" si="2"/>
        <v/>
      </c>
      <c r="J684" s="4" t="str">
        <f t="shared" si="10"/>
        <v/>
      </c>
      <c r="K684" s="4" t="str">
        <f t="array" ref="K684">XLOOKUP(G684,'Dados Funil'!A:A,'Dados Funil'!O:O,"")</f>
        <v/>
      </c>
      <c r="L684" s="4"/>
      <c r="M684" s="4"/>
      <c r="N684" s="7" t="str">
        <f t="shared" si="3"/>
        <v/>
      </c>
      <c r="O684" s="4" t="str">
        <f t="shared" si="11"/>
        <v/>
      </c>
      <c r="P684" s="4" t="str">
        <f t="array" ref="P684">XLOOKUP(L684,'Dados Funil'!A:A,'Dados Funil'!AM:AM,"")</f>
        <v/>
      </c>
      <c r="Q684" s="4" t="str">
        <f t="array" ref="Q684">XLOOKUP(L684,'Dados Funil'!A:A,'Dados Funil'!AN:AN,"")</f>
        <v/>
      </c>
      <c r="T684" s="7" t="str">
        <f t="shared" si="4"/>
        <v/>
      </c>
      <c r="U684" s="4" t="str">
        <f t="shared" si="12"/>
        <v/>
      </c>
      <c r="V684" s="4" t="str">
        <f t="array" ref="V684">XLOOKUP(R684,'Dados Funil'!$A:$A,'Dados Funil'!$K:$K,"")</f>
        <v/>
      </c>
      <c r="W684" s="4" t="str">
        <f t="array" ref="W684">XLOOKUP(R684,'Dados Funil'!$A:$A,'Dados Funil'!$L:$L,"")</f>
        <v/>
      </c>
      <c r="X684" s="4"/>
      <c r="Y684" s="4"/>
      <c r="Z684" s="7" t="str">
        <f t="shared" si="5"/>
        <v/>
      </c>
      <c r="AA684" s="4" t="str">
        <f t="shared" si="13"/>
        <v/>
      </c>
      <c r="AB684" s="4" t="str">
        <f t="array" ref="AB684">XLOOKUP(X684,'Dados Funil'!A:A,'Dados Funil'!O:O,"")</f>
        <v/>
      </c>
      <c r="AE684" s="7" t="str">
        <f t="shared" si="6"/>
        <v/>
      </c>
      <c r="AG684" s="4" t="str">
        <f t="array" ref="AG684">XLOOKUP(AC684,'Dados Funil'!A:A,'Dados Funil'!AM:AM,"")</f>
        <v/>
      </c>
      <c r="AH684" s="4" t="str">
        <f t="array" ref="AH684">XLOOKUP(AC684,'Dados Funil'!A:A,'Dados Funil'!AN:AN,"")</f>
        <v/>
      </c>
    </row>
    <row r="685">
      <c r="A685" s="4"/>
      <c r="B685" s="4"/>
      <c r="C685" s="7" t="str">
        <f t="shared" si="1"/>
        <v/>
      </c>
      <c r="D685" s="4" t="str">
        <f t="shared" si="9"/>
        <v/>
      </c>
      <c r="E685" s="4" t="str">
        <f t="array" ref="E685">XLOOKUP(A685,'Dados Funil'!$A:$A,'Dados Funil'!$K:$K,"")</f>
        <v/>
      </c>
      <c r="F685" s="4" t="str">
        <f t="array" ref="F685">XLOOKUP(A685,'Dados Funil'!$A:$A,'Dados Funil'!$L:$L,"")</f>
        <v/>
      </c>
      <c r="G685" s="4"/>
      <c r="H685" s="4"/>
      <c r="I685" s="7" t="str">
        <f t="shared" si="2"/>
        <v/>
      </c>
      <c r="J685" s="4" t="str">
        <f t="shared" si="10"/>
        <v/>
      </c>
      <c r="K685" s="4" t="str">
        <f t="array" ref="K685">XLOOKUP(G685,'Dados Funil'!A:A,'Dados Funil'!O:O,"")</f>
        <v/>
      </c>
      <c r="L685" s="4"/>
      <c r="M685" s="4"/>
      <c r="N685" s="7" t="str">
        <f t="shared" si="3"/>
        <v/>
      </c>
      <c r="O685" s="4" t="str">
        <f t="shared" si="11"/>
        <v/>
      </c>
      <c r="P685" s="4" t="str">
        <f t="array" ref="P685">XLOOKUP(L685,'Dados Funil'!A:A,'Dados Funil'!AM:AM,"")</f>
        <v/>
      </c>
      <c r="Q685" s="4" t="str">
        <f t="array" ref="Q685">XLOOKUP(L685,'Dados Funil'!A:A,'Dados Funil'!AN:AN,"")</f>
        <v/>
      </c>
      <c r="T685" s="7" t="str">
        <f t="shared" si="4"/>
        <v/>
      </c>
      <c r="U685" s="4" t="str">
        <f t="shared" si="12"/>
        <v/>
      </c>
      <c r="V685" s="4" t="str">
        <f t="array" ref="V685">XLOOKUP(R685,'Dados Funil'!$A:$A,'Dados Funil'!$K:$K,"")</f>
        <v/>
      </c>
      <c r="W685" s="4" t="str">
        <f t="array" ref="W685">XLOOKUP(R685,'Dados Funil'!$A:$A,'Dados Funil'!$L:$L,"")</f>
        <v/>
      </c>
      <c r="X685" s="4"/>
      <c r="Y685" s="4"/>
      <c r="Z685" s="7" t="str">
        <f t="shared" si="5"/>
        <v/>
      </c>
      <c r="AA685" s="4" t="str">
        <f t="shared" si="13"/>
        <v/>
      </c>
      <c r="AB685" s="4" t="str">
        <f t="array" ref="AB685">XLOOKUP(X685,'Dados Funil'!A:A,'Dados Funil'!O:O,"")</f>
        <v/>
      </c>
      <c r="AE685" s="7" t="str">
        <f t="shared" si="6"/>
        <v/>
      </c>
      <c r="AG685" s="4" t="str">
        <f t="array" ref="AG685">XLOOKUP(AC685,'Dados Funil'!A:A,'Dados Funil'!AM:AM,"")</f>
        <v/>
      </c>
      <c r="AH685" s="4" t="str">
        <f t="array" ref="AH685">XLOOKUP(AC685,'Dados Funil'!A:A,'Dados Funil'!AN:AN,"")</f>
        <v/>
      </c>
    </row>
    <row r="686">
      <c r="A686" s="4"/>
      <c r="B686" s="4"/>
      <c r="C686" s="7" t="str">
        <f t="shared" si="1"/>
        <v/>
      </c>
      <c r="D686" s="4" t="str">
        <f t="shared" si="9"/>
        <v/>
      </c>
      <c r="E686" s="4" t="str">
        <f t="array" ref="E686">XLOOKUP(A686,'Dados Funil'!$A:$A,'Dados Funil'!$K:$K,"")</f>
        <v/>
      </c>
      <c r="F686" s="4" t="str">
        <f t="array" ref="F686">XLOOKUP(A686,'Dados Funil'!$A:$A,'Dados Funil'!$L:$L,"")</f>
        <v/>
      </c>
      <c r="G686" s="4"/>
      <c r="H686" s="4"/>
      <c r="I686" s="7" t="str">
        <f t="shared" si="2"/>
        <v/>
      </c>
      <c r="J686" s="4" t="str">
        <f t="shared" si="10"/>
        <v/>
      </c>
      <c r="K686" s="4" t="str">
        <f t="array" ref="K686">XLOOKUP(G686,'Dados Funil'!A:A,'Dados Funil'!O:O,"")</f>
        <v/>
      </c>
      <c r="L686" s="4"/>
      <c r="M686" s="4"/>
      <c r="N686" s="7" t="str">
        <f t="shared" si="3"/>
        <v/>
      </c>
      <c r="O686" s="4" t="str">
        <f t="shared" si="11"/>
        <v/>
      </c>
      <c r="P686" s="4" t="str">
        <f t="array" ref="P686">XLOOKUP(L686,'Dados Funil'!A:A,'Dados Funil'!AM:AM,"")</f>
        <v/>
      </c>
      <c r="Q686" s="4" t="str">
        <f t="array" ref="Q686">XLOOKUP(L686,'Dados Funil'!A:A,'Dados Funil'!AN:AN,"")</f>
        <v/>
      </c>
      <c r="T686" s="7" t="str">
        <f t="shared" si="4"/>
        <v/>
      </c>
      <c r="U686" s="4" t="str">
        <f t="shared" si="12"/>
        <v/>
      </c>
      <c r="V686" s="4" t="str">
        <f t="array" ref="V686">XLOOKUP(R686,'Dados Funil'!$A:$A,'Dados Funil'!$K:$K,"")</f>
        <v/>
      </c>
      <c r="W686" s="4" t="str">
        <f t="array" ref="W686">XLOOKUP(R686,'Dados Funil'!$A:$A,'Dados Funil'!$L:$L,"")</f>
        <v/>
      </c>
      <c r="X686" s="4"/>
      <c r="Y686" s="4"/>
      <c r="Z686" s="7" t="str">
        <f t="shared" si="5"/>
        <v/>
      </c>
      <c r="AA686" s="4" t="str">
        <f t="shared" si="13"/>
        <v/>
      </c>
      <c r="AB686" s="4" t="str">
        <f t="array" ref="AB686">XLOOKUP(X686,'Dados Funil'!A:A,'Dados Funil'!O:O,"")</f>
        <v/>
      </c>
      <c r="AE686" s="7" t="str">
        <f t="shared" si="6"/>
        <v/>
      </c>
      <c r="AG686" s="4" t="str">
        <f t="array" ref="AG686">XLOOKUP(AC686,'Dados Funil'!A:A,'Dados Funil'!AM:AM,"")</f>
        <v/>
      </c>
      <c r="AH686" s="4" t="str">
        <f t="array" ref="AH686">XLOOKUP(AC686,'Dados Funil'!A:A,'Dados Funil'!AN:AN,"")</f>
        <v/>
      </c>
    </row>
    <row r="687">
      <c r="A687" s="4"/>
      <c r="B687" s="4"/>
      <c r="C687" s="7" t="str">
        <f t="shared" si="1"/>
        <v/>
      </c>
      <c r="D687" s="4" t="str">
        <f t="shared" si="9"/>
        <v/>
      </c>
      <c r="E687" s="4" t="str">
        <f t="array" ref="E687">XLOOKUP(A687,'Dados Funil'!$A:$A,'Dados Funil'!$K:$K,"")</f>
        <v/>
      </c>
      <c r="F687" s="4" t="str">
        <f t="array" ref="F687">XLOOKUP(A687,'Dados Funil'!$A:$A,'Dados Funil'!$L:$L,"")</f>
        <v/>
      </c>
      <c r="G687" s="4"/>
      <c r="H687" s="4"/>
      <c r="I687" s="7" t="str">
        <f t="shared" si="2"/>
        <v/>
      </c>
      <c r="J687" s="4" t="str">
        <f t="shared" si="10"/>
        <v/>
      </c>
      <c r="K687" s="4" t="str">
        <f t="array" ref="K687">XLOOKUP(G687,'Dados Funil'!A:A,'Dados Funil'!O:O,"")</f>
        <v/>
      </c>
      <c r="L687" s="4"/>
      <c r="M687" s="4"/>
      <c r="N687" s="7" t="str">
        <f t="shared" si="3"/>
        <v/>
      </c>
      <c r="O687" s="4" t="str">
        <f t="shared" si="11"/>
        <v/>
      </c>
      <c r="P687" s="4" t="str">
        <f t="array" ref="P687">XLOOKUP(L687,'Dados Funil'!A:A,'Dados Funil'!AM:AM,"")</f>
        <v/>
      </c>
      <c r="Q687" s="4" t="str">
        <f t="array" ref="Q687">XLOOKUP(L687,'Dados Funil'!A:A,'Dados Funil'!AN:AN,"")</f>
        <v/>
      </c>
      <c r="T687" s="7" t="str">
        <f t="shared" si="4"/>
        <v/>
      </c>
      <c r="U687" s="4" t="str">
        <f t="shared" si="12"/>
        <v/>
      </c>
      <c r="V687" s="4" t="str">
        <f t="array" ref="V687">XLOOKUP(R687,'Dados Funil'!$A:$A,'Dados Funil'!$K:$K,"")</f>
        <v/>
      </c>
      <c r="W687" s="4" t="str">
        <f t="array" ref="W687">XLOOKUP(R687,'Dados Funil'!$A:$A,'Dados Funil'!$L:$L,"")</f>
        <v/>
      </c>
      <c r="X687" s="4"/>
      <c r="Y687" s="4"/>
      <c r="Z687" s="7" t="str">
        <f t="shared" si="5"/>
        <v/>
      </c>
      <c r="AA687" s="4" t="str">
        <f t="shared" si="13"/>
        <v/>
      </c>
      <c r="AB687" s="4" t="str">
        <f t="array" ref="AB687">XLOOKUP(X687,'Dados Funil'!A:A,'Dados Funil'!O:O,"")</f>
        <v/>
      </c>
      <c r="AE687" s="7" t="str">
        <f t="shared" si="6"/>
        <v/>
      </c>
      <c r="AG687" s="4" t="str">
        <f t="array" ref="AG687">XLOOKUP(AC687,'Dados Funil'!A:A,'Dados Funil'!AM:AM,"")</f>
        <v/>
      </c>
      <c r="AH687" s="4" t="str">
        <f t="array" ref="AH687">XLOOKUP(AC687,'Dados Funil'!A:A,'Dados Funil'!AN:AN,"")</f>
        <v/>
      </c>
    </row>
    <row r="688">
      <c r="A688" s="4"/>
      <c r="B688" s="4"/>
      <c r="C688" s="7" t="str">
        <f t="shared" si="1"/>
        <v/>
      </c>
      <c r="D688" s="4" t="str">
        <f t="shared" si="9"/>
        <v/>
      </c>
      <c r="E688" s="4" t="str">
        <f t="array" ref="E688">XLOOKUP(A688,'Dados Funil'!$A:$A,'Dados Funil'!$K:$K,"")</f>
        <v/>
      </c>
      <c r="F688" s="4" t="str">
        <f t="array" ref="F688">XLOOKUP(A688,'Dados Funil'!$A:$A,'Dados Funil'!$L:$L,"")</f>
        <v/>
      </c>
      <c r="G688" s="4"/>
      <c r="H688" s="4"/>
      <c r="I688" s="7" t="str">
        <f t="shared" si="2"/>
        <v/>
      </c>
      <c r="J688" s="4" t="str">
        <f t="shared" si="10"/>
        <v/>
      </c>
      <c r="K688" s="4" t="str">
        <f t="array" ref="K688">XLOOKUP(G688,'Dados Funil'!A:A,'Dados Funil'!O:O,"")</f>
        <v/>
      </c>
      <c r="L688" s="4"/>
      <c r="M688" s="4"/>
      <c r="N688" s="7" t="str">
        <f t="shared" si="3"/>
        <v/>
      </c>
      <c r="O688" s="4" t="str">
        <f t="shared" si="11"/>
        <v/>
      </c>
      <c r="P688" s="4" t="str">
        <f t="array" ref="P688">XLOOKUP(L688,'Dados Funil'!A:A,'Dados Funil'!AM:AM,"")</f>
        <v/>
      </c>
      <c r="Q688" s="4" t="str">
        <f t="array" ref="Q688">XLOOKUP(L688,'Dados Funil'!A:A,'Dados Funil'!AN:AN,"")</f>
        <v/>
      </c>
      <c r="T688" s="7" t="str">
        <f t="shared" si="4"/>
        <v/>
      </c>
      <c r="U688" s="4" t="str">
        <f t="shared" si="12"/>
        <v/>
      </c>
      <c r="V688" s="4" t="str">
        <f t="array" ref="V688">XLOOKUP(R688,'Dados Funil'!$A:$A,'Dados Funil'!$K:$K,"")</f>
        <v/>
      </c>
      <c r="W688" s="4" t="str">
        <f t="array" ref="W688">XLOOKUP(R688,'Dados Funil'!$A:$A,'Dados Funil'!$L:$L,"")</f>
        <v/>
      </c>
      <c r="X688" s="4"/>
      <c r="Y688" s="4"/>
      <c r="Z688" s="7" t="str">
        <f t="shared" si="5"/>
        <v/>
      </c>
      <c r="AA688" s="4" t="str">
        <f t="shared" si="13"/>
        <v/>
      </c>
      <c r="AB688" s="4" t="str">
        <f t="array" ref="AB688">XLOOKUP(X688,'Dados Funil'!A:A,'Dados Funil'!O:O,"")</f>
        <v/>
      </c>
      <c r="AE688" s="7" t="str">
        <f t="shared" si="6"/>
        <v/>
      </c>
      <c r="AG688" s="4" t="str">
        <f t="array" ref="AG688">XLOOKUP(AC688,'Dados Funil'!A:A,'Dados Funil'!AM:AM,"")</f>
        <v/>
      </c>
      <c r="AH688" s="4" t="str">
        <f t="array" ref="AH688">XLOOKUP(AC688,'Dados Funil'!A:A,'Dados Funil'!AN:AN,"")</f>
        <v/>
      </c>
    </row>
    <row r="689">
      <c r="A689" s="4"/>
      <c r="B689" s="4"/>
      <c r="C689" s="7" t="str">
        <f t="shared" si="1"/>
        <v/>
      </c>
      <c r="D689" s="4" t="str">
        <f t="shared" si="9"/>
        <v/>
      </c>
      <c r="E689" s="4" t="str">
        <f t="array" ref="E689">XLOOKUP(A689,'Dados Funil'!$A:$A,'Dados Funil'!$K:$K,"")</f>
        <v/>
      </c>
      <c r="F689" s="4" t="str">
        <f t="array" ref="F689">XLOOKUP(A689,'Dados Funil'!$A:$A,'Dados Funil'!$L:$L,"")</f>
        <v/>
      </c>
      <c r="G689" s="4"/>
      <c r="H689" s="4"/>
      <c r="I689" s="7" t="str">
        <f t="shared" si="2"/>
        <v/>
      </c>
      <c r="J689" s="4" t="str">
        <f t="shared" si="10"/>
        <v/>
      </c>
      <c r="K689" s="4" t="str">
        <f t="array" ref="K689">XLOOKUP(G689,'Dados Funil'!A:A,'Dados Funil'!O:O,"")</f>
        <v/>
      </c>
      <c r="L689" s="4"/>
      <c r="M689" s="4"/>
      <c r="N689" s="7" t="str">
        <f t="shared" si="3"/>
        <v/>
      </c>
      <c r="O689" s="4" t="str">
        <f t="shared" si="11"/>
        <v/>
      </c>
      <c r="P689" s="4" t="str">
        <f t="array" ref="P689">XLOOKUP(L689,'Dados Funil'!A:A,'Dados Funil'!AM:AM,"")</f>
        <v/>
      </c>
      <c r="Q689" s="4" t="str">
        <f t="array" ref="Q689">XLOOKUP(L689,'Dados Funil'!A:A,'Dados Funil'!AN:AN,"")</f>
        <v/>
      </c>
      <c r="T689" s="7" t="str">
        <f t="shared" si="4"/>
        <v/>
      </c>
      <c r="U689" s="4" t="str">
        <f t="shared" si="12"/>
        <v/>
      </c>
      <c r="V689" s="4" t="str">
        <f t="array" ref="V689">XLOOKUP(R689,'Dados Funil'!$A:$A,'Dados Funil'!$K:$K,"")</f>
        <v/>
      </c>
      <c r="W689" s="4" t="str">
        <f t="array" ref="W689">XLOOKUP(R689,'Dados Funil'!$A:$A,'Dados Funil'!$L:$L,"")</f>
        <v/>
      </c>
      <c r="X689" s="4"/>
      <c r="Y689" s="4"/>
      <c r="Z689" s="7" t="str">
        <f t="shared" si="5"/>
        <v/>
      </c>
      <c r="AA689" s="4" t="str">
        <f t="shared" si="13"/>
        <v/>
      </c>
      <c r="AB689" s="4" t="str">
        <f t="array" ref="AB689">XLOOKUP(X689,'Dados Funil'!A:A,'Dados Funil'!O:O,"")</f>
        <v/>
      </c>
      <c r="AE689" s="7" t="str">
        <f t="shared" si="6"/>
        <v/>
      </c>
      <c r="AG689" s="4" t="str">
        <f t="array" ref="AG689">XLOOKUP(AC689,'Dados Funil'!A:A,'Dados Funil'!AM:AM,"")</f>
        <v/>
      </c>
      <c r="AH689" s="4" t="str">
        <f t="array" ref="AH689">XLOOKUP(AC689,'Dados Funil'!A:A,'Dados Funil'!AN:AN,"")</f>
        <v/>
      </c>
    </row>
    <row r="690">
      <c r="A690" s="4"/>
      <c r="B690" s="4"/>
      <c r="C690" s="7" t="str">
        <f t="shared" si="1"/>
        <v/>
      </c>
      <c r="D690" s="4" t="str">
        <f t="shared" si="9"/>
        <v/>
      </c>
      <c r="E690" s="4" t="str">
        <f t="array" ref="E690">XLOOKUP(A690,'Dados Funil'!$A:$A,'Dados Funil'!$K:$K,"")</f>
        <v/>
      </c>
      <c r="F690" s="4" t="str">
        <f t="array" ref="F690">XLOOKUP(A690,'Dados Funil'!$A:$A,'Dados Funil'!$L:$L,"")</f>
        <v/>
      </c>
      <c r="G690" s="4"/>
      <c r="H690" s="4"/>
      <c r="I690" s="7" t="str">
        <f t="shared" si="2"/>
        <v/>
      </c>
      <c r="J690" s="4" t="str">
        <f t="shared" si="10"/>
        <v/>
      </c>
      <c r="K690" s="4" t="str">
        <f t="array" ref="K690">XLOOKUP(G690,'Dados Funil'!A:A,'Dados Funil'!O:O,"")</f>
        <v/>
      </c>
      <c r="L690" s="4"/>
      <c r="M690" s="4"/>
      <c r="N690" s="7" t="str">
        <f t="shared" si="3"/>
        <v/>
      </c>
      <c r="O690" s="4" t="str">
        <f t="shared" si="11"/>
        <v/>
      </c>
      <c r="P690" s="4" t="str">
        <f t="array" ref="P690">XLOOKUP(L690,'Dados Funil'!A:A,'Dados Funil'!AM:AM,"")</f>
        <v/>
      </c>
      <c r="Q690" s="4" t="str">
        <f t="array" ref="Q690">XLOOKUP(L690,'Dados Funil'!A:A,'Dados Funil'!AN:AN,"")</f>
        <v/>
      </c>
      <c r="T690" s="7" t="str">
        <f t="shared" si="4"/>
        <v/>
      </c>
      <c r="U690" s="4" t="str">
        <f t="shared" si="12"/>
        <v/>
      </c>
      <c r="V690" s="4" t="str">
        <f t="array" ref="V690">XLOOKUP(R690,'Dados Funil'!$A:$A,'Dados Funil'!$K:$K,"")</f>
        <v/>
      </c>
      <c r="W690" s="4" t="str">
        <f t="array" ref="W690">XLOOKUP(R690,'Dados Funil'!$A:$A,'Dados Funil'!$L:$L,"")</f>
        <v/>
      </c>
      <c r="X690" s="4"/>
      <c r="Y690" s="4"/>
      <c r="Z690" s="7" t="str">
        <f t="shared" si="5"/>
        <v/>
      </c>
      <c r="AA690" s="4" t="str">
        <f t="shared" si="13"/>
        <v/>
      </c>
      <c r="AB690" s="4" t="str">
        <f t="array" ref="AB690">XLOOKUP(X690,'Dados Funil'!A:A,'Dados Funil'!O:O,"")</f>
        <v/>
      </c>
      <c r="AE690" s="7" t="str">
        <f t="shared" si="6"/>
        <v/>
      </c>
      <c r="AG690" s="4" t="str">
        <f t="array" ref="AG690">XLOOKUP(AC690,'Dados Funil'!A:A,'Dados Funil'!AM:AM,"")</f>
        <v/>
      </c>
      <c r="AH690" s="4" t="str">
        <f t="array" ref="AH690">XLOOKUP(AC690,'Dados Funil'!A:A,'Dados Funil'!AN:AN,"")</f>
        <v/>
      </c>
    </row>
    <row r="691">
      <c r="A691" s="4"/>
      <c r="B691" s="4"/>
      <c r="C691" s="7" t="str">
        <f t="shared" si="1"/>
        <v/>
      </c>
      <c r="D691" s="4" t="str">
        <f t="shared" si="9"/>
        <v/>
      </c>
      <c r="E691" s="4" t="str">
        <f t="array" ref="E691">XLOOKUP(A691,'Dados Funil'!$A:$A,'Dados Funil'!$K:$K,"")</f>
        <v/>
      </c>
      <c r="F691" s="4" t="str">
        <f t="array" ref="F691">XLOOKUP(A691,'Dados Funil'!$A:$A,'Dados Funil'!$L:$L,"")</f>
        <v/>
      </c>
      <c r="G691" s="4"/>
      <c r="H691" s="4"/>
      <c r="I691" s="7" t="str">
        <f t="shared" si="2"/>
        <v/>
      </c>
      <c r="J691" s="4" t="str">
        <f t="shared" si="10"/>
        <v/>
      </c>
      <c r="K691" s="4" t="str">
        <f t="array" ref="K691">XLOOKUP(G691,'Dados Funil'!A:A,'Dados Funil'!O:O,"")</f>
        <v/>
      </c>
      <c r="L691" s="4"/>
      <c r="M691" s="4"/>
      <c r="N691" s="7" t="str">
        <f t="shared" si="3"/>
        <v/>
      </c>
      <c r="O691" s="4" t="str">
        <f t="shared" si="11"/>
        <v/>
      </c>
      <c r="P691" s="4" t="str">
        <f t="array" ref="P691">XLOOKUP(L691,'Dados Funil'!A:A,'Dados Funil'!AM:AM,"")</f>
        <v/>
      </c>
      <c r="Q691" s="4" t="str">
        <f t="array" ref="Q691">XLOOKUP(L691,'Dados Funil'!A:A,'Dados Funil'!AN:AN,"")</f>
        <v/>
      </c>
      <c r="T691" s="7" t="str">
        <f t="shared" si="4"/>
        <v/>
      </c>
      <c r="U691" s="4" t="str">
        <f t="shared" si="12"/>
        <v/>
      </c>
      <c r="V691" s="4" t="str">
        <f t="array" ref="V691">XLOOKUP(R691,'Dados Funil'!$A:$A,'Dados Funil'!$K:$K,"")</f>
        <v/>
      </c>
      <c r="W691" s="4" t="str">
        <f t="array" ref="W691">XLOOKUP(R691,'Dados Funil'!$A:$A,'Dados Funil'!$L:$L,"")</f>
        <v/>
      </c>
      <c r="X691" s="4"/>
      <c r="Y691" s="4"/>
      <c r="Z691" s="7" t="str">
        <f t="shared" si="5"/>
        <v/>
      </c>
      <c r="AA691" s="4" t="str">
        <f t="shared" si="13"/>
        <v/>
      </c>
      <c r="AB691" s="4" t="str">
        <f t="array" ref="AB691">XLOOKUP(X691,'Dados Funil'!A:A,'Dados Funil'!O:O,"")</f>
        <v/>
      </c>
      <c r="AE691" s="7" t="str">
        <f t="shared" si="6"/>
        <v/>
      </c>
      <c r="AG691" s="4" t="str">
        <f t="array" ref="AG691">XLOOKUP(AC691,'Dados Funil'!A:A,'Dados Funil'!AM:AM,"")</f>
        <v/>
      </c>
      <c r="AH691" s="4" t="str">
        <f t="array" ref="AH691">XLOOKUP(AC691,'Dados Funil'!A:A,'Dados Funil'!AN:AN,"")</f>
        <v/>
      </c>
    </row>
    <row r="692">
      <c r="A692" s="4"/>
      <c r="B692" s="4"/>
      <c r="C692" s="7" t="str">
        <f t="shared" si="1"/>
        <v/>
      </c>
      <c r="D692" s="4" t="str">
        <f t="shared" si="9"/>
        <v/>
      </c>
      <c r="E692" s="4" t="str">
        <f t="array" ref="E692">XLOOKUP(A692,'Dados Funil'!$A:$A,'Dados Funil'!$K:$K,"")</f>
        <v/>
      </c>
      <c r="F692" s="4" t="str">
        <f t="array" ref="F692">XLOOKUP(A692,'Dados Funil'!$A:$A,'Dados Funil'!$L:$L,"")</f>
        <v/>
      </c>
      <c r="G692" s="4"/>
      <c r="H692" s="4"/>
      <c r="I692" s="7" t="str">
        <f t="shared" si="2"/>
        <v/>
      </c>
      <c r="J692" s="4" t="str">
        <f t="shared" si="10"/>
        <v/>
      </c>
      <c r="K692" s="4" t="str">
        <f t="array" ref="K692">XLOOKUP(G692,'Dados Funil'!A:A,'Dados Funil'!O:O,"")</f>
        <v/>
      </c>
      <c r="L692" s="4"/>
      <c r="M692" s="4"/>
      <c r="N692" s="7" t="str">
        <f t="shared" si="3"/>
        <v/>
      </c>
      <c r="O692" s="4" t="str">
        <f t="shared" si="11"/>
        <v/>
      </c>
      <c r="P692" s="4" t="str">
        <f t="array" ref="P692">XLOOKUP(L692,'Dados Funil'!A:A,'Dados Funil'!AM:AM,"")</f>
        <v/>
      </c>
      <c r="Q692" s="4" t="str">
        <f t="array" ref="Q692">XLOOKUP(L692,'Dados Funil'!A:A,'Dados Funil'!AN:AN,"")</f>
        <v/>
      </c>
      <c r="T692" s="7" t="str">
        <f t="shared" si="4"/>
        <v/>
      </c>
      <c r="U692" s="4" t="str">
        <f t="shared" si="12"/>
        <v/>
      </c>
      <c r="V692" s="4" t="str">
        <f t="array" ref="V692">XLOOKUP(R692,'Dados Funil'!$A:$A,'Dados Funil'!$K:$K,"")</f>
        <v/>
      </c>
      <c r="W692" s="4" t="str">
        <f t="array" ref="W692">XLOOKUP(R692,'Dados Funil'!$A:$A,'Dados Funil'!$L:$L,"")</f>
        <v/>
      </c>
      <c r="X692" s="4"/>
      <c r="Y692" s="4"/>
      <c r="Z692" s="7" t="str">
        <f t="shared" si="5"/>
        <v/>
      </c>
      <c r="AA692" s="4" t="str">
        <f t="shared" si="13"/>
        <v/>
      </c>
      <c r="AB692" s="4" t="str">
        <f t="array" ref="AB692">XLOOKUP(X692,'Dados Funil'!A:A,'Dados Funil'!O:O,"")</f>
        <v/>
      </c>
      <c r="AE692" s="7" t="str">
        <f t="shared" si="6"/>
        <v/>
      </c>
      <c r="AG692" s="4" t="str">
        <f t="array" ref="AG692">XLOOKUP(AC692,'Dados Funil'!A:A,'Dados Funil'!AM:AM,"")</f>
        <v/>
      </c>
      <c r="AH692" s="4" t="str">
        <f t="array" ref="AH692">XLOOKUP(AC692,'Dados Funil'!A:A,'Dados Funil'!AN:AN,"")</f>
        <v/>
      </c>
    </row>
    <row r="693">
      <c r="A693" s="4"/>
      <c r="B693" s="4"/>
      <c r="C693" s="7" t="str">
        <f t="shared" si="1"/>
        <v/>
      </c>
      <c r="D693" s="4" t="str">
        <f t="shared" si="9"/>
        <v/>
      </c>
      <c r="E693" s="4" t="str">
        <f t="array" ref="E693">XLOOKUP(A693,'Dados Funil'!$A:$A,'Dados Funil'!$K:$K,"")</f>
        <v/>
      </c>
      <c r="F693" s="4" t="str">
        <f t="array" ref="F693">XLOOKUP(A693,'Dados Funil'!$A:$A,'Dados Funil'!$L:$L,"")</f>
        <v/>
      </c>
      <c r="G693" s="4"/>
      <c r="H693" s="4"/>
      <c r="I693" s="7" t="str">
        <f t="shared" si="2"/>
        <v/>
      </c>
      <c r="J693" s="4" t="str">
        <f t="shared" si="10"/>
        <v/>
      </c>
      <c r="K693" s="4" t="str">
        <f t="array" ref="K693">XLOOKUP(G693,'Dados Funil'!A:A,'Dados Funil'!O:O,"")</f>
        <v/>
      </c>
      <c r="L693" s="4"/>
      <c r="M693" s="4"/>
      <c r="N693" s="7" t="str">
        <f t="shared" si="3"/>
        <v/>
      </c>
      <c r="O693" s="4" t="str">
        <f t="shared" si="11"/>
        <v/>
      </c>
      <c r="P693" s="4" t="str">
        <f t="array" ref="P693">XLOOKUP(L693,'Dados Funil'!A:A,'Dados Funil'!AM:AM,"")</f>
        <v/>
      </c>
      <c r="Q693" s="4" t="str">
        <f t="array" ref="Q693">XLOOKUP(L693,'Dados Funil'!A:A,'Dados Funil'!AN:AN,"")</f>
        <v/>
      </c>
      <c r="T693" s="7" t="str">
        <f t="shared" si="4"/>
        <v/>
      </c>
      <c r="U693" s="4" t="str">
        <f t="shared" si="12"/>
        <v/>
      </c>
      <c r="V693" s="4" t="str">
        <f t="array" ref="V693">XLOOKUP(R693,'Dados Funil'!$A:$A,'Dados Funil'!$K:$K,"")</f>
        <v/>
      </c>
      <c r="W693" s="4" t="str">
        <f t="array" ref="W693">XLOOKUP(R693,'Dados Funil'!$A:$A,'Dados Funil'!$L:$L,"")</f>
        <v/>
      </c>
      <c r="X693" s="4"/>
      <c r="Y693" s="4"/>
      <c r="Z693" s="7" t="str">
        <f t="shared" si="5"/>
        <v/>
      </c>
      <c r="AA693" s="4" t="str">
        <f t="shared" si="13"/>
        <v/>
      </c>
      <c r="AB693" s="4" t="str">
        <f t="array" ref="AB693">XLOOKUP(X693,'Dados Funil'!A:A,'Dados Funil'!O:O,"")</f>
        <v/>
      </c>
      <c r="AE693" s="7" t="str">
        <f t="shared" si="6"/>
        <v/>
      </c>
      <c r="AG693" s="4" t="str">
        <f t="array" ref="AG693">XLOOKUP(AC693,'Dados Funil'!A:A,'Dados Funil'!AM:AM,"")</f>
        <v/>
      </c>
      <c r="AH693" s="4" t="str">
        <f t="array" ref="AH693">XLOOKUP(AC693,'Dados Funil'!A:A,'Dados Funil'!AN:AN,"")</f>
        <v/>
      </c>
    </row>
    <row r="694">
      <c r="A694" s="4"/>
      <c r="B694" s="4"/>
      <c r="C694" s="7" t="str">
        <f t="shared" si="1"/>
        <v/>
      </c>
      <c r="D694" s="4" t="str">
        <f t="shared" si="9"/>
        <v/>
      </c>
      <c r="E694" s="4" t="str">
        <f t="array" ref="E694">XLOOKUP(A694,'Dados Funil'!$A:$A,'Dados Funil'!$K:$K,"")</f>
        <v/>
      </c>
      <c r="F694" s="4" t="str">
        <f t="array" ref="F694">XLOOKUP(A694,'Dados Funil'!$A:$A,'Dados Funil'!$L:$L,"")</f>
        <v/>
      </c>
      <c r="G694" s="4"/>
      <c r="H694" s="4"/>
      <c r="I694" s="7" t="str">
        <f t="shared" si="2"/>
        <v/>
      </c>
      <c r="J694" s="4" t="str">
        <f t="shared" si="10"/>
        <v/>
      </c>
      <c r="K694" s="4" t="str">
        <f t="array" ref="K694">XLOOKUP(G694,'Dados Funil'!A:A,'Dados Funil'!O:O,"")</f>
        <v/>
      </c>
      <c r="L694" s="4"/>
      <c r="M694" s="4"/>
      <c r="N694" s="7" t="str">
        <f t="shared" si="3"/>
        <v/>
      </c>
      <c r="O694" s="4" t="str">
        <f t="shared" si="11"/>
        <v/>
      </c>
      <c r="P694" s="4" t="str">
        <f t="array" ref="P694">XLOOKUP(L694,'Dados Funil'!A:A,'Dados Funil'!AM:AM,"")</f>
        <v/>
      </c>
      <c r="Q694" s="4" t="str">
        <f t="array" ref="Q694">XLOOKUP(L694,'Dados Funil'!A:A,'Dados Funil'!AN:AN,"")</f>
        <v/>
      </c>
      <c r="T694" s="7" t="str">
        <f t="shared" si="4"/>
        <v/>
      </c>
      <c r="U694" s="4" t="str">
        <f t="shared" si="12"/>
        <v/>
      </c>
      <c r="V694" s="4" t="str">
        <f t="array" ref="V694">XLOOKUP(R694,'Dados Funil'!$A:$A,'Dados Funil'!$K:$K,"")</f>
        <v/>
      </c>
      <c r="W694" s="4" t="str">
        <f t="array" ref="W694">XLOOKUP(R694,'Dados Funil'!$A:$A,'Dados Funil'!$L:$L,"")</f>
        <v/>
      </c>
      <c r="X694" s="4"/>
      <c r="Y694" s="4"/>
      <c r="Z694" s="7" t="str">
        <f t="shared" si="5"/>
        <v/>
      </c>
      <c r="AA694" s="4" t="str">
        <f t="shared" si="13"/>
        <v/>
      </c>
      <c r="AB694" s="4" t="str">
        <f t="array" ref="AB694">XLOOKUP(X694,'Dados Funil'!A:A,'Dados Funil'!O:O,"")</f>
        <v/>
      </c>
      <c r="AE694" s="7" t="str">
        <f t="shared" si="6"/>
        <v/>
      </c>
      <c r="AG694" s="4" t="str">
        <f t="array" ref="AG694">XLOOKUP(AC694,'Dados Funil'!A:A,'Dados Funil'!AM:AM,"")</f>
        <v/>
      </c>
      <c r="AH694" s="4" t="str">
        <f t="array" ref="AH694">XLOOKUP(AC694,'Dados Funil'!A:A,'Dados Funil'!AN:AN,"")</f>
        <v/>
      </c>
    </row>
    <row r="695">
      <c r="A695" s="4"/>
      <c r="B695" s="4"/>
      <c r="C695" s="7" t="str">
        <f t="shared" si="1"/>
        <v/>
      </c>
      <c r="D695" s="4" t="str">
        <f t="shared" si="9"/>
        <v/>
      </c>
      <c r="E695" s="4" t="str">
        <f t="array" ref="E695">XLOOKUP(A695,'Dados Funil'!$A:$A,'Dados Funil'!$K:$K,"")</f>
        <v/>
      </c>
      <c r="F695" s="4" t="str">
        <f t="array" ref="F695">XLOOKUP(A695,'Dados Funil'!$A:$A,'Dados Funil'!$L:$L,"")</f>
        <v/>
      </c>
      <c r="G695" s="4"/>
      <c r="H695" s="4"/>
      <c r="I695" s="7" t="str">
        <f t="shared" si="2"/>
        <v/>
      </c>
      <c r="J695" s="4" t="str">
        <f t="shared" si="10"/>
        <v/>
      </c>
      <c r="K695" s="4" t="str">
        <f t="array" ref="K695">XLOOKUP(G695,'Dados Funil'!A:A,'Dados Funil'!O:O,"")</f>
        <v/>
      </c>
      <c r="L695" s="4"/>
      <c r="M695" s="4"/>
      <c r="N695" s="7" t="str">
        <f t="shared" si="3"/>
        <v/>
      </c>
      <c r="O695" s="4" t="str">
        <f t="shared" si="11"/>
        <v/>
      </c>
      <c r="P695" s="4" t="str">
        <f t="array" ref="P695">XLOOKUP(L695,'Dados Funil'!A:A,'Dados Funil'!AM:AM,"")</f>
        <v/>
      </c>
      <c r="Q695" s="4" t="str">
        <f t="array" ref="Q695">XLOOKUP(L695,'Dados Funil'!A:A,'Dados Funil'!AN:AN,"")</f>
        <v/>
      </c>
      <c r="T695" s="7" t="str">
        <f t="shared" si="4"/>
        <v/>
      </c>
      <c r="U695" s="4" t="str">
        <f t="shared" si="12"/>
        <v/>
      </c>
      <c r="V695" s="4" t="str">
        <f t="array" ref="V695">XLOOKUP(R695,'Dados Funil'!$A:$A,'Dados Funil'!$K:$K,"")</f>
        <v/>
      </c>
      <c r="W695" s="4" t="str">
        <f t="array" ref="W695">XLOOKUP(R695,'Dados Funil'!$A:$A,'Dados Funil'!$L:$L,"")</f>
        <v/>
      </c>
      <c r="X695" s="4"/>
      <c r="Y695" s="4"/>
      <c r="Z695" s="7" t="str">
        <f t="shared" si="5"/>
        <v/>
      </c>
      <c r="AA695" s="4" t="str">
        <f t="shared" si="13"/>
        <v/>
      </c>
      <c r="AB695" s="4" t="str">
        <f t="array" ref="AB695">XLOOKUP(X695,'Dados Funil'!A:A,'Dados Funil'!O:O,"")</f>
        <v/>
      </c>
      <c r="AE695" s="7" t="str">
        <f t="shared" si="6"/>
        <v/>
      </c>
      <c r="AG695" s="4" t="str">
        <f t="array" ref="AG695">XLOOKUP(AC695,'Dados Funil'!A:A,'Dados Funil'!AM:AM,"")</f>
        <v/>
      </c>
      <c r="AH695" s="4" t="str">
        <f t="array" ref="AH695">XLOOKUP(AC695,'Dados Funil'!A:A,'Dados Funil'!AN:AN,"")</f>
        <v/>
      </c>
    </row>
    <row r="696">
      <c r="A696" s="4"/>
      <c r="B696" s="4"/>
      <c r="C696" s="7" t="str">
        <f t="shared" si="1"/>
        <v/>
      </c>
      <c r="D696" s="4" t="str">
        <f t="shared" si="9"/>
        <v/>
      </c>
      <c r="E696" s="4" t="str">
        <f t="array" ref="E696">XLOOKUP(A696,'Dados Funil'!$A:$A,'Dados Funil'!$K:$K,"")</f>
        <v/>
      </c>
      <c r="F696" s="4" t="str">
        <f t="array" ref="F696">XLOOKUP(A696,'Dados Funil'!$A:$A,'Dados Funil'!$L:$L,"")</f>
        <v/>
      </c>
      <c r="G696" s="4"/>
      <c r="H696" s="4"/>
      <c r="I696" s="7" t="str">
        <f t="shared" si="2"/>
        <v/>
      </c>
      <c r="J696" s="4" t="str">
        <f t="shared" si="10"/>
        <v/>
      </c>
      <c r="K696" s="4" t="str">
        <f t="array" ref="K696">XLOOKUP(G696,'Dados Funil'!A:A,'Dados Funil'!O:O,"")</f>
        <v/>
      </c>
      <c r="L696" s="4"/>
      <c r="M696" s="4"/>
      <c r="N696" s="7" t="str">
        <f t="shared" si="3"/>
        <v/>
      </c>
      <c r="O696" s="4" t="str">
        <f t="shared" si="11"/>
        <v/>
      </c>
      <c r="P696" s="4" t="str">
        <f t="array" ref="P696">XLOOKUP(L696,'Dados Funil'!A:A,'Dados Funil'!AM:AM,"")</f>
        <v/>
      </c>
      <c r="Q696" s="4" t="str">
        <f t="array" ref="Q696">XLOOKUP(L696,'Dados Funil'!A:A,'Dados Funil'!AN:AN,"")</f>
        <v/>
      </c>
      <c r="T696" s="7" t="str">
        <f t="shared" si="4"/>
        <v/>
      </c>
      <c r="U696" s="4" t="str">
        <f t="shared" si="12"/>
        <v/>
      </c>
      <c r="V696" s="4" t="str">
        <f t="array" ref="V696">XLOOKUP(R696,'Dados Funil'!$A:$A,'Dados Funil'!$K:$K,"")</f>
        <v/>
      </c>
      <c r="W696" s="4" t="str">
        <f t="array" ref="W696">XLOOKUP(R696,'Dados Funil'!$A:$A,'Dados Funil'!$L:$L,"")</f>
        <v/>
      </c>
      <c r="X696" s="4"/>
      <c r="Y696" s="4"/>
      <c r="Z696" s="7" t="str">
        <f t="shared" si="5"/>
        <v/>
      </c>
      <c r="AA696" s="4" t="str">
        <f t="shared" si="13"/>
        <v/>
      </c>
      <c r="AB696" s="4" t="str">
        <f t="array" ref="AB696">XLOOKUP(X696,'Dados Funil'!A:A,'Dados Funil'!O:O,"")</f>
        <v/>
      </c>
      <c r="AE696" s="7" t="str">
        <f t="shared" si="6"/>
        <v/>
      </c>
      <c r="AG696" s="4" t="str">
        <f t="array" ref="AG696">XLOOKUP(AC696,'Dados Funil'!A:A,'Dados Funil'!AM:AM,"")</f>
        <v/>
      </c>
      <c r="AH696" s="4" t="str">
        <f t="array" ref="AH696">XLOOKUP(AC696,'Dados Funil'!A:A,'Dados Funil'!AN:AN,"")</f>
        <v/>
      </c>
    </row>
    <row r="697">
      <c r="A697" s="4"/>
      <c r="B697" s="4"/>
      <c r="C697" s="7" t="str">
        <f t="shared" si="1"/>
        <v/>
      </c>
      <c r="D697" s="4" t="str">
        <f t="shared" si="9"/>
        <v/>
      </c>
      <c r="E697" s="4" t="str">
        <f t="array" ref="E697">XLOOKUP(A697,'Dados Funil'!$A:$A,'Dados Funil'!$K:$K,"")</f>
        <v/>
      </c>
      <c r="F697" s="4" t="str">
        <f t="array" ref="F697">XLOOKUP(A697,'Dados Funil'!$A:$A,'Dados Funil'!$L:$L,"")</f>
        <v/>
      </c>
      <c r="G697" s="4"/>
      <c r="H697" s="4"/>
      <c r="I697" s="7" t="str">
        <f t="shared" si="2"/>
        <v/>
      </c>
      <c r="J697" s="4" t="str">
        <f t="shared" si="10"/>
        <v/>
      </c>
      <c r="K697" s="4" t="str">
        <f t="array" ref="K697">XLOOKUP(G697,'Dados Funil'!A:A,'Dados Funil'!O:O,"")</f>
        <v/>
      </c>
      <c r="L697" s="4"/>
      <c r="M697" s="4"/>
      <c r="N697" s="7" t="str">
        <f t="shared" si="3"/>
        <v/>
      </c>
      <c r="O697" s="4" t="str">
        <f t="shared" si="11"/>
        <v/>
      </c>
      <c r="P697" s="4" t="str">
        <f t="array" ref="P697">XLOOKUP(L697,'Dados Funil'!A:A,'Dados Funil'!AM:AM,"")</f>
        <v/>
      </c>
      <c r="Q697" s="4" t="str">
        <f t="array" ref="Q697">XLOOKUP(L697,'Dados Funil'!A:A,'Dados Funil'!AN:AN,"")</f>
        <v/>
      </c>
      <c r="T697" s="7" t="str">
        <f t="shared" si="4"/>
        <v/>
      </c>
      <c r="U697" s="4" t="str">
        <f t="shared" si="12"/>
        <v/>
      </c>
      <c r="V697" s="4" t="str">
        <f t="array" ref="V697">XLOOKUP(R697,'Dados Funil'!$A:$A,'Dados Funil'!$K:$K,"")</f>
        <v/>
      </c>
      <c r="W697" s="4" t="str">
        <f t="array" ref="W697">XLOOKUP(R697,'Dados Funil'!$A:$A,'Dados Funil'!$L:$L,"")</f>
        <v/>
      </c>
      <c r="X697" s="4"/>
      <c r="Y697" s="4"/>
      <c r="Z697" s="7" t="str">
        <f t="shared" si="5"/>
        <v/>
      </c>
      <c r="AA697" s="4" t="str">
        <f t="shared" si="13"/>
        <v/>
      </c>
      <c r="AB697" s="4" t="str">
        <f t="array" ref="AB697">XLOOKUP(X697,'Dados Funil'!A:A,'Dados Funil'!O:O,"")</f>
        <v/>
      </c>
      <c r="AE697" s="7" t="str">
        <f t="shared" si="6"/>
        <v/>
      </c>
      <c r="AG697" s="4" t="str">
        <f t="array" ref="AG697">XLOOKUP(AC697,'Dados Funil'!A:A,'Dados Funil'!AM:AM,"")</f>
        <v/>
      </c>
      <c r="AH697" s="4" t="str">
        <f t="array" ref="AH697">XLOOKUP(AC697,'Dados Funil'!A:A,'Dados Funil'!AN:AN,"")</f>
        <v/>
      </c>
    </row>
    <row r="698">
      <c r="A698" s="4"/>
      <c r="B698" s="4"/>
      <c r="C698" s="7" t="str">
        <f t="shared" si="1"/>
        <v/>
      </c>
      <c r="D698" s="4" t="str">
        <f t="shared" si="9"/>
        <v/>
      </c>
      <c r="E698" s="4" t="str">
        <f t="array" ref="E698">XLOOKUP(A698,'Dados Funil'!$A:$A,'Dados Funil'!$K:$K,"")</f>
        <v/>
      </c>
      <c r="F698" s="4" t="str">
        <f t="array" ref="F698">XLOOKUP(A698,'Dados Funil'!$A:$A,'Dados Funil'!$L:$L,"")</f>
        <v/>
      </c>
      <c r="G698" s="4"/>
      <c r="H698" s="4"/>
      <c r="I698" s="7" t="str">
        <f t="shared" si="2"/>
        <v/>
      </c>
      <c r="J698" s="4" t="str">
        <f t="shared" si="10"/>
        <v/>
      </c>
      <c r="K698" s="4" t="str">
        <f t="array" ref="K698">XLOOKUP(G698,'Dados Funil'!A:A,'Dados Funil'!O:O,"")</f>
        <v/>
      </c>
      <c r="L698" s="4"/>
      <c r="M698" s="4"/>
      <c r="N698" s="7" t="str">
        <f t="shared" si="3"/>
        <v/>
      </c>
      <c r="O698" s="4" t="str">
        <f t="shared" si="11"/>
        <v/>
      </c>
      <c r="P698" s="4" t="str">
        <f t="array" ref="P698">XLOOKUP(L698,'Dados Funil'!A:A,'Dados Funil'!AM:AM,"")</f>
        <v/>
      </c>
      <c r="Q698" s="4" t="str">
        <f t="array" ref="Q698">XLOOKUP(L698,'Dados Funil'!A:A,'Dados Funil'!AN:AN,"")</f>
        <v/>
      </c>
      <c r="T698" s="7" t="str">
        <f t="shared" si="4"/>
        <v/>
      </c>
      <c r="U698" s="4" t="str">
        <f t="shared" si="12"/>
        <v/>
      </c>
      <c r="V698" s="4" t="str">
        <f t="array" ref="V698">XLOOKUP(R698,'Dados Funil'!$A:$A,'Dados Funil'!$K:$K,"")</f>
        <v/>
      </c>
      <c r="W698" s="4" t="str">
        <f t="array" ref="W698">XLOOKUP(R698,'Dados Funil'!$A:$A,'Dados Funil'!$L:$L,"")</f>
        <v/>
      </c>
      <c r="X698" s="4"/>
      <c r="Y698" s="4"/>
      <c r="Z698" s="7" t="str">
        <f t="shared" si="5"/>
        <v/>
      </c>
      <c r="AA698" s="4" t="str">
        <f t="shared" si="13"/>
        <v/>
      </c>
      <c r="AB698" s="4" t="str">
        <f t="array" ref="AB698">XLOOKUP(X698,'Dados Funil'!A:A,'Dados Funil'!O:O,"")</f>
        <v/>
      </c>
      <c r="AE698" s="7" t="str">
        <f t="shared" si="6"/>
        <v/>
      </c>
      <c r="AG698" s="4" t="str">
        <f t="array" ref="AG698">XLOOKUP(AC698,'Dados Funil'!A:A,'Dados Funil'!AM:AM,"")</f>
        <v/>
      </c>
      <c r="AH698" s="4" t="str">
        <f t="array" ref="AH698">XLOOKUP(AC698,'Dados Funil'!A:A,'Dados Funil'!AN:AN,"")</f>
        <v/>
      </c>
    </row>
    <row r="699">
      <c r="A699" s="4"/>
      <c r="B699" s="4"/>
      <c r="C699" s="7" t="str">
        <f t="shared" si="1"/>
        <v/>
      </c>
      <c r="D699" s="4" t="str">
        <f t="shared" si="9"/>
        <v/>
      </c>
      <c r="E699" s="4" t="str">
        <f t="array" ref="E699">XLOOKUP(A699,'Dados Funil'!$A:$A,'Dados Funil'!$K:$K,"")</f>
        <v/>
      </c>
      <c r="F699" s="4" t="str">
        <f t="array" ref="F699">XLOOKUP(A699,'Dados Funil'!$A:$A,'Dados Funil'!$L:$L,"")</f>
        <v/>
      </c>
      <c r="G699" s="4"/>
      <c r="H699" s="4"/>
      <c r="I699" s="7" t="str">
        <f t="shared" si="2"/>
        <v/>
      </c>
      <c r="J699" s="4" t="str">
        <f t="shared" si="10"/>
        <v/>
      </c>
      <c r="K699" s="4" t="str">
        <f t="array" ref="K699">XLOOKUP(G699,'Dados Funil'!A:A,'Dados Funil'!O:O,"")</f>
        <v/>
      </c>
      <c r="L699" s="4"/>
      <c r="M699" s="4"/>
      <c r="N699" s="7" t="str">
        <f t="shared" si="3"/>
        <v/>
      </c>
      <c r="O699" s="4" t="str">
        <f t="shared" si="11"/>
        <v/>
      </c>
      <c r="P699" s="4" t="str">
        <f t="array" ref="P699">XLOOKUP(L699,'Dados Funil'!A:A,'Dados Funil'!AM:AM,"")</f>
        <v/>
      </c>
      <c r="Q699" s="4" t="str">
        <f t="array" ref="Q699">XLOOKUP(L699,'Dados Funil'!A:A,'Dados Funil'!AN:AN,"")</f>
        <v/>
      </c>
      <c r="T699" s="7" t="str">
        <f t="shared" si="4"/>
        <v/>
      </c>
      <c r="U699" s="4" t="str">
        <f t="shared" si="12"/>
        <v/>
      </c>
      <c r="V699" s="4" t="str">
        <f t="array" ref="V699">XLOOKUP(R699,'Dados Funil'!$A:$A,'Dados Funil'!$K:$K,"")</f>
        <v/>
      </c>
      <c r="W699" s="4" t="str">
        <f t="array" ref="W699">XLOOKUP(R699,'Dados Funil'!$A:$A,'Dados Funil'!$L:$L,"")</f>
        <v/>
      </c>
      <c r="X699" s="4"/>
      <c r="Y699" s="4"/>
      <c r="Z699" s="7" t="str">
        <f t="shared" si="5"/>
        <v/>
      </c>
      <c r="AA699" s="4" t="str">
        <f t="shared" si="13"/>
        <v/>
      </c>
      <c r="AB699" s="4" t="str">
        <f t="array" ref="AB699">XLOOKUP(X699,'Dados Funil'!A:A,'Dados Funil'!O:O,"")</f>
        <v/>
      </c>
      <c r="AE699" s="7" t="str">
        <f t="shared" si="6"/>
        <v/>
      </c>
      <c r="AG699" s="4" t="str">
        <f t="array" ref="AG699">XLOOKUP(AC699,'Dados Funil'!A:A,'Dados Funil'!AM:AM,"")</f>
        <v/>
      </c>
      <c r="AH699" s="4" t="str">
        <f t="array" ref="AH699">XLOOKUP(AC699,'Dados Funil'!A:A,'Dados Funil'!AN:AN,"")</f>
        <v/>
      </c>
    </row>
    <row r="700">
      <c r="A700" s="4"/>
      <c r="B700" s="4"/>
      <c r="C700" s="7" t="str">
        <f t="shared" si="1"/>
        <v/>
      </c>
      <c r="D700" s="4" t="str">
        <f t="shared" si="9"/>
        <v/>
      </c>
      <c r="E700" s="4" t="str">
        <f t="array" ref="E700">XLOOKUP(A700,'Dados Funil'!$A:$A,'Dados Funil'!$K:$K,"")</f>
        <v/>
      </c>
      <c r="F700" s="4" t="str">
        <f t="array" ref="F700">XLOOKUP(A700,'Dados Funil'!$A:$A,'Dados Funil'!$L:$L,"")</f>
        <v/>
      </c>
      <c r="G700" s="4"/>
      <c r="H700" s="4"/>
      <c r="I700" s="7" t="str">
        <f t="shared" si="2"/>
        <v/>
      </c>
      <c r="J700" s="4" t="str">
        <f t="shared" si="10"/>
        <v/>
      </c>
      <c r="K700" s="4" t="str">
        <f t="array" ref="K700">XLOOKUP(G700,'Dados Funil'!A:A,'Dados Funil'!O:O,"")</f>
        <v/>
      </c>
      <c r="L700" s="4"/>
      <c r="M700" s="4"/>
      <c r="N700" s="7" t="str">
        <f t="shared" si="3"/>
        <v/>
      </c>
      <c r="O700" s="4" t="str">
        <f t="shared" si="11"/>
        <v/>
      </c>
      <c r="P700" s="4" t="str">
        <f t="array" ref="P700">XLOOKUP(L700,'Dados Funil'!A:A,'Dados Funil'!AM:AM,"")</f>
        <v/>
      </c>
      <c r="Q700" s="4" t="str">
        <f t="array" ref="Q700">XLOOKUP(L700,'Dados Funil'!A:A,'Dados Funil'!AN:AN,"")</f>
        <v/>
      </c>
      <c r="T700" s="7" t="str">
        <f t="shared" si="4"/>
        <v/>
      </c>
      <c r="U700" s="4" t="str">
        <f t="shared" si="12"/>
        <v/>
      </c>
      <c r="V700" s="4" t="str">
        <f t="array" ref="V700">XLOOKUP(R700,'Dados Funil'!$A:$A,'Dados Funil'!$K:$K,"")</f>
        <v/>
      </c>
      <c r="W700" s="4" t="str">
        <f t="array" ref="W700">XLOOKUP(R700,'Dados Funil'!$A:$A,'Dados Funil'!$L:$L,"")</f>
        <v/>
      </c>
      <c r="X700" s="4"/>
      <c r="Y700" s="4"/>
      <c r="Z700" s="7" t="str">
        <f t="shared" si="5"/>
        <v/>
      </c>
      <c r="AA700" s="4" t="str">
        <f t="shared" si="13"/>
        <v/>
      </c>
      <c r="AB700" s="4" t="str">
        <f t="array" ref="AB700">XLOOKUP(X700,'Dados Funil'!A:A,'Dados Funil'!O:O,"")</f>
        <v/>
      </c>
      <c r="AE700" s="7" t="str">
        <f t="shared" si="6"/>
        <v/>
      </c>
      <c r="AG700" s="4" t="str">
        <f t="array" ref="AG700">XLOOKUP(AC700,'Dados Funil'!A:A,'Dados Funil'!AM:AM,"")</f>
        <v/>
      </c>
      <c r="AH700" s="4" t="str">
        <f t="array" ref="AH700">XLOOKUP(AC700,'Dados Funil'!A:A,'Dados Funil'!AN:AN,"")</f>
        <v/>
      </c>
    </row>
    <row r="701">
      <c r="A701" s="4"/>
      <c r="B701" s="4"/>
      <c r="C701" s="7" t="str">
        <f t="shared" si="1"/>
        <v/>
      </c>
      <c r="D701" s="4" t="str">
        <f t="shared" si="9"/>
        <v/>
      </c>
      <c r="E701" s="4" t="str">
        <f t="array" ref="E701">XLOOKUP(A701,'Dados Funil'!$A:$A,'Dados Funil'!$K:$K,"")</f>
        <v/>
      </c>
      <c r="F701" s="4" t="str">
        <f t="array" ref="F701">XLOOKUP(A701,'Dados Funil'!$A:$A,'Dados Funil'!$L:$L,"")</f>
        <v/>
      </c>
      <c r="G701" s="4"/>
      <c r="H701" s="4"/>
      <c r="I701" s="7" t="str">
        <f t="shared" si="2"/>
        <v/>
      </c>
      <c r="J701" s="4" t="str">
        <f t="shared" si="10"/>
        <v/>
      </c>
      <c r="K701" s="4" t="str">
        <f t="array" ref="K701">XLOOKUP(G701,'Dados Funil'!A:A,'Dados Funil'!O:O,"")</f>
        <v/>
      </c>
      <c r="L701" s="4"/>
      <c r="M701" s="4"/>
      <c r="N701" s="7" t="str">
        <f t="shared" si="3"/>
        <v/>
      </c>
      <c r="O701" s="4" t="str">
        <f t="shared" si="11"/>
        <v/>
      </c>
      <c r="P701" s="4" t="str">
        <f t="array" ref="P701">XLOOKUP(L701,'Dados Funil'!A:A,'Dados Funil'!AM:AM,"")</f>
        <v/>
      </c>
      <c r="Q701" s="4" t="str">
        <f t="array" ref="Q701">XLOOKUP(L701,'Dados Funil'!A:A,'Dados Funil'!AN:AN,"")</f>
        <v/>
      </c>
      <c r="T701" s="7" t="str">
        <f t="shared" si="4"/>
        <v/>
      </c>
      <c r="U701" s="4" t="str">
        <f t="shared" si="12"/>
        <v/>
      </c>
      <c r="V701" s="4" t="str">
        <f t="array" ref="V701">XLOOKUP(R701,'Dados Funil'!$A:$A,'Dados Funil'!$K:$K,"")</f>
        <v/>
      </c>
      <c r="W701" s="4" t="str">
        <f t="array" ref="W701">XLOOKUP(R701,'Dados Funil'!$A:$A,'Dados Funil'!$L:$L,"")</f>
        <v/>
      </c>
      <c r="X701" s="4"/>
      <c r="Y701" s="4"/>
      <c r="Z701" s="7" t="str">
        <f t="shared" si="5"/>
        <v/>
      </c>
      <c r="AA701" s="4" t="str">
        <f t="shared" si="13"/>
        <v/>
      </c>
      <c r="AB701" s="4" t="str">
        <f t="array" ref="AB701">XLOOKUP(X701,'Dados Funil'!A:A,'Dados Funil'!O:O,"")</f>
        <v/>
      </c>
      <c r="AE701" s="7" t="str">
        <f t="shared" si="6"/>
        <v/>
      </c>
      <c r="AG701" s="4" t="str">
        <f t="array" ref="AG701">XLOOKUP(AC701,'Dados Funil'!A:A,'Dados Funil'!AM:AM,"")</f>
        <v/>
      </c>
      <c r="AH701" s="4" t="str">
        <f t="array" ref="AH701">XLOOKUP(AC701,'Dados Funil'!A:A,'Dados Funil'!AN:AN,"")</f>
        <v/>
      </c>
    </row>
    <row r="702">
      <c r="A702" s="4"/>
      <c r="B702" s="4"/>
      <c r="C702" s="7" t="str">
        <f t="shared" si="1"/>
        <v/>
      </c>
      <c r="D702" s="4" t="str">
        <f t="shared" si="9"/>
        <v/>
      </c>
      <c r="E702" s="4" t="str">
        <f t="array" ref="E702">XLOOKUP(A702,'Dados Funil'!$A:$A,'Dados Funil'!$K:$K,"")</f>
        <v/>
      </c>
      <c r="F702" s="4" t="str">
        <f t="array" ref="F702">XLOOKUP(A702,'Dados Funil'!$A:$A,'Dados Funil'!$L:$L,"")</f>
        <v/>
      </c>
      <c r="G702" s="4"/>
      <c r="H702" s="4"/>
      <c r="I702" s="7" t="str">
        <f t="shared" si="2"/>
        <v/>
      </c>
      <c r="J702" s="4" t="str">
        <f t="shared" si="10"/>
        <v/>
      </c>
      <c r="K702" s="4" t="str">
        <f t="array" ref="K702">XLOOKUP(G702,'Dados Funil'!A:A,'Dados Funil'!O:O,"")</f>
        <v/>
      </c>
      <c r="L702" s="4"/>
      <c r="M702" s="4"/>
      <c r="N702" s="7" t="str">
        <f t="shared" si="3"/>
        <v/>
      </c>
      <c r="O702" s="4" t="str">
        <f t="shared" si="11"/>
        <v/>
      </c>
      <c r="P702" s="4" t="str">
        <f t="array" ref="P702">XLOOKUP(L702,'Dados Funil'!A:A,'Dados Funil'!AM:AM,"")</f>
        <v/>
      </c>
      <c r="Q702" s="4" t="str">
        <f t="array" ref="Q702">XLOOKUP(L702,'Dados Funil'!A:A,'Dados Funil'!AN:AN,"")</f>
        <v/>
      </c>
      <c r="T702" s="7" t="str">
        <f t="shared" si="4"/>
        <v/>
      </c>
      <c r="U702" s="4" t="str">
        <f t="shared" si="12"/>
        <v/>
      </c>
      <c r="V702" s="4" t="str">
        <f t="array" ref="V702">XLOOKUP(R702,'Dados Funil'!$A:$A,'Dados Funil'!$K:$K,"")</f>
        <v/>
      </c>
      <c r="W702" s="4" t="str">
        <f t="array" ref="W702">XLOOKUP(R702,'Dados Funil'!$A:$A,'Dados Funil'!$L:$L,"")</f>
        <v/>
      </c>
      <c r="X702" s="4"/>
      <c r="Y702" s="4"/>
      <c r="Z702" s="7" t="str">
        <f t="shared" si="5"/>
        <v/>
      </c>
      <c r="AA702" s="4" t="str">
        <f t="shared" si="13"/>
        <v/>
      </c>
      <c r="AB702" s="4" t="str">
        <f t="array" ref="AB702">XLOOKUP(X702,'Dados Funil'!A:A,'Dados Funil'!O:O,"")</f>
        <v/>
      </c>
      <c r="AE702" s="7" t="str">
        <f t="shared" si="6"/>
        <v/>
      </c>
      <c r="AG702" s="4" t="str">
        <f t="array" ref="AG702">XLOOKUP(AC702,'Dados Funil'!A:A,'Dados Funil'!AM:AM,"")</f>
        <v/>
      </c>
      <c r="AH702" s="4" t="str">
        <f t="array" ref="AH702">XLOOKUP(AC702,'Dados Funil'!A:A,'Dados Funil'!AN:AN,"")</f>
        <v/>
      </c>
    </row>
    <row r="703">
      <c r="A703" s="4"/>
      <c r="B703" s="4"/>
      <c r="C703" s="7" t="str">
        <f t="shared" si="1"/>
        <v/>
      </c>
      <c r="D703" s="4" t="str">
        <f t="shared" si="9"/>
        <v/>
      </c>
      <c r="E703" s="4" t="str">
        <f t="array" ref="E703">XLOOKUP(A703,'Dados Funil'!$A:$A,'Dados Funil'!$K:$K,"")</f>
        <v/>
      </c>
      <c r="F703" s="4" t="str">
        <f t="array" ref="F703">XLOOKUP(A703,'Dados Funil'!$A:$A,'Dados Funil'!$L:$L,"")</f>
        <v/>
      </c>
      <c r="G703" s="4"/>
      <c r="H703" s="4"/>
      <c r="I703" s="7" t="str">
        <f t="shared" si="2"/>
        <v/>
      </c>
      <c r="J703" s="4" t="str">
        <f t="shared" si="10"/>
        <v/>
      </c>
      <c r="K703" s="4" t="str">
        <f t="array" ref="K703">XLOOKUP(G703,'Dados Funil'!A:A,'Dados Funil'!O:O,"")</f>
        <v/>
      </c>
      <c r="L703" s="4"/>
      <c r="M703" s="4"/>
      <c r="N703" s="7" t="str">
        <f t="shared" si="3"/>
        <v/>
      </c>
      <c r="O703" s="4" t="str">
        <f t="shared" si="11"/>
        <v/>
      </c>
      <c r="P703" s="4" t="str">
        <f t="array" ref="P703">XLOOKUP(L703,'Dados Funil'!A:A,'Dados Funil'!AM:AM,"")</f>
        <v/>
      </c>
      <c r="Q703" s="4" t="str">
        <f t="array" ref="Q703">XLOOKUP(L703,'Dados Funil'!A:A,'Dados Funil'!AN:AN,"")</f>
        <v/>
      </c>
      <c r="T703" s="7" t="str">
        <f t="shared" si="4"/>
        <v/>
      </c>
      <c r="U703" s="4" t="str">
        <f t="shared" si="12"/>
        <v/>
      </c>
      <c r="V703" s="4" t="str">
        <f t="array" ref="V703">XLOOKUP(R703,'Dados Funil'!$A:$A,'Dados Funil'!$K:$K,"")</f>
        <v/>
      </c>
      <c r="W703" s="4" t="str">
        <f t="array" ref="W703">XLOOKUP(R703,'Dados Funil'!$A:$A,'Dados Funil'!$L:$L,"")</f>
        <v/>
      </c>
      <c r="X703" s="4"/>
      <c r="Y703" s="4"/>
      <c r="Z703" s="7" t="str">
        <f t="shared" si="5"/>
        <v/>
      </c>
      <c r="AA703" s="4" t="str">
        <f t="shared" si="13"/>
        <v/>
      </c>
      <c r="AB703" s="4" t="str">
        <f t="array" ref="AB703">XLOOKUP(X703,'Dados Funil'!A:A,'Dados Funil'!O:O,"")</f>
        <v/>
      </c>
      <c r="AE703" s="7" t="str">
        <f t="shared" si="6"/>
        <v/>
      </c>
      <c r="AG703" s="4" t="str">
        <f t="array" ref="AG703">XLOOKUP(AC703,'Dados Funil'!A:A,'Dados Funil'!AM:AM,"")</f>
        <v/>
      </c>
      <c r="AH703" s="4" t="str">
        <f t="array" ref="AH703">XLOOKUP(AC703,'Dados Funil'!A:A,'Dados Funil'!AN:AN,"")</f>
        <v/>
      </c>
    </row>
    <row r="704">
      <c r="A704" s="4"/>
      <c r="B704" s="4"/>
      <c r="C704" s="7" t="str">
        <f t="shared" si="1"/>
        <v/>
      </c>
      <c r="D704" s="4" t="str">
        <f t="shared" si="9"/>
        <v/>
      </c>
      <c r="E704" s="4" t="str">
        <f t="array" ref="E704">XLOOKUP(A704,'Dados Funil'!$A:$A,'Dados Funil'!$K:$K,"")</f>
        <v/>
      </c>
      <c r="F704" s="4" t="str">
        <f t="array" ref="F704">XLOOKUP(A704,'Dados Funil'!$A:$A,'Dados Funil'!$L:$L,"")</f>
        <v/>
      </c>
      <c r="G704" s="4"/>
      <c r="H704" s="4"/>
      <c r="I704" s="7" t="str">
        <f t="shared" si="2"/>
        <v/>
      </c>
      <c r="J704" s="4" t="str">
        <f t="shared" si="10"/>
        <v/>
      </c>
      <c r="K704" s="4" t="str">
        <f t="array" ref="K704">XLOOKUP(G704,'Dados Funil'!A:A,'Dados Funil'!O:O,"")</f>
        <v/>
      </c>
      <c r="L704" s="4"/>
      <c r="M704" s="4"/>
      <c r="N704" s="7" t="str">
        <f t="shared" si="3"/>
        <v/>
      </c>
      <c r="O704" s="4" t="str">
        <f t="shared" si="11"/>
        <v/>
      </c>
      <c r="P704" s="4" t="str">
        <f t="array" ref="P704">XLOOKUP(L704,'Dados Funil'!A:A,'Dados Funil'!AM:AM,"")</f>
        <v/>
      </c>
      <c r="Q704" s="4" t="str">
        <f t="array" ref="Q704">XLOOKUP(L704,'Dados Funil'!A:A,'Dados Funil'!AN:AN,"")</f>
        <v/>
      </c>
      <c r="T704" s="7" t="str">
        <f t="shared" si="4"/>
        <v/>
      </c>
      <c r="U704" s="4" t="str">
        <f t="shared" si="12"/>
        <v/>
      </c>
      <c r="V704" s="4" t="str">
        <f t="array" ref="V704">XLOOKUP(R704,'Dados Funil'!$A:$A,'Dados Funil'!$K:$K,"")</f>
        <v/>
      </c>
      <c r="W704" s="4" t="str">
        <f t="array" ref="W704">XLOOKUP(R704,'Dados Funil'!$A:$A,'Dados Funil'!$L:$L,"")</f>
        <v/>
      </c>
      <c r="X704" s="4"/>
      <c r="Y704" s="4"/>
      <c r="Z704" s="7" t="str">
        <f t="shared" si="5"/>
        <v/>
      </c>
      <c r="AA704" s="4" t="str">
        <f t="shared" si="13"/>
        <v/>
      </c>
      <c r="AB704" s="4" t="str">
        <f t="array" ref="AB704">XLOOKUP(X704,'Dados Funil'!A:A,'Dados Funil'!O:O,"")</f>
        <v/>
      </c>
      <c r="AE704" s="7" t="str">
        <f t="shared" si="6"/>
        <v/>
      </c>
      <c r="AG704" s="4" t="str">
        <f t="array" ref="AG704">XLOOKUP(AC704,'Dados Funil'!A:A,'Dados Funil'!AM:AM,"")</f>
        <v/>
      </c>
      <c r="AH704" s="4" t="str">
        <f t="array" ref="AH704">XLOOKUP(AC704,'Dados Funil'!A:A,'Dados Funil'!AN:AN,"")</f>
        <v/>
      </c>
    </row>
    <row r="705">
      <c r="A705" s="4"/>
      <c r="B705" s="4"/>
      <c r="C705" s="7" t="str">
        <f t="shared" si="1"/>
        <v/>
      </c>
      <c r="D705" s="4" t="str">
        <f t="shared" si="9"/>
        <v/>
      </c>
      <c r="E705" s="4" t="str">
        <f t="array" ref="E705">XLOOKUP(A705,'Dados Funil'!$A:$A,'Dados Funil'!$K:$K,"")</f>
        <v/>
      </c>
      <c r="F705" s="4" t="str">
        <f t="array" ref="F705">XLOOKUP(A705,'Dados Funil'!$A:$A,'Dados Funil'!$L:$L,"")</f>
        <v/>
      </c>
      <c r="G705" s="4"/>
      <c r="H705" s="4"/>
      <c r="I705" s="7" t="str">
        <f t="shared" si="2"/>
        <v/>
      </c>
      <c r="J705" s="4" t="str">
        <f t="shared" si="10"/>
        <v/>
      </c>
      <c r="K705" s="4" t="str">
        <f t="array" ref="K705">XLOOKUP(G705,'Dados Funil'!A:A,'Dados Funil'!O:O,"")</f>
        <v/>
      </c>
      <c r="L705" s="4"/>
      <c r="M705" s="4"/>
      <c r="N705" s="7" t="str">
        <f t="shared" si="3"/>
        <v/>
      </c>
      <c r="O705" s="4" t="str">
        <f t="shared" si="11"/>
        <v/>
      </c>
      <c r="P705" s="4" t="str">
        <f t="array" ref="P705">XLOOKUP(L705,'Dados Funil'!A:A,'Dados Funil'!AM:AM,"")</f>
        <v/>
      </c>
      <c r="Q705" s="4" t="str">
        <f t="array" ref="Q705">XLOOKUP(L705,'Dados Funil'!A:A,'Dados Funil'!AN:AN,"")</f>
        <v/>
      </c>
      <c r="T705" s="7" t="str">
        <f t="shared" si="4"/>
        <v/>
      </c>
      <c r="U705" s="4" t="str">
        <f t="shared" si="12"/>
        <v/>
      </c>
      <c r="V705" s="4" t="str">
        <f t="array" ref="V705">XLOOKUP(R705,'Dados Funil'!$A:$A,'Dados Funil'!$K:$K,"")</f>
        <v/>
      </c>
      <c r="W705" s="4" t="str">
        <f t="array" ref="W705">XLOOKUP(R705,'Dados Funil'!$A:$A,'Dados Funil'!$L:$L,"")</f>
        <v/>
      </c>
      <c r="X705" s="4"/>
      <c r="Y705" s="4"/>
      <c r="Z705" s="7" t="str">
        <f t="shared" si="5"/>
        <v/>
      </c>
      <c r="AA705" s="4" t="str">
        <f t="shared" si="13"/>
        <v/>
      </c>
      <c r="AB705" s="4" t="str">
        <f t="array" ref="AB705">XLOOKUP(X705,'Dados Funil'!A:A,'Dados Funil'!O:O,"")</f>
        <v/>
      </c>
      <c r="AE705" s="7" t="str">
        <f t="shared" si="6"/>
        <v/>
      </c>
      <c r="AG705" s="4" t="str">
        <f t="array" ref="AG705">XLOOKUP(AC705,'Dados Funil'!A:A,'Dados Funil'!AM:AM,"")</f>
        <v/>
      </c>
      <c r="AH705" s="4" t="str">
        <f t="array" ref="AH705">XLOOKUP(AC705,'Dados Funil'!A:A,'Dados Funil'!AN:AN,"")</f>
        <v/>
      </c>
    </row>
    <row r="706">
      <c r="A706" s="4"/>
      <c r="B706" s="4"/>
      <c r="C706" s="7" t="str">
        <f t="shared" si="1"/>
        <v/>
      </c>
      <c r="D706" s="4" t="str">
        <f t="shared" si="9"/>
        <v/>
      </c>
      <c r="E706" s="4" t="str">
        <f t="array" ref="E706">XLOOKUP(A706,'Dados Funil'!$A:$A,'Dados Funil'!$K:$K,"")</f>
        <v/>
      </c>
      <c r="F706" s="4" t="str">
        <f t="array" ref="F706">XLOOKUP(A706,'Dados Funil'!$A:$A,'Dados Funil'!$L:$L,"")</f>
        <v/>
      </c>
      <c r="G706" s="4"/>
      <c r="H706" s="4"/>
      <c r="I706" s="7" t="str">
        <f t="shared" si="2"/>
        <v/>
      </c>
      <c r="J706" s="4" t="str">
        <f t="shared" si="10"/>
        <v/>
      </c>
      <c r="K706" s="4" t="str">
        <f t="array" ref="K706">XLOOKUP(G706,'Dados Funil'!A:A,'Dados Funil'!O:O,"")</f>
        <v/>
      </c>
      <c r="L706" s="4"/>
      <c r="M706" s="4"/>
      <c r="N706" s="7" t="str">
        <f t="shared" si="3"/>
        <v/>
      </c>
      <c r="O706" s="4" t="str">
        <f t="shared" si="11"/>
        <v/>
      </c>
      <c r="P706" s="4" t="str">
        <f t="array" ref="P706">XLOOKUP(L706,'Dados Funil'!A:A,'Dados Funil'!AM:AM,"")</f>
        <v/>
      </c>
      <c r="Q706" s="4" t="str">
        <f t="array" ref="Q706">XLOOKUP(L706,'Dados Funil'!A:A,'Dados Funil'!AN:AN,"")</f>
        <v/>
      </c>
      <c r="T706" s="7" t="str">
        <f t="shared" si="4"/>
        <v/>
      </c>
      <c r="U706" s="4" t="str">
        <f t="shared" si="12"/>
        <v/>
      </c>
      <c r="V706" s="4" t="str">
        <f t="array" ref="V706">XLOOKUP(R706,'Dados Funil'!$A:$A,'Dados Funil'!$K:$K,"")</f>
        <v/>
      </c>
      <c r="W706" s="4" t="str">
        <f t="array" ref="W706">XLOOKUP(R706,'Dados Funil'!$A:$A,'Dados Funil'!$L:$L,"")</f>
        <v/>
      </c>
      <c r="X706" s="4"/>
      <c r="Y706" s="4"/>
      <c r="Z706" s="7" t="str">
        <f t="shared" si="5"/>
        <v/>
      </c>
      <c r="AA706" s="4" t="str">
        <f t="shared" si="13"/>
        <v/>
      </c>
      <c r="AB706" s="4" t="str">
        <f t="array" ref="AB706">XLOOKUP(X706,'Dados Funil'!A:A,'Dados Funil'!O:O,"")</f>
        <v/>
      </c>
      <c r="AE706" s="7" t="str">
        <f t="shared" si="6"/>
        <v/>
      </c>
      <c r="AG706" s="4" t="str">
        <f t="array" ref="AG706">XLOOKUP(AC706,'Dados Funil'!A:A,'Dados Funil'!AM:AM,"")</f>
        <v/>
      </c>
      <c r="AH706" s="4" t="str">
        <f t="array" ref="AH706">XLOOKUP(AC706,'Dados Funil'!A:A,'Dados Funil'!AN:AN,"")</f>
        <v/>
      </c>
    </row>
    <row r="707">
      <c r="A707" s="4"/>
      <c r="B707" s="4"/>
      <c r="C707" s="7" t="str">
        <f t="shared" si="1"/>
        <v/>
      </c>
      <c r="D707" s="4" t="str">
        <f t="shared" si="9"/>
        <v/>
      </c>
      <c r="E707" s="4" t="str">
        <f t="array" ref="E707">XLOOKUP(A707,'Dados Funil'!$A:$A,'Dados Funil'!$K:$K,"")</f>
        <v/>
      </c>
      <c r="F707" s="4" t="str">
        <f t="array" ref="F707">XLOOKUP(A707,'Dados Funil'!$A:$A,'Dados Funil'!$L:$L,"")</f>
        <v/>
      </c>
      <c r="G707" s="4"/>
      <c r="H707" s="4"/>
      <c r="I707" s="7" t="str">
        <f t="shared" si="2"/>
        <v/>
      </c>
      <c r="J707" s="4" t="str">
        <f t="shared" si="10"/>
        <v/>
      </c>
      <c r="K707" s="4" t="str">
        <f t="array" ref="K707">XLOOKUP(G707,'Dados Funil'!A:A,'Dados Funil'!O:O,"")</f>
        <v/>
      </c>
      <c r="L707" s="4"/>
      <c r="M707" s="4"/>
      <c r="N707" s="7" t="str">
        <f t="shared" si="3"/>
        <v/>
      </c>
      <c r="O707" s="4" t="str">
        <f t="shared" si="11"/>
        <v/>
      </c>
      <c r="P707" s="4" t="str">
        <f t="array" ref="P707">XLOOKUP(L707,'Dados Funil'!A:A,'Dados Funil'!AM:AM,"")</f>
        <v/>
      </c>
      <c r="Q707" s="4" t="str">
        <f t="array" ref="Q707">XLOOKUP(L707,'Dados Funil'!A:A,'Dados Funil'!AN:AN,"")</f>
        <v/>
      </c>
      <c r="T707" s="7" t="str">
        <f t="shared" si="4"/>
        <v/>
      </c>
      <c r="U707" s="4" t="str">
        <f t="shared" si="12"/>
        <v/>
      </c>
      <c r="V707" s="4" t="str">
        <f t="array" ref="V707">XLOOKUP(R707,'Dados Funil'!$A:$A,'Dados Funil'!$K:$K,"")</f>
        <v/>
      </c>
      <c r="W707" s="4" t="str">
        <f t="array" ref="W707">XLOOKUP(R707,'Dados Funil'!$A:$A,'Dados Funil'!$L:$L,"")</f>
        <v/>
      </c>
      <c r="X707" s="4"/>
      <c r="Y707" s="4"/>
      <c r="Z707" s="7" t="str">
        <f t="shared" si="5"/>
        <v/>
      </c>
      <c r="AA707" s="4" t="str">
        <f t="shared" si="13"/>
        <v/>
      </c>
      <c r="AB707" s="4" t="str">
        <f t="array" ref="AB707">XLOOKUP(X707,'Dados Funil'!A:A,'Dados Funil'!O:O,"")</f>
        <v/>
      </c>
      <c r="AE707" s="7" t="str">
        <f t="shared" si="6"/>
        <v/>
      </c>
      <c r="AG707" s="4" t="str">
        <f t="array" ref="AG707">XLOOKUP(AC707,'Dados Funil'!A:A,'Dados Funil'!AM:AM,"")</f>
        <v/>
      </c>
      <c r="AH707" s="4" t="str">
        <f t="array" ref="AH707">XLOOKUP(AC707,'Dados Funil'!A:A,'Dados Funil'!AN:AN,"")</f>
        <v/>
      </c>
    </row>
    <row r="708">
      <c r="A708" s="4"/>
      <c r="B708" s="4"/>
      <c r="C708" s="7" t="str">
        <f t="shared" si="1"/>
        <v/>
      </c>
      <c r="D708" s="4" t="str">
        <f t="shared" si="9"/>
        <v/>
      </c>
      <c r="E708" s="4" t="str">
        <f t="array" ref="E708">XLOOKUP(A708,'Dados Funil'!$A:$A,'Dados Funil'!$K:$K,"")</f>
        <v/>
      </c>
      <c r="F708" s="4" t="str">
        <f t="array" ref="F708">XLOOKUP(A708,'Dados Funil'!$A:$A,'Dados Funil'!$L:$L,"")</f>
        <v/>
      </c>
      <c r="G708" s="4"/>
      <c r="H708" s="4"/>
      <c r="I708" s="7" t="str">
        <f t="shared" si="2"/>
        <v/>
      </c>
      <c r="J708" s="4" t="str">
        <f t="shared" si="10"/>
        <v/>
      </c>
      <c r="K708" s="4" t="str">
        <f t="array" ref="K708">XLOOKUP(G708,'Dados Funil'!A:A,'Dados Funil'!O:O,"")</f>
        <v/>
      </c>
      <c r="L708" s="4"/>
      <c r="M708" s="4"/>
      <c r="N708" s="7" t="str">
        <f t="shared" si="3"/>
        <v/>
      </c>
      <c r="O708" s="4" t="str">
        <f t="shared" si="11"/>
        <v/>
      </c>
      <c r="P708" s="4" t="str">
        <f t="array" ref="P708">XLOOKUP(L708,'Dados Funil'!A:A,'Dados Funil'!AM:AM,"")</f>
        <v/>
      </c>
      <c r="Q708" s="4" t="str">
        <f t="array" ref="Q708">XLOOKUP(L708,'Dados Funil'!A:A,'Dados Funil'!AN:AN,"")</f>
        <v/>
      </c>
      <c r="T708" s="7" t="str">
        <f t="shared" si="4"/>
        <v/>
      </c>
      <c r="U708" s="4" t="str">
        <f t="shared" si="12"/>
        <v/>
      </c>
      <c r="V708" s="4" t="str">
        <f t="array" ref="V708">XLOOKUP(R708,'Dados Funil'!$A:$A,'Dados Funil'!$K:$K,"")</f>
        <v/>
      </c>
      <c r="W708" s="4" t="str">
        <f t="array" ref="W708">XLOOKUP(R708,'Dados Funil'!$A:$A,'Dados Funil'!$L:$L,"")</f>
        <v/>
      </c>
      <c r="X708" s="4"/>
      <c r="Y708" s="4"/>
      <c r="Z708" s="7" t="str">
        <f t="shared" si="5"/>
        <v/>
      </c>
      <c r="AA708" s="4" t="str">
        <f t="shared" si="13"/>
        <v/>
      </c>
      <c r="AB708" s="4" t="str">
        <f t="array" ref="AB708">XLOOKUP(X708,'Dados Funil'!A:A,'Dados Funil'!O:O,"")</f>
        <v/>
      </c>
      <c r="AE708" s="7" t="str">
        <f t="shared" si="6"/>
        <v/>
      </c>
      <c r="AG708" s="4" t="str">
        <f t="array" ref="AG708">XLOOKUP(AC708,'Dados Funil'!A:A,'Dados Funil'!AM:AM,"")</f>
        <v/>
      </c>
      <c r="AH708" s="4" t="str">
        <f t="array" ref="AH708">XLOOKUP(AC708,'Dados Funil'!A:A,'Dados Funil'!AN:AN,"")</f>
        <v/>
      </c>
    </row>
    <row r="709">
      <c r="A709" s="4"/>
      <c r="B709" s="4"/>
      <c r="C709" s="7" t="str">
        <f t="shared" si="1"/>
        <v/>
      </c>
      <c r="D709" s="4" t="str">
        <f t="shared" si="9"/>
        <v/>
      </c>
      <c r="E709" s="4" t="str">
        <f t="array" ref="E709">XLOOKUP(A709,'Dados Funil'!$A:$A,'Dados Funil'!$K:$K,"")</f>
        <v/>
      </c>
      <c r="F709" s="4" t="str">
        <f t="array" ref="F709">XLOOKUP(A709,'Dados Funil'!$A:$A,'Dados Funil'!$L:$L,"")</f>
        <v/>
      </c>
      <c r="G709" s="4"/>
      <c r="H709" s="4"/>
      <c r="I709" s="7" t="str">
        <f t="shared" si="2"/>
        <v/>
      </c>
      <c r="J709" s="4" t="str">
        <f t="shared" si="10"/>
        <v/>
      </c>
      <c r="K709" s="4" t="str">
        <f t="array" ref="K709">XLOOKUP(G709,'Dados Funil'!A:A,'Dados Funil'!O:O,"")</f>
        <v/>
      </c>
      <c r="L709" s="4"/>
      <c r="M709" s="4"/>
      <c r="N709" s="7" t="str">
        <f t="shared" si="3"/>
        <v/>
      </c>
      <c r="O709" s="4" t="str">
        <f t="shared" si="11"/>
        <v/>
      </c>
      <c r="P709" s="4" t="str">
        <f t="array" ref="P709">XLOOKUP(L709,'Dados Funil'!A:A,'Dados Funil'!AM:AM,"")</f>
        <v/>
      </c>
      <c r="Q709" s="4" t="str">
        <f t="array" ref="Q709">XLOOKUP(L709,'Dados Funil'!A:A,'Dados Funil'!AN:AN,"")</f>
        <v/>
      </c>
      <c r="T709" s="7" t="str">
        <f t="shared" si="4"/>
        <v/>
      </c>
      <c r="U709" s="4" t="str">
        <f t="shared" si="12"/>
        <v/>
      </c>
      <c r="V709" s="4" t="str">
        <f t="array" ref="V709">XLOOKUP(R709,'Dados Funil'!$A:$A,'Dados Funil'!$K:$K,"")</f>
        <v/>
      </c>
      <c r="W709" s="4" t="str">
        <f t="array" ref="W709">XLOOKUP(R709,'Dados Funil'!$A:$A,'Dados Funil'!$L:$L,"")</f>
        <v/>
      </c>
      <c r="X709" s="4"/>
      <c r="Y709" s="4"/>
      <c r="Z709" s="7" t="str">
        <f t="shared" si="5"/>
        <v/>
      </c>
      <c r="AA709" s="4" t="str">
        <f t="shared" si="13"/>
        <v/>
      </c>
      <c r="AB709" s="4" t="str">
        <f t="array" ref="AB709">XLOOKUP(X709,'Dados Funil'!A:A,'Dados Funil'!O:O,"")</f>
        <v/>
      </c>
      <c r="AE709" s="7" t="str">
        <f t="shared" si="6"/>
        <v/>
      </c>
      <c r="AG709" s="4" t="str">
        <f t="array" ref="AG709">XLOOKUP(AC709,'Dados Funil'!A:A,'Dados Funil'!AM:AM,"")</f>
        <v/>
      </c>
      <c r="AH709" s="4" t="str">
        <f t="array" ref="AH709">XLOOKUP(AC709,'Dados Funil'!A:A,'Dados Funil'!AN:AN,"")</f>
        <v/>
      </c>
    </row>
    <row r="710">
      <c r="A710" s="4"/>
      <c r="B710" s="4"/>
      <c r="C710" s="7" t="str">
        <f t="shared" si="1"/>
        <v/>
      </c>
      <c r="D710" s="4" t="str">
        <f t="shared" si="9"/>
        <v/>
      </c>
      <c r="E710" s="4" t="str">
        <f t="array" ref="E710">XLOOKUP(A710,'Dados Funil'!$A:$A,'Dados Funil'!$K:$K,"")</f>
        <v/>
      </c>
      <c r="F710" s="4" t="str">
        <f t="array" ref="F710">XLOOKUP(A710,'Dados Funil'!$A:$A,'Dados Funil'!$L:$L,"")</f>
        <v/>
      </c>
      <c r="G710" s="4"/>
      <c r="H710" s="4"/>
      <c r="I710" s="7" t="str">
        <f t="shared" si="2"/>
        <v/>
      </c>
      <c r="J710" s="4" t="str">
        <f t="shared" si="10"/>
        <v/>
      </c>
      <c r="K710" s="4" t="str">
        <f t="array" ref="K710">XLOOKUP(G710,'Dados Funil'!A:A,'Dados Funil'!O:O,"")</f>
        <v/>
      </c>
      <c r="L710" s="4"/>
      <c r="M710" s="4"/>
      <c r="N710" s="7" t="str">
        <f t="shared" si="3"/>
        <v/>
      </c>
      <c r="O710" s="4" t="str">
        <f t="shared" si="11"/>
        <v/>
      </c>
      <c r="P710" s="4" t="str">
        <f t="array" ref="P710">XLOOKUP(L710,'Dados Funil'!A:A,'Dados Funil'!AM:AM,"")</f>
        <v/>
      </c>
      <c r="Q710" s="4" t="str">
        <f t="array" ref="Q710">XLOOKUP(L710,'Dados Funil'!A:A,'Dados Funil'!AN:AN,"")</f>
        <v/>
      </c>
      <c r="T710" s="7" t="str">
        <f t="shared" si="4"/>
        <v/>
      </c>
      <c r="U710" s="4" t="str">
        <f t="shared" si="12"/>
        <v/>
      </c>
      <c r="V710" s="4" t="str">
        <f t="array" ref="V710">XLOOKUP(R710,'Dados Funil'!$A:$A,'Dados Funil'!$K:$K,"")</f>
        <v/>
      </c>
      <c r="W710" s="4" t="str">
        <f t="array" ref="W710">XLOOKUP(R710,'Dados Funil'!$A:$A,'Dados Funil'!$L:$L,"")</f>
        <v/>
      </c>
      <c r="X710" s="4"/>
      <c r="Y710" s="4"/>
      <c r="Z710" s="7" t="str">
        <f t="shared" si="5"/>
        <v/>
      </c>
      <c r="AA710" s="4" t="str">
        <f t="shared" si="13"/>
        <v/>
      </c>
      <c r="AB710" s="4" t="str">
        <f t="array" ref="AB710">XLOOKUP(X710,'Dados Funil'!A:A,'Dados Funil'!O:O,"")</f>
        <v/>
      </c>
      <c r="AE710" s="7" t="str">
        <f t="shared" si="6"/>
        <v/>
      </c>
      <c r="AG710" s="4" t="str">
        <f t="array" ref="AG710">XLOOKUP(AC710,'Dados Funil'!A:A,'Dados Funil'!AM:AM,"")</f>
        <v/>
      </c>
      <c r="AH710" s="4" t="str">
        <f t="array" ref="AH710">XLOOKUP(AC710,'Dados Funil'!A:A,'Dados Funil'!AN:AN,"")</f>
        <v/>
      </c>
    </row>
    <row r="711">
      <c r="A711" s="4"/>
      <c r="B711" s="4"/>
      <c r="C711" s="7" t="str">
        <f t="shared" si="1"/>
        <v/>
      </c>
      <c r="D711" s="4" t="str">
        <f t="shared" si="9"/>
        <v/>
      </c>
      <c r="E711" s="4" t="str">
        <f t="array" ref="E711">XLOOKUP(A711,'Dados Funil'!$A:$A,'Dados Funil'!$K:$K,"")</f>
        <v/>
      </c>
      <c r="F711" s="4" t="str">
        <f t="array" ref="F711">XLOOKUP(A711,'Dados Funil'!$A:$A,'Dados Funil'!$L:$L,"")</f>
        <v/>
      </c>
      <c r="G711" s="4"/>
      <c r="H711" s="4"/>
      <c r="I711" s="7" t="str">
        <f t="shared" si="2"/>
        <v/>
      </c>
      <c r="J711" s="4" t="str">
        <f t="shared" si="10"/>
        <v/>
      </c>
      <c r="K711" s="4" t="str">
        <f t="array" ref="K711">XLOOKUP(G711,'Dados Funil'!A:A,'Dados Funil'!O:O,"")</f>
        <v/>
      </c>
      <c r="L711" s="4"/>
      <c r="M711" s="4"/>
      <c r="N711" s="7" t="str">
        <f t="shared" si="3"/>
        <v/>
      </c>
      <c r="O711" s="4" t="str">
        <f t="shared" si="11"/>
        <v/>
      </c>
      <c r="P711" s="4" t="str">
        <f t="array" ref="P711">XLOOKUP(L711,'Dados Funil'!A:A,'Dados Funil'!AM:AM,"")</f>
        <v/>
      </c>
      <c r="Q711" s="4" t="str">
        <f t="array" ref="Q711">XLOOKUP(L711,'Dados Funil'!A:A,'Dados Funil'!AN:AN,"")</f>
        <v/>
      </c>
      <c r="T711" s="7" t="str">
        <f t="shared" si="4"/>
        <v/>
      </c>
      <c r="U711" s="4" t="str">
        <f t="shared" si="12"/>
        <v/>
      </c>
      <c r="V711" s="4" t="str">
        <f t="array" ref="V711">XLOOKUP(R711,'Dados Funil'!$A:$A,'Dados Funil'!$K:$K,"")</f>
        <v/>
      </c>
      <c r="W711" s="4" t="str">
        <f t="array" ref="W711">XLOOKUP(R711,'Dados Funil'!$A:$A,'Dados Funil'!$L:$L,"")</f>
        <v/>
      </c>
      <c r="X711" s="4"/>
      <c r="Y711" s="4"/>
      <c r="Z711" s="7" t="str">
        <f t="shared" si="5"/>
        <v/>
      </c>
      <c r="AA711" s="4" t="str">
        <f t="shared" si="13"/>
        <v/>
      </c>
      <c r="AB711" s="4" t="str">
        <f t="array" ref="AB711">XLOOKUP(X711,'Dados Funil'!A:A,'Dados Funil'!O:O,"")</f>
        <v/>
      </c>
      <c r="AE711" s="7" t="str">
        <f t="shared" si="6"/>
        <v/>
      </c>
      <c r="AG711" s="4" t="str">
        <f t="array" ref="AG711">XLOOKUP(AC711,'Dados Funil'!A:A,'Dados Funil'!AM:AM,"")</f>
        <v/>
      </c>
      <c r="AH711" s="4" t="str">
        <f t="array" ref="AH711">XLOOKUP(AC711,'Dados Funil'!A:A,'Dados Funil'!AN:AN,"")</f>
        <v/>
      </c>
    </row>
    <row r="712">
      <c r="A712" s="4"/>
      <c r="B712" s="4"/>
      <c r="C712" s="7" t="str">
        <f t="shared" si="1"/>
        <v/>
      </c>
      <c r="D712" s="4" t="str">
        <f t="shared" si="9"/>
        <v/>
      </c>
      <c r="E712" s="4" t="str">
        <f t="array" ref="E712">XLOOKUP(A712,'Dados Funil'!$A:$A,'Dados Funil'!$K:$K,"")</f>
        <v/>
      </c>
      <c r="F712" s="4" t="str">
        <f t="array" ref="F712">XLOOKUP(A712,'Dados Funil'!$A:$A,'Dados Funil'!$L:$L,"")</f>
        <v/>
      </c>
      <c r="G712" s="4"/>
      <c r="H712" s="4"/>
      <c r="I712" s="7" t="str">
        <f t="shared" si="2"/>
        <v/>
      </c>
      <c r="J712" s="4" t="str">
        <f t="shared" si="10"/>
        <v/>
      </c>
      <c r="K712" s="4" t="str">
        <f t="array" ref="K712">XLOOKUP(G712,'Dados Funil'!A:A,'Dados Funil'!O:O,"")</f>
        <v/>
      </c>
      <c r="L712" s="4"/>
      <c r="M712" s="4"/>
      <c r="N712" s="7" t="str">
        <f t="shared" si="3"/>
        <v/>
      </c>
      <c r="O712" s="4" t="str">
        <f t="shared" si="11"/>
        <v/>
      </c>
      <c r="P712" s="4" t="str">
        <f t="array" ref="P712">XLOOKUP(L712,'Dados Funil'!A:A,'Dados Funil'!AM:AM,"")</f>
        <v/>
      </c>
      <c r="Q712" s="4" t="str">
        <f t="array" ref="Q712">XLOOKUP(L712,'Dados Funil'!A:A,'Dados Funil'!AN:AN,"")</f>
        <v/>
      </c>
      <c r="T712" s="7" t="str">
        <f t="shared" si="4"/>
        <v/>
      </c>
      <c r="U712" s="4" t="str">
        <f t="shared" si="12"/>
        <v/>
      </c>
      <c r="V712" s="4" t="str">
        <f t="array" ref="V712">XLOOKUP(R712,'Dados Funil'!$A:$A,'Dados Funil'!$K:$K,"")</f>
        <v/>
      </c>
      <c r="W712" s="4" t="str">
        <f t="array" ref="W712">XLOOKUP(R712,'Dados Funil'!$A:$A,'Dados Funil'!$L:$L,"")</f>
        <v/>
      </c>
      <c r="X712" s="4"/>
      <c r="Y712" s="4"/>
      <c r="Z712" s="7" t="str">
        <f t="shared" si="5"/>
        <v/>
      </c>
      <c r="AA712" s="4" t="str">
        <f t="shared" si="13"/>
        <v/>
      </c>
      <c r="AB712" s="4" t="str">
        <f t="array" ref="AB712">XLOOKUP(X712,'Dados Funil'!A:A,'Dados Funil'!O:O,"")</f>
        <v/>
      </c>
      <c r="AE712" s="7" t="str">
        <f t="shared" si="6"/>
        <v/>
      </c>
      <c r="AG712" s="4" t="str">
        <f t="array" ref="AG712">XLOOKUP(AC712,'Dados Funil'!A:A,'Dados Funil'!AM:AM,"")</f>
        <v/>
      </c>
      <c r="AH712" s="4" t="str">
        <f t="array" ref="AH712">XLOOKUP(AC712,'Dados Funil'!A:A,'Dados Funil'!AN:AN,"")</f>
        <v/>
      </c>
    </row>
    <row r="713">
      <c r="A713" s="4"/>
      <c r="B713" s="4"/>
      <c r="C713" s="7" t="str">
        <f t="shared" si="1"/>
        <v/>
      </c>
      <c r="D713" s="4" t="str">
        <f t="shared" si="9"/>
        <v/>
      </c>
      <c r="E713" s="4" t="str">
        <f t="array" ref="E713">XLOOKUP(A713,'Dados Funil'!$A:$A,'Dados Funil'!$K:$K,"")</f>
        <v/>
      </c>
      <c r="F713" s="4" t="str">
        <f t="array" ref="F713">XLOOKUP(A713,'Dados Funil'!$A:$A,'Dados Funil'!$L:$L,"")</f>
        <v/>
      </c>
      <c r="G713" s="4"/>
      <c r="H713" s="4"/>
      <c r="I713" s="7" t="str">
        <f t="shared" si="2"/>
        <v/>
      </c>
      <c r="J713" s="4" t="str">
        <f t="shared" si="10"/>
        <v/>
      </c>
      <c r="K713" s="4" t="str">
        <f t="array" ref="K713">XLOOKUP(G713,'Dados Funil'!A:A,'Dados Funil'!O:O,"")</f>
        <v/>
      </c>
      <c r="L713" s="4"/>
      <c r="M713" s="4"/>
      <c r="N713" s="7" t="str">
        <f t="shared" si="3"/>
        <v/>
      </c>
      <c r="O713" s="4" t="str">
        <f t="shared" si="11"/>
        <v/>
      </c>
      <c r="P713" s="4" t="str">
        <f t="array" ref="P713">XLOOKUP(L713,'Dados Funil'!A:A,'Dados Funil'!AM:AM,"")</f>
        <v/>
      </c>
      <c r="Q713" s="4" t="str">
        <f t="array" ref="Q713">XLOOKUP(L713,'Dados Funil'!A:A,'Dados Funil'!AN:AN,"")</f>
        <v/>
      </c>
      <c r="T713" s="7" t="str">
        <f t="shared" si="4"/>
        <v/>
      </c>
      <c r="U713" s="4" t="str">
        <f t="shared" si="12"/>
        <v/>
      </c>
      <c r="V713" s="4" t="str">
        <f t="array" ref="V713">XLOOKUP(R713,'Dados Funil'!$A:$A,'Dados Funil'!$K:$K,"")</f>
        <v/>
      </c>
      <c r="W713" s="4" t="str">
        <f t="array" ref="W713">XLOOKUP(R713,'Dados Funil'!$A:$A,'Dados Funil'!$L:$L,"")</f>
        <v/>
      </c>
      <c r="X713" s="4"/>
      <c r="Y713" s="4"/>
      <c r="Z713" s="7" t="str">
        <f t="shared" si="5"/>
        <v/>
      </c>
      <c r="AA713" s="4" t="str">
        <f t="shared" si="13"/>
        <v/>
      </c>
      <c r="AB713" s="4" t="str">
        <f t="array" ref="AB713">XLOOKUP(X713,'Dados Funil'!A:A,'Dados Funil'!O:O,"")</f>
        <v/>
      </c>
      <c r="AE713" s="7" t="str">
        <f t="shared" si="6"/>
        <v/>
      </c>
      <c r="AG713" s="4" t="str">
        <f t="array" ref="AG713">XLOOKUP(AC713,'Dados Funil'!A:A,'Dados Funil'!AM:AM,"")</f>
        <v/>
      </c>
      <c r="AH713" s="4" t="str">
        <f t="array" ref="AH713">XLOOKUP(AC713,'Dados Funil'!A:A,'Dados Funil'!AN:AN,"")</f>
        <v/>
      </c>
    </row>
    <row r="714">
      <c r="A714" s="4"/>
      <c r="B714" s="4"/>
      <c r="C714" s="7" t="str">
        <f t="shared" si="1"/>
        <v/>
      </c>
      <c r="D714" s="4" t="str">
        <f t="shared" si="9"/>
        <v/>
      </c>
      <c r="E714" s="4" t="str">
        <f t="array" ref="E714">XLOOKUP(A714,'Dados Funil'!$A:$A,'Dados Funil'!$K:$K,"")</f>
        <v/>
      </c>
      <c r="F714" s="4" t="str">
        <f t="array" ref="F714">XLOOKUP(A714,'Dados Funil'!$A:$A,'Dados Funil'!$L:$L,"")</f>
        <v/>
      </c>
      <c r="G714" s="4"/>
      <c r="H714" s="4"/>
      <c r="I714" s="7" t="str">
        <f t="shared" si="2"/>
        <v/>
      </c>
      <c r="J714" s="4" t="str">
        <f t="shared" si="10"/>
        <v/>
      </c>
      <c r="K714" s="4" t="str">
        <f t="array" ref="K714">XLOOKUP(G714,'Dados Funil'!A:A,'Dados Funil'!O:O,"")</f>
        <v/>
      </c>
      <c r="L714" s="4"/>
      <c r="M714" s="4"/>
      <c r="N714" s="7" t="str">
        <f t="shared" si="3"/>
        <v/>
      </c>
      <c r="O714" s="4" t="str">
        <f t="shared" si="11"/>
        <v/>
      </c>
      <c r="P714" s="4" t="str">
        <f t="array" ref="P714">XLOOKUP(L714,'Dados Funil'!A:A,'Dados Funil'!AM:AM,"")</f>
        <v/>
      </c>
      <c r="Q714" s="4" t="str">
        <f t="array" ref="Q714">XLOOKUP(L714,'Dados Funil'!A:A,'Dados Funil'!AN:AN,"")</f>
        <v/>
      </c>
      <c r="T714" s="7" t="str">
        <f t="shared" si="4"/>
        <v/>
      </c>
      <c r="U714" s="4" t="str">
        <f t="shared" si="12"/>
        <v/>
      </c>
      <c r="V714" s="4" t="str">
        <f t="array" ref="V714">XLOOKUP(R714,'Dados Funil'!$A:$A,'Dados Funil'!$K:$K,"")</f>
        <v/>
      </c>
      <c r="W714" s="4" t="str">
        <f t="array" ref="W714">XLOOKUP(R714,'Dados Funil'!$A:$A,'Dados Funil'!$L:$L,"")</f>
        <v/>
      </c>
      <c r="X714" s="4"/>
      <c r="Y714" s="4"/>
      <c r="Z714" s="7" t="str">
        <f t="shared" si="5"/>
        <v/>
      </c>
      <c r="AA714" s="4" t="str">
        <f t="shared" si="13"/>
        <v/>
      </c>
      <c r="AB714" s="4" t="str">
        <f t="array" ref="AB714">XLOOKUP(X714,'Dados Funil'!A:A,'Dados Funil'!O:O,"")</f>
        <v/>
      </c>
      <c r="AE714" s="7" t="str">
        <f t="shared" si="6"/>
        <v/>
      </c>
      <c r="AG714" s="4" t="str">
        <f t="array" ref="AG714">XLOOKUP(AC714,'Dados Funil'!A:A,'Dados Funil'!AM:AM,"")</f>
        <v/>
      </c>
      <c r="AH714" s="4" t="str">
        <f t="array" ref="AH714">XLOOKUP(AC714,'Dados Funil'!A:A,'Dados Funil'!AN:AN,"")</f>
        <v/>
      </c>
    </row>
    <row r="715">
      <c r="A715" s="4"/>
      <c r="B715" s="4"/>
      <c r="C715" s="7" t="str">
        <f t="shared" si="1"/>
        <v/>
      </c>
      <c r="D715" s="4" t="str">
        <f t="shared" si="9"/>
        <v/>
      </c>
      <c r="E715" s="4" t="str">
        <f t="array" ref="E715">XLOOKUP(A715,'Dados Funil'!$A:$A,'Dados Funil'!$K:$K,"")</f>
        <v/>
      </c>
      <c r="F715" s="4" t="str">
        <f t="array" ref="F715">XLOOKUP(A715,'Dados Funil'!$A:$A,'Dados Funil'!$L:$L,"")</f>
        <v/>
      </c>
      <c r="G715" s="4"/>
      <c r="H715" s="4"/>
      <c r="I715" s="7" t="str">
        <f t="shared" si="2"/>
        <v/>
      </c>
      <c r="J715" s="4" t="str">
        <f t="shared" si="10"/>
        <v/>
      </c>
      <c r="K715" s="4" t="str">
        <f t="array" ref="K715">XLOOKUP(G715,'Dados Funil'!A:A,'Dados Funil'!O:O,"")</f>
        <v/>
      </c>
      <c r="L715" s="4"/>
      <c r="M715" s="4"/>
      <c r="N715" s="7" t="str">
        <f t="shared" si="3"/>
        <v/>
      </c>
      <c r="O715" s="4" t="str">
        <f t="shared" si="11"/>
        <v/>
      </c>
      <c r="P715" s="4" t="str">
        <f t="array" ref="P715">XLOOKUP(L715,'Dados Funil'!A:A,'Dados Funil'!AM:AM,"")</f>
        <v/>
      </c>
      <c r="Q715" s="4" t="str">
        <f t="array" ref="Q715">XLOOKUP(L715,'Dados Funil'!A:A,'Dados Funil'!AN:AN,"")</f>
        <v/>
      </c>
      <c r="T715" s="7" t="str">
        <f t="shared" si="4"/>
        <v/>
      </c>
      <c r="U715" s="4" t="str">
        <f t="shared" si="12"/>
        <v/>
      </c>
      <c r="V715" s="4" t="str">
        <f t="array" ref="V715">XLOOKUP(R715,'Dados Funil'!$A:$A,'Dados Funil'!$K:$K,"")</f>
        <v/>
      </c>
      <c r="W715" s="4" t="str">
        <f t="array" ref="W715">XLOOKUP(R715,'Dados Funil'!$A:$A,'Dados Funil'!$L:$L,"")</f>
        <v/>
      </c>
      <c r="X715" s="4"/>
      <c r="Y715" s="4"/>
      <c r="Z715" s="7" t="str">
        <f t="shared" si="5"/>
        <v/>
      </c>
      <c r="AA715" s="4" t="str">
        <f t="shared" si="13"/>
        <v/>
      </c>
      <c r="AB715" s="4" t="str">
        <f t="array" ref="AB715">XLOOKUP(X715,'Dados Funil'!A:A,'Dados Funil'!O:O,"")</f>
        <v/>
      </c>
      <c r="AE715" s="7" t="str">
        <f t="shared" si="6"/>
        <v/>
      </c>
      <c r="AG715" s="4" t="str">
        <f t="array" ref="AG715">XLOOKUP(AC715,'Dados Funil'!A:A,'Dados Funil'!AM:AM,"")</f>
        <v/>
      </c>
      <c r="AH715" s="4" t="str">
        <f t="array" ref="AH715">XLOOKUP(AC715,'Dados Funil'!A:A,'Dados Funil'!AN:AN,"")</f>
        <v/>
      </c>
    </row>
    <row r="716">
      <c r="A716" s="4"/>
      <c r="B716" s="4"/>
      <c r="C716" s="7" t="str">
        <f t="shared" si="1"/>
        <v/>
      </c>
      <c r="D716" s="4" t="str">
        <f t="shared" si="9"/>
        <v/>
      </c>
      <c r="E716" s="4" t="str">
        <f t="array" ref="E716">XLOOKUP(A716,'Dados Funil'!$A:$A,'Dados Funil'!$K:$K,"")</f>
        <v/>
      </c>
      <c r="F716" s="4" t="str">
        <f t="array" ref="F716">XLOOKUP(A716,'Dados Funil'!$A:$A,'Dados Funil'!$L:$L,"")</f>
        <v/>
      </c>
      <c r="G716" s="4"/>
      <c r="H716" s="4"/>
      <c r="I716" s="7" t="str">
        <f t="shared" si="2"/>
        <v/>
      </c>
      <c r="J716" s="4" t="str">
        <f t="shared" si="10"/>
        <v/>
      </c>
      <c r="K716" s="4" t="str">
        <f t="array" ref="K716">XLOOKUP(G716,'Dados Funil'!A:A,'Dados Funil'!O:O,"")</f>
        <v/>
      </c>
      <c r="L716" s="4"/>
      <c r="M716" s="4"/>
      <c r="N716" s="7" t="str">
        <f t="shared" si="3"/>
        <v/>
      </c>
      <c r="O716" s="4" t="str">
        <f t="shared" si="11"/>
        <v/>
      </c>
      <c r="P716" s="4" t="str">
        <f t="array" ref="P716">XLOOKUP(L716,'Dados Funil'!A:A,'Dados Funil'!AM:AM,"")</f>
        <v/>
      </c>
      <c r="Q716" s="4" t="str">
        <f t="array" ref="Q716">XLOOKUP(L716,'Dados Funil'!A:A,'Dados Funil'!AN:AN,"")</f>
        <v/>
      </c>
      <c r="T716" s="7" t="str">
        <f t="shared" si="4"/>
        <v/>
      </c>
      <c r="U716" s="4" t="str">
        <f t="shared" si="12"/>
        <v/>
      </c>
      <c r="V716" s="4" t="str">
        <f t="array" ref="V716">XLOOKUP(R716,'Dados Funil'!$A:$A,'Dados Funil'!$K:$K,"")</f>
        <v/>
      </c>
      <c r="W716" s="4" t="str">
        <f t="array" ref="W716">XLOOKUP(R716,'Dados Funil'!$A:$A,'Dados Funil'!$L:$L,"")</f>
        <v/>
      </c>
      <c r="X716" s="4"/>
      <c r="Y716" s="4"/>
      <c r="Z716" s="7" t="str">
        <f t="shared" si="5"/>
        <v/>
      </c>
      <c r="AA716" s="4" t="str">
        <f t="shared" si="13"/>
        <v/>
      </c>
      <c r="AB716" s="4" t="str">
        <f t="array" ref="AB716">XLOOKUP(X716,'Dados Funil'!A:A,'Dados Funil'!O:O,"")</f>
        <v/>
      </c>
      <c r="AE716" s="7" t="str">
        <f t="shared" si="6"/>
        <v/>
      </c>
      <c r="AG716" s="4" t="str">
        <f t="array" ref="AG716">XLOOKUP(AC716,'Dados Funil'!A:A,'Dados Funil'!AM:AM,"")</f>
        <v/>
      </c>
      <c r="AH716" s="4" t="str">
        <f t="array" ref="AH716">XLOOKUP(AC716,'Dados Funil'!A:A,'Dados Funil'!AN:AN,"")</f>
        <v/>
      </c>
    </row>
    <row r="717">
      <c r="A717" s="4"/>
      <c r="B717" s="4"/>
      <c r="C717" s="7" t="str">
        <f t="shared" si="1"/>
        <v/>
      </c>
      <c r="D717" s="4" t="str">
        <f t="shared" si="9"/>
        <v/>
      </c>
      <c r="E717" s="4" t="str">
        <f t="array" ref="E717">XLOOKUP(A717,'Dados Funil'!$A:$A,'Dados Funil'!$K:$K,"")</f>
        <v/>
      </c>
      <c r="F717" s="4" t="str">
        <f t="array" ref="F717">XLOOKUP(A717,'Dados Funil'!$A:$A,'Dados Funil'!$L:$L,"")</f>
        <v/>
      </c>
      <c r="G717" s="4"/>
      <c r="H717" s="4"/>
      <c r="I717" s="7" t="str">
        <f t="shared" si="2"/>
        <v/>
      </c>
      <c r="J717" s="4" t="str">
        <f t="shared" si="10"/>
        <v/>
      </c>
      <c r="K717" s="4" t="str">
        <f t="array" ref="K717">XLOOKUP(G717,'Dados Funil'!A:A,'Dados Funil'!O:O,"")</f>
        <v/>
      </c>
      <c r="L717" s="4"/>
      <c r="M717" s="4"/>
      <c r="N717" s="7" t="str">
        <f t="shared" si="3"/>
        <v/>
      </c>
      <c r="O717" s="4" t="str">
        <f t="shared" si="11"/>
        <v/>
      </c>
      <c r="P717" s="4" t="str">
        <f t="array" ref="P717">XLOOKUP(L717,'Dados Funil'!A:A,'Dados Funil'!AM:AM,"")</f>
        <v/>
      </c>
      <c r="Q717" s="4" t="str">
        <f t="array" ref="Q717">XLOOKUP(L717,'Dados Funil'!A:A,'Dados Funil'!AN:AN,"")</f>
        <v/>
      </c>
      <c r="T717" s="7" t="str">
        <f t="shared" si="4"/>
        <v/>
      </c>
      <c r="U717" s="4" t="str">
        <f t="shared" si="12"/>
        <v/>
      </c>
      <c r="V717" s="4" t="str">
        <f t="array" ref="V717">XLOOKUP(R717,'Dados Funil'!$A:$A,'Dados Funil'!$K:$K,"")</f>
        <v/>
      </c>
      <c r="W717" s="4" t="str">
        <f t="array" ref="W717">XLOOKUP(R717,'Dados Funil'!$A:$A,'Dados Funil'!$L:$L,"")</f>
        <v/>
      </c>
      <c r="X717" s="4"/>
      <c r="Y717" s="4"/>
      <c r="Z717" s="7" t="str">
        <f t="shared" si="5"/>
        <v/>
      </c>
      <c r="AA717" s="4" t="str">
        <f t="shared" si="13"/>
        <v/>
      </c>
      <c r="AB717" s="4" t="str">
        <f t="array" ref="AB717">XLOOKUP(X717,'Dados Funil'!A:A,'Dados Funil'!O:O,"")</f>
        <v/>
      </c>
      <c r="AE717" s="7" t="str">
        <f t="shared" si="6"/>
        <v/>
      </c>
      <c r="AG717" s="4" t="str">
        <f t="array" ref="AG717">XLOOKUP(AC717,'Dados Funil'!A:A,'Dados Funil'!AM:AM,"")</f>
        <v/>
      </c>
      <c r="AH717" s="4" t="str">
        <f t="array" ref="AH717">XLOOKUP(AC717,'Dados Funil'!A:A,'Dados Funil'!AN:AN,"")</f>
        <v/>
      </c>
    </row>
    <row r="718">
      <c r="A718" s="4"/>
      <c r="B718" s="4"/>
      <c r="C718" s="7" t="str">
        <f t="shared" si="1"/>
        <v/>
      </c>
      <c r="D718" s="4" t="str">
        <f t="shared" si="9"/>
        <v/>
      </c>
      <c r="E718" s="4" t="str">
        <f t="array" ref="E718">XLOOKUP(A718,'Dados Funil'!$A:$A,'Dados Funil'!$K:$K,"")</f>
        <v/>
      </c>
      <c r="F718" s="4" t="str">
        <f t="array" ref="F718">XLOOKUP(A718,'Dados Funil'!$A:$A,'Dados Funil'!$L:$L,"")</f>
        <v/>
      </c>
      <c r="G718" s="4"/>
      <c r="H718" s="4"/>
      <c r="I718" s="7" t="str">
        <f t="shared" si="2"/>
        <v/>
      </c>
      <c r="J718" s="4" t="str">
        <f t="shared" si="10"/>
        <v/>
      </c>
      <c r="K718" s="4" t="str">
        <f t="array" ref="K718">XLOOKUP(G718,'Dados Funil'!A:A,'Dados Funil'!O:O,"")</f>
        <v/>
      </c>
      <c r="L718" s="4"/>
      <c r="M718" s="4"/>
      <c r="N718" s="7" t="str">
        <f t="shared" si="3"/>
        <v/>
      </c>
      <c r="O718" s="4" t="str">
        <f t="shared" si="11"/>
        <v/>
      </c>
      <c r="P718" s="4" t="str">
        <f t="array" ref="P718">XLOOKUP(L718,'Dados Funil'!A:A,'Dados Funil'!AM:AM,"")</f>
        <v/>
      </c>
      <c r="Q718" s="4" t="str">
        <f t="array" ref="Q718">XLOOKUP(L718,'Dados Funil'!A:A,'Dados Funil'!AN:AN,"")</f>
        <v/>
      </c>
      <c r="T718" s="7" t="str">
        <f t="shared" si="4"/>
        <v/>
      </c>
      <c r="U718" s="4" t="str">
        <f t="shared" si="12"/>
        <v/>
      </c>
      <c r="V718" s="4" t="str">
        <f t="array" ref="V718">XLOOKUP(R718,'Dados Funil'!$A:$A,'Dados Funil'!$K:$K,"")</f>
        <v/>
      </c>
      <c r="W718" s="4" t="str">
        <f t="array" ref="W718">XLOOKUP(R718,'Dados Funil'!$A:$A,'Dados Funil'!$L:$L,"")</f>
        <v/>
      </c>
      <c r="X718" s="4"/>
      <c r="Y718" s="4"/>
      <c r="Z718" s="7" t="str">
        <f t="shared" si="5"/>
        <v/>
      </c>
      <c r="AA718" s="4" t="str">
        <f t="shared" si="13"/>
        <v/>
      </c>
      <c r="AB718" s="4" t="str">
        <f t="array" ref="AB718">XLOOKUP(X718,'Dados Funil'!A:A,'Dados Funil'!O:O,"")</f>
        <v/>
      </c>
      <c r="AE718" s="7" t="str">
        <f t="shared" si="6"/>
        <v/>
      </c>
      <c r="AG718" s="4" t="str">
        <f t="array" ref="AG718">XLOOKUP(AC718,'Dados Funil'!A:A,'Dados Funil'!AM:AM,"")</f>
        <v/>
      </c>
      <c r="AH718" s="4" t="str">
        <f t="array" ref="AH718">XLOOKUP(AC718,'Dados Funil'!A:A,'Dados Funil'!AN:AN,"")</f>
        <v/>
      </c>
    </row>
    <row r="719">
      <c r="A719" s="4"/>
      <c r="B719" s="4"/>
      <c r="C719" s="7" t="str">
        <f t="shared" si="1"/>
        <v/>
      </c>
      <c r="D719" s="4" t="str">
        <f t="shared" si="9"/>
        <v/>
      </c>
      <c r="E719" s="4" t="str">
        <f t="array" ref="E719">XLOOKUP(A719,'Dados Funil'!$A:$A,'Dados Funil'!$K:$K,"")</f>
        <v/>
      </c>
      <c r="F719" s="4" t="str">
        <f t="array" ref="F719">XLOOKUP(A719,'Dados Funil'!$A:$A,'Dados Funil'!$L:$L,"")</f>
        <v/>
      </c>
      <c r="G719" s="4"/>
      <c r="H719" s="4"/>
      <c r="I719" s="7" t="str">
        <f t="shared" si="2"/>
        <v/>
      </c>
      <c r="J719" s="4" t="str">
        <f t="shared" si="10"/>
        <v/>
      </c>
      <c r="K719" s="4" t="str">
        <f t="array" ref="K719">XLOOKUP(G719,'Dados Funil'!A:A,'Dados Funil'!O:O,"")</f>
        <v/>
      </c>
      <c r="L719" s="4"/>
      <c r="M719" s="4"/>
      <c r="N719" s="7" t="str">
        <f t="shared" si="3"/>
        <v/>
      </c>
      <c r="O719" s="4" t="str">
        <f t="shared" si="11"/>
        <v/>
      </c>
      <c r="P719" s="4" t="str">
        <f t="array" ref="P719">XLOOKUP(L719,'Dados Funil'!A:A,'Dados Funil'!AM:AM,"")</f>
        <v/>
      </c>
      <c r="Q719" s="4" t="str">
        <f t="array" ref="Q719">XLOOKUP(L719,'Dados Funil'!A:A,'Dados Funil'!AN:AN,"")</f>
        <v/>
      </c>
      <c r="T719" s="7" t="str">
        <f t="shared" si="4"/>
        <v/>
      </c>
      <c r="U719" s="4" t="str">
        <f t="shared" si="12"/>
        <v/>
      </c>
      <c r="V719" s="4" t="str">
        <f t="array" ref="V719">XLOOKUP(R719,'Dados Funil'!$A:$A,'Dados Funil'!$K:$K,"")</f>
        <v/>
      </c>
      <c r="W719" s="4" t="str">
        <f t="array" ref="W719">XLOOKUP(R719,'Dados Funil'!$A:$A,'Dados Funil'!$L:$L,"")</f>
        <v/>
      </c>
      <c r="X719" s="4"/>
      <c r="Y719" s="4"/>
      <c r="Z719" s="7" t="str">
        <f t="shared" si="5"/>
        <v/>
      </c>
      <c r="AA719" s="4" t="str">
        <f t="shared" si="13"/>
        <v/>
      </c>
      <c r="AB719" s="4" t="str">
        <f t="array" ref="AB719">XLOOKUP(X719,'Dados Funil'!A:A,'Dados Funil'!O:O,"")</f>
        <v/>
      </c>
      <c r="AE719" s="7" t="str">
        <f t="shared" si="6"/>
        <v/>
      </c>
      <c r="AG719" s="4" t="str">
        <f t="array" ref="AG719">XLOOKUP(AC719,'Dados Funil'!A:A,'Dados Funil'!AM:AM,"")</f>
        <v/>
      </c>
      <c r="AH719" s="4" t="str">
        <f t="array" ref="AH719">XLOOKUP(AC719,'Dados Funil'!A:A,'Dados Funil'!AN:AN,"")</f>
        <v/>
      </c>
    </row>
    <row r="720">
      <c r="A720" s="4"/>
      <c r="B720" s="4"/>
      <c r="C720" s="7" t="str">
        <f t="shared" si="1"/>
        <v/>
      </c>
      <c r="D720" s="4" t="str">
        <f t="shared" si="9"/>
        <v/>
      </c>
      <c r="E720" s="4" t="str">
        <f t="array" ref="E720">XLOOKUP(A720,'Dados Funil'!$A:$A,'Dados Funil'!$K:$K,"")</f>
        <v/>
      </c>
      <c r="F720" s="4" t="str">
        <f t="array" ref="F720">XLOOKUP(A720,'Dados Funil'!$A:$A,'Dados Funil'!$L:$L,"")</f>
        <v/>
      </c>
      <c r="G720" s="4"/>
      <c r="H720" s="4"/>
      <c r="I720" s="7" t="str">
        <f t="shared" si="2"/>
        <v/>
      </c>
      <c r="J720" s="4" t="str">
        <f t="shared" si="10"/>
        <v/>
      </c>
      <c r="K720" s="4" t="str">
        <f t="array" ref="K720">XLOOKUP(G720,'Dados Funil'!A:A,'Dados Funil'!O:O,"")</f>
        <v/>
      </c>
      <c r="L720" s="4"/>
      <c r="M720" s="4"/>
      <c r="N720" s="7" t="str">
        <f t="shared" si="3"/>
        <v/>
      </c>
      <c r="O720" s="4" t="str">
        <f t="shared" si="11"/>
        <v/>
      </c>
      <c r="P720" s="4" t="str">
        <f t="array" ref="P720">XLOOKUP(L720,'Dados Funil'!A:A,'Dados Funil'!AM:AM,"")</f>
        <v/>
      </c>
      <c r="Q720" s="4" t="str">
        <f t="array" ref="Q720">XLOOKUP(L720,'Dados Funil'!A:A,'Dados Funil'!AN:AN,"")</f>
        <v/>
      </c>
      <c r="T720" s="7" t="str">
        <f t="shared" si="4"/>
        <v/>
      </c>
      <c r="U720" s="4" t="str">
        <f t="shared" si="12"/>
        <v/>
      </c>
      <c r="V720" s="4" t="str">
        <f t="array" ref="V720">XLOOKUP(R720,'Dados Funil'!$A:$A,'Dados Funil'!$K:$K,"")</f>
        <v/>
      </c>
      <c r="W720" s="4" t="str">
        <f t="array" ref="W720">XLOOKUP(R720,'Dados Funil'!$A:$A,'Dados Funil'!$L:$L,"")</f>
        <v/>
      </c>
      <c r="X720" s="4"/>
      <c r="Y720" s="4"/>
      <c r="Z720" s="7" t="str">
        <f t="shared" si="5"/>
        <v/>
      </c>
      <c r="AA720" s="4" t="str">
        <f t="shared" si="13"/>
        <v/>
      </c>
      <c r="AB720" s="4" t="str">
        <f t="array" ref="AB720">XLOOKUP(X720,'Dados Funil'!A:A,'Dados Funil'!O:O,"")</f>
        <v/>
      </c>
      <c r="AE720" s="7" t="str">
        <f t="shared" si="6"/>
        <v/>
      </c>
      <c r="AG720" s="4" t="str">
        <f t="array" ref="AG720">XLOOKUP(AC720,'Dados Funil'!A:A,'Dados Funil'!AM:AM,"")</f>
        <v/>
      </c>
      <c r="AH720" s="4" t="str">
        <f t="array" ref="AH720">XLOOKUP(AC720,'Dados Funil'!A:A,'Dados Funil'!AN:AN,"")</f>
        <v/>
      </c>
    </row>
    <row r="721">
      <c r="A721" s="4"/>
      <c r="B721" s="4"/>
      <c r="C721" s="7" t="str">
        <f t="shared" si="1"/>
        <v/>
      </c>
      <c r="D721" s="4" t="str">
        <f t="shared" si="9"/>
        <v/>
      </c>
      <c r="E721" s="4" t="str">
        <f t="array" ref="E721">XLOOKUP(A721,'Dados Funil'!$A:$A,'Dados Funil'!$K:$K,"")</f>
        <v/>
      </c>
      <c r="F721" s="4" t="str">
        <f t="array" ref="F721">XLOOKUP(A721,'Dados Funil'!$A:$A,'Dados Funil'!$L:$L,"")</f>
        <v/>
      </c>
      <c r="G721" s="4"/>
      <c r="H721" s="4"/>
      <c r="I721" s="7" t="str">
        <f t="shared" si="2"/>
        <v/>
      </c>
      <c r="J721" s="4" t="str">
        <f t="shared" si="10"/>
        <v/>
      </c>
      <c r="K721" s="4" t="str">
        <f t="array" ref="K721">XLOOKUP(G721,'Dados Funil'!A:A,'Dados Funil'!O:O,"")</f>
        <v/>
      </c>
      <c r="L721" s="4"/>
      <c r="M721" s="4"/>
      <c r="N721" s="7" t="str">
        <f t="shared" si="3"/>
        <v/>
      </c>
      <c r="O721" s="4" t="str">
        <f t="shared" si="11"/>
        <v/>
      </c>
      <c r="P721" s="4" t="str">
        <f t="array" ref="P721">XLOOKUP(L721,'Dados Funil'!A:A,'Dados Funil'!AM:AM,"")</f>
        <v/>
      </c>
      <c r="Q721" s="4" t="str">
        <f t="array" ref="Q721">XLOOKUP(L721,'Dados Funil'!A:A,'Dados Funil'!AN:AN,"")</f>
        <v/>
      </c>
      <c r="T721" s="7" t="str">
        <f t="shared" si="4"/>
        <v/>
      </c>
      <c r="U721" s="4" t="str">
        <f t="shared" si="12"/>
        <v/>
      </c>
      <c r="V721" s="4" t="str">
        <f t="array" ref="V721">XLOOKUP(R721,'Dados Funil'!$A:$A,'Dados Funil'!$K:$K,"")</f>
        <v/>
      </c>
      <c r="W721" s="4" t="str">
        <f t="array" ref="W721">XLOOKUP(R721,'Dados Funil'!$A:$A,'Dados Funil'!$L:$L,"")</f>
        <v/>
      </c>
      <c r="X721" s="4"/>
      <c r="Y721" s="4"/>
      <c r="Z721" s="7" t="str">
        <f t="shared" si="5"/>
        <v/>
      </c>
      <c r="AA721" s="4" t="str">
        <f t="shared" si="13"/>
        <v/>
      </c>
      <c r="AB721" s="4" t="str">
        <f t="array" ref="AB721">XLOOKUP(X721,'Dados Funil'!A:A,'Dados Funil'!O:O,"")</f>
        <v/>
      </c>
      <c r="AE721" s="7" t="str">
        <f t="shared" si="6"/>
        <v/>
      </c>
      <c r="AG721" s="4" t="str">
        <f t="array" ref="AG721">XLOOKUP(AC721,'Dados Funil'!A:A,'Dados Funil'!AM:AM,"")</f>
        <v/>
      </c>
      <c r="AH721" s="4" t="str">
        <f t="array" ref="AH721">XLOOKUP(AC721,'Dados Funil'!A:A,'Dados Funil'!AN:AN,"")</f>
        <v/>
      </c>
    </row>
    <row r="722">
      <c r="A722" s="4"/>
      <c r="B722" s="4"/>
      <c r="C722" s="7" t="str">
        <f t="shared" si="1"/>
        <v/>
      </c>
      <c r="D722" s="4" t="str">
        <f t="shared" si="9"/>
        <v/>
      </c>
      <c r="E722" s="4" t="str">
        <f t="array" ref="E722">XLOOKUP(A722,'Dados Funil'!$A:$A,'Dados Funil'!$K:$K,"")</f>
        <v/>
      </c>
      <c r="F722" s="4" t="str">
        <f t="array" ref="F722">XLOOKUP(A722,'Dados Funil'!$A:$A,'Dados Funil'!$L:$L,"")</f>
        <v/>
      </c>
      <c r="G722" s="4"/>
      <c r="H722" s="4"/>
      <c r="I722" s="7" t="str">
        <f t="shared" si="2"/>
        <v/>
      </c>
      <c r="J722" s="4" t="str">
        <f t="shared" si="10"/>
        <v/>
      </c>
      <c r="K722" s="4" t="str">
        <f t="array" ref="K722">XLOOKUP(G722,'Dados Funil'!A:A,'Dados Funil'!O:O,"")</f>
        <v/>
      </c>
      <c r="L722" s="4"/>
      <c r="M722" s="4"/>
      <c r="N722" s="7" t="str">
        <f t="shared" si="3"/>
        <v/>
      </c>
      <c r="O722" s="4" t="str">
        <f t="shared" si="11"/>
        <v/>
      </c>
      <c r="P722" s="4" t="str">
        <f t="array" ref="P722">XLOOKUP(L722,'Dados Funil'!A:A,'Dados Funil'!AM:AM,"")</f>
        <v/>
      </c>
      <c r="Q722" s="4" t="str">
        <f t="array" ref="Q722">XLOOKUP(L722,'Dados Funil'!A:A,'Dados Funil'!AN:AN,"")</f>
        <v/>
      </c>
      <c r="T722" s="7" t="str">
        <f t="shared" si="4"/>
        <v/>
      </c>
      <c r="U722" s="4" t="str">
        <f t="shared" si="12"/>
        <v/>
      </c>
      <c r="V722" s="4" t="str">
        <f t="array" ref="V722">XLOOKUP(R722,'Dados Funil'!$A:$A,'Dados Funil'!$K:$K,"")</f>
        <v/>
      </c>
      <c r="W722" s="4" t="str">
        <f t="array" ref="W722">XLOOKUP(R722,'Dados Funil'!$A:$A,'Dados Funil'!$L:$L,"")</f>
        <v/>
      </c>
      <c r="X722" s="4"/>
      <c r="Y722" s="4"/>
      <c r="Z722" s="7" t="str">
        <f t="shared" si="5"/>
        <v/>
      </c>
      <c r="AA722" s="4" t="str">
        <f t="shared" si="13"/>
        <v/>
      </c>
      <c r="AB722" s="4" t="str">
        <f t="array" ref="AB722">XLOOKUP(X722,'Dados Funil'!A:A,'Dados Funil'!O:O,"")</f>
        <v/>
      </c>
      <c r="AE722" s="7" t="str">
        <f t="shared" si="6"/>
        <v/>
      </c>
      <c r="AG722" s="4" t="str">
        <f t="array" ref="AG722">XLOOKUP(AC722,'Dados Funil'!A:A,'Dados Funil'!AM:AM,"")</f>
        <v/>
      </c>
      <c r="AH722" s="4" t="str">
        <f t="array" ref="AH722">XLOOKUP(AC722,'Dados Funil'!A:A,'Dados Funil'!AN:AN,"")</f>
        <v/>
      </c>
    </row>
    <row r="723">
      <c r="A723" s="4"/>
      <c r="B723" s="4"/>
      <c r="C723" s="7" t="str">
        <f t="shared" si="1"/>
        <v/>
      </c>
      <c r="D723" s="4" t="str">
        <f t="shared" si="9"/>
        <v/>
      </c>
      <c r="E723" s="4" t="str">
        <f t="array" ref="E723">XLOOKUP(A723,'Dados Funil'!$A:$A,'Dados Funil'!$K:$K,"")</f>
        <v/>
      </c>
      <c r="F723" s="4" t="str">
        <f t="array" ref="F723">XLOOKUP(A723,'Dados Funil'!$A:$A,'Dados Funil'!$L:$L,"")</f>
        <v/>
      </c>
      <c r="G723" s="4"/>
      <c r="H723" s="4"/>
      <c r="I723" s="7" t="str">
        <f t="shared" si="2"/>
        <v/>
      </c>
      <c r="J723" s="4" t="str">
        <f t="shared" si="10"/>
        <v/>
      </c>
      <c r="K723" s="4" t="str">
        <f t="array" ref="K723">XLOOKUP(G723,'Dados Funil'!A:A,'Dados Funil'!O:O,"")</f>
        <v/>
      </c>
      <c r="L723" s="4"/>
      <c r="M723" s="4"/>
      <c r="N723" s="7" t="str">
        <f t="shared" si="3"/>
        <v/>
      </c>
      <c r="O723" s="4" t="str">
        <f t="shared" si="11"/>
        <v/>
      </c>
      <c r="P723" s="4" t="str">
        <f t="array" ref="P723">XLOOKUP(L723,'Dados Funil'!A:A,'Dados Funil'!AM:AM,"")</f>
        <v/>
      </c>
      <c r="Q723" s="4" t="str">
        <f t="array" ref="Q723">XLOOKUP(L723,'Dados Funil'!A:A,'Dados Funil'!AN:AN,"")</f>
        <v/>
      </c>
      <c r="T723" s="7" t="str">
        <f t="shared" si="4"/>
        <v/>
      </c>
      <c r="U723" s="4" t="str">
        <f t="shared" si="12"/>
        <v/>
      </c>
      <c r="V723" s="4" t="str">
        <f t="array" ref="V723">XLOOKUP(R723,'Dados Funil'!$A:$A,'Dados Funil'!$K:$K,"")</f>
        <v/>
      </c>
      <c r="W723" s="4" t="str">
        <f t="array" ref="W723">XLOOKUP(R723,'Dados Funil'!$A:$A,'Dados Funil'!$L:$L,"")</f>
        <v/>
      </c>
      <c r="X723" s="4"/>
      <c r="Y723" s="4"/>
      <c r="Z723" s="7" t="str">
        <f t="shared" si="5"/>
        <v/>
      </c>
      <c r="AA723" s="4" t="str">
        <f t="shared" si="13"/>
        <v/>
      </c>
      <c r="AB723" s="4" t="str">
        <f t="array" ref="AB723">XLOOKUP(X723,'Dados Funil'!A:A,'Dados Funil'!O:O,"")</f>
        <v/>
      </c>
      <c r="AE723" s="7" t="str">
        <f t="shared" si="6"/>
        <v/>
      </c>
      <c r="AG723" s="4" t="str">
        <f t="array" ref="AG723">XLOOKUP(AC723,'Dados Funil'!A:A,'Dados Funil'!AM:AM,"")</f>
        <v/>
      </c>
      <c r="AH723" s="4" t="str">
        <f t="array" ref="AH723">XLOOKUP(AC723,'Dados Funil'!A:A,'Dados Funil'!AN:AN,"")</f>
        <v/>
      </c>
    </row>
    <row r="724">
      <c r="A724" s="4"/>
      <c r="B724" s="4"/>
      <c r="C724" s="7" t="str">
        <f t="shared" si="1"/>
        <v/>
      </c>
      <c r="D724" s="4" t="str">
        <f t="shared" si="9"/>
        <v/>
      </c>
      <c r="E724" s="4" t="str">
        <f t="array" ref="E724">XLOOKUP(A724,'Dados Funil'!$A:$A,'Dados Funil'!$K:$K,"")</f>
        <v/>
      </c>
      <c r="F724" s="4" t="str">
        <f t="array" ref="F724">XLOOKUP(A724,'Dados Funil'!$A:$A,'Dados Funil'!$L:$L,"")</f>
        <v/>
      </c>
      <c r="G724" s="4"/>
      <c r="H724" s="4"/>
      <c r="I724" s="7" t="str">
        <f t="shared" si="2"/>
        <v/>
      </c>
      <c r="J724" s="4" t="str">
        <f t="shared" si="10"/>
        <v/>
      </c>
      <c r="K724" s="4" t="str">
        <f t="array" ref="K724">XLOOKUP(G724,'Dados Funil'!A:A,'Dados Funil'!O:O,"")</f>
        <v/>
      </c>
      <c r="L724" s="4"/>
      <c r="M724" s="4"/>
      <c r="N724" s="7" t="str">
        <f t="shared" si="3"/>
        <v/>
      </c>
      <c r="O724" s="4" t="str">
        <f t="shared" si="11"/>
        <v/>
      </c>
      <c r="P724" s="4" t="str">
        <f t="array" ref="P724">XLOOKUP(L724,'Dados Funil'!A:A,'Dados Funil'!AM:AM,"")</f>
        <v/>
      </c>
      <c r="Q724" s="4" t="str">
        <f t="array" ref="Q724">XLOOKUP(L724,'Dados Funil'!A:A,'Dados Funil'!AN:AN,"")</f>
        <v/>
      </c>
      <c r="T724" s="7" t="str">
        <f t="shared" si="4"/>
        <v/>
      </c>
      <c r="U724" s="4" t="str">
        <f t="shared" si="12"/>
        <v/>
      </c>
      <c r="V724" s="4" t="str">
        <f t="array" ref="V724">XLOOKUP(R724,'Dados Funil'!$A:$A,'Dados Funil'!$K:$K,"")</f>
        <v/>
      </c>
      <c r="W724" s="4" t="str">
        <f t="array" ref="W724">XLOOKUP(R724,'Dados Funil'!$A:$A,'Dados Funil'!$L:$L,"")</f>
        <v/>
      </c>
      <c r="X724" s="4"/>
      <c r="Y724" s="4"/>
      <c r="Z724" s="7" t="str">
        <f t="shared" si="5"/>
        <v/>
      </c>
      <c r="AA724" s="4" t="str">
        <f t="shared" si="13"/>
        <v/>
      </c>
      <c r="AB724" s="4" t="str">
        <f t="array" ref="AB724">XLOOKUP(X724,'Dados Funil'!A:A,'Dados Funil'!O:O,"")</f>
        <v/>
      </c>
      <c r="AE724" s="7" t="str">
        <f t="shared" si="6"/>
        <v/>
      </c>
      <c r="AG724" s="4" t="str">
        <f t="array" ref="AG724">XLOOKUP(AC724,'Dados Funil'!A:A,'Dados Funil'!AM:AM,"")</f>
        <v/>
      </c>
      <c r="AH724" s="4" t="str">
        <f t="array" ref="AH724">XLOOKUP(AC724,'Dados Funil'!A:A,'Dados Funil'!AN:AN,"")</f>
        <v/>
      </c>
    </row>
    <row r="725">
      <c r="A725" s="4"/>
      <c r="B725" s="4"/>
      <c r="C725" s="7" t="str">
        <f t="shared" si="1"/>
        <v/>
      </c>
      <c r="D725" s="4" t="str">
        <f t="shared" si="9"/>
        <v/>
      </c>
      <c r="E725" s="4" t="str">
        <f t="array" ref="E725">XLOOKUP(A725,'Dados Funil'!$A:$A,'Dados Funil'!$K:$K,"")</f>
        <v/>
      </c>
      <c r="F725" s="4" t="str">
        <f t="array" ref="F725">XLOOKUP(A725,'Dados Funil'!$A:$A,'Dados Funil'!$L:$L,"")</f>
        <v/>
      </c>
      <c r="G725" s="4"/>
      <c r="H725" s="4"/>
      <c r="I725" s="7" t="str">
        <f t="shared" si="2"/>
        <v/>
      </c>
      <c r="J725" s="4" t="str">
        <f t="shared" si="10"/>
        <v/>
      </c>
      <c r="K725" s="4" t="str">
        <f t="array" ref="K725">XLOOKUP(G725,'Dados Funil'!A:A,'Dados Funil'!O:O,"")</f>
        <v/>
      </c>
      <c r="L725" s="4"/>
      <c r="M725" s="4"/>
      <c r="N725" s="7" t="str">
        <f t="shared" si="3"/>
        <v/>
      </c>
      <c r="O725" s="4" t="str">
        <f t="shared" si="11"/>
        <v/>
      </c>
      <c r="P725" s="4" t="str">
        <f t="array" ref="P725">XLOOKUP(L725,'Dados Funil'!A:A,'Dados Funil'!AM:AM,"")</f>
        <v/>
      </c>
      <c r="Q725" s="4" t="str">
        <f t="array" ref="Q725">XLOOKUP(L725,'Dados Funil'!A:A,'Dados Funil'!AN:AN,"")</f>
        <v/>
      </c>
      <c r="T725" s="7" t="str">
        <f t="shared" si="4"/>
        <v/>
      </c>
      <c r="U725" s="4" t="str">
        <f t="shared" si="12"/>
        <v/>
      </c>
      <c r="V725" s="4" t="str">
        <f t="array" ref="V725">XLOOKUP(R725,'Dados Funil'!$A:$A,'Dados Funil'!$K:$K,"")</f>
        <v/>
      </c>
      <c r="W725" s="4" t="str">
        <f t="array" ref="W725">XLOOKUP(R725,'Dados Funil'!$A:$A,'Dados Funil'!$L:$L,"")</f>
        <v/>
      </c>
      <c r="X725" s="4"/>
      <c r="Y725" s="4"/>
      <c r="Z725" s="7" t="str">
        <f t="shared" si="5"/>
        <v/>
      </c>
      <c r="AA725" s="4" t="str">
        <f t="shared" si="13"/>
        <v/>
      </c>
      <c r="AB725" s="4" t="str">
        <f t="array" ref="AB725">XLOOKUP(X725,'Dados Funil'!A:A,'Dados Funil'!O:O,"")</f>
        <v/>
      </c>
      <c r="AE725" s="7" t="str">
        <f t="shared" si="6"/>
        <v/>
      </c>
      <c r="AG725" s="4" t="str">
        <f t="array" ref="AG725">XLOOKUP(AC725,'Dados Funil'!A:A,'Dados Funil'!AM:AM,"")</f>
        <v/>
      </c>
      <c r="AH725" s="4" t="str">
        <f t="array" ref="AH725">XLOOKUP(AC725,'Dados Funil'!A:A,'Dados Funil'!AN:AN,"")</f>
        <v/>
      </c>
    </row>
    <row r="726">
      <c r="A726" s="4"/>
      <c r="B726" s="4"/>
      <c r="C726" s="7" t="str">
        <f t="shared" si="1"/>
        <v/>
      </c>
      <c r="D726" s="4" t="str">
        <f t="shared" si="9"/>
        <v/>
      </c>
      <c r="E726" s="4" t="str">
        <f t="array" ref="E726">XLOOKUP(A726,'Dados Funil'!$A:$A,'Dados Funil'!$K:$K,"")</f>
        <v/>
      </c>
      <c r="F726" s="4" t="str">
        <f t="array" ref="F726">XLOOKUP(A726,'Dados Funil'!$A:$A,'Dados Funil'!$L:$L,"")</f>
        <v/>
      </c>
      <c r="G726" s="4"/>
      <c r="H726" s="4"/>
      <c r="I726" s="7" t="str">
        <f t="shared" si="2"/>
        <v/>
      </c>
      <c r="J726" s="4" t="str">
        <f t="shared" si="10"/>
        <v/>
      </c>
      <c r="K726" s="4" t="str">
        <f t="array" ref="K726">XLOOKUP(G726,'Dados Funil'!A:A,'Dados Funil'!O:O,"")</f>
        <v/>
      </c>
      <c r="L726" s="4"/>
      <c r="M726" s="4"/>
      <c r="N726" s="7" t="str">
        <f t="shared" si="3"/>
        <v/>
      </c>
      <c r="O726" s="4" t="str">
        <f t="shared" si="11"/>
        <v/>
      </c>
      <c r="P726" s="4" t="str">
        <f t="array" ref="P726">XLOOKUP(L726,'Dados Funil'!A:A,'Dados Funil'!AM:AM,"")</f>
        <v/>
      </c>
      <c r="Q726" s="4" t="str">
        <f t="array" ref="Q726">XLOOKUP(L726,'Dados Funil'!A:A,'Dados Funil'!AN:AN,"")</f>
        <v/>
      </c>
      <c r="T726" s="7" t="str">
        <f t="shared" si="4"/>
        <v/>
      </c>
      <c r="U726" s="4" t="str">
        <f t="shared" si="12"/>
        <v/>
      </c>
      <c r="V726" s="4" t="str">
        <f t="array" ref="V726">XLOOKUP(R726,'Dados Funil'!$A:$A,'Dados Funil'!$K:$K,"")</f>
        <v/>
      </c>
      <c r="W726" s="4" t="str">
        <f t="array" ref="W726">XLOOKUP(R726,'Dados Funil'!$A:$A,'Dados Funil'!$L:$L,"")</f>
        <v/>
      </c>
      <c r="X726" s="4"/>
      <c r="Y726" s="4"/>
      <c r="Z726" s="7" t="str">
        <f t="shared" si="5"/>
        <v/>
      </c>
      <c r="AA726" s="4" t="str">
        <f t="shared" si="13"/>
        <v/>
      </c>
      <c r="AB726" s="4" t="str">
        <f t="array" ref="AB726">XLOOKUP(X726,'Dados Funil'!A:A,'Dados Funil'!O:O,"")</f>
        <v/>
      </c>
      <c r="AE726" s="7" t="str">
        <f t="shared" si="6"/>
        <v/>
      </c>
      <c r="AG726" s="4" t="str">
        <f t="array" ref="AG726">XLOOKUP(AC726,'Dados Funil'!A:A,'Dados Funil'!AM:AM,"")</f>
        <v/>
      </c>
      <c r="AH726" s="4" t="str">
        <f t="array" ref="AH726">XLOOKUP(AC726,'Dados Funil'!A:A,'Dados Funil'!AN:AN,"")</f>
        <v/>
      </c>
    </row>
    <row r="727">
      <c r="A727" s="4"/>
      <c r="B727" s="4"/>
      <c r="C727" s="7" t="str">
        <f t="shared" si="1"/>
        <v/>
      </c>
      <c r="D727" s="4" t="str">
        <f t="shared" si="9"/>
        <v/>
      </c>
      <c r="E727" s="4" t="str">
        <f t="array" ref="E727">XLOOKUP(A727,'Dados Funil'!$A:$A,'Dados Funil'!$K:$K,"")</f>
        <v/>
      </c>
      <c r="F727" s="4" t="str">
        <f t="array" ref="F727">XLOOKUP(A727,'Dados Funil'!$A:$A,'Dados Funil'!$L:$L,"")</f>
        <v/>
      </c>
      <c r="G727" s="4"/>
      <c r="H727" s="4"/>
      <c r="I727" s="7" t="str">
        <f t="shared" si="2"/>
        <v/>
      </c>
      <c r="J727" s="4" t="str">
        <f t="shared" si="10"/>
        <v/>
      </c>
      <c r="K727" s="4" t="str">
        <f t="array" ref="K727">XLOOKUP(G727,'Dados Funil'!A:A,'Dados Funil'!O:O,"")</f>
        <v/>
      </c>
      <c r="L727" s="4"/>
      <c r="M727" s="4"/>
      <c r="N727" s="7" t="str">
        <f t="shared" si="3"/>
        <v/>
      </c>
      <c r="O727" s="4" t="str">
        <f t="shared" si="11"/>
        <v/>
      </c>
      <c r="P727" s="4" t="str">
        <f t="array" ref="P727">XLOOKUP(L727,'Dados Funil'!A:A,'Dados Funil'!AM:AM,"")</f>
        <v/>
      </c>
      <c r="Q727" s="4" t="str">
        <f t="array" ref="Q727">XLOOKUP(L727,'Dados Funil'!A:A,'Dados Funil'!AN:AN,"")</f>
        <v/>
      </c>
      <c r="T727" s="7" t="str">
        <f t="shared" si="4"/>
        <v/>
      </c>
      <c r="U727" s="4" t="str">
        <f t="shared" si="12"/>
        <v/>
      </c>
      <c r="V727" s="4" t="str">
        <f t="array" ref="V727">XLOOKUP(R727,'Dados Funil'!$A:$A,'Dados Funil'!$K:$K,"")</f>
        <v/>
      </c>
      <c r="W727" s="4" t="str">
        <f t="array" ref="W727">XLOOKUP(R727,'Dados Funil'!$A:$A,'Dados Funil'!$L:$L,"")</f>
        <v/>
      </c>
      <c r="X727" s="4"/>
      <c r="Y727" s="4"/>
      <c r="Z727" s="7" t="str">
        <f t="shared" si="5"/>
        <v/>
      </c>
      <c r="AA727" s="4" t="str">
        <f t="shared" si="13"/>
        <v/>
      </c>
      <c r="AB727" s="4" t="str">
        <f t="array" ref="AB727">XLOOKUP(X727,'Dados Funil'!A:A,'Dados Funil'!O:O,"")</f>
        <v/>
      </c>
      <c r="AE727" s="7" t="str">
        <f t="shared" si="6"/>
        <v/>
      </c>
      <c r="AG727" s="4" t="str">
        <f t="array" ref="AG727">XLOOKUP(AC727,'Dados Funil'!A:A,'Dados Funil'!AM:AM,"")</f>
        <v/>
      </c>
      <c r="AH727" s="4" t="str">
        <f t="array" ref="AH727">XLOOKUP(AC727,'Dados Funil'!A:A,'Dados Funil'!AN:AN,"")</f>
        <v/>
      </c>
    </row>
    <row r="728">
      <c r="A728" s="4"/>
      <c r="B728" s="4"/>
      <c r="C728" s="7" t="str">
        <f t="shared" si="1"/>
        <v/>
      </c>
      <c r="D728" s="4" t="str">
        <f t="shared" si="9"/>
        <v/>
      </c>
      <c r="E728" s="4" t="str">
        <f t="array" ref="E728">XLOOKUP(A728,'Dados Funil'!$A:$A,'Dados Funil'!$K:$K,"")</f>
        <v/>
      </c>
      <c r="F728" s="4" t="str">
        <f t="array" ref="F728">XLOOKUP(A728,'Dados Funil'!$A:$A,'Dados Funil'!$L:$L,"")</f>
        <v/>
      </c>
      <c r="G728" s="4"/>
      <c r="H728" s="4"/>
      <c r="I728" s="7" t="str">
        <f t="shared" si="2"/>
        <v/>
      </c>
      <c r="J728" s="4" t="str">
        <f t="shared" si="10"/>
        <v/>
      </c>
      <c r="K728" s="4" t="str">
        <f t="array" ref="K728">XLOOKUP(G728,'Dados Funil'!A:A,'Dados Funil'!O:O,"")</f>
        <v/>
      </c>
      <c r="L728" s="4"/>
      <c r="M728" s="4"/>
      <c r="N728" s="7" t="str">
        <f t="shared" si="3"/>
        <v/>
      </c>
      <c r="O728" s="4" t="str">
        <f t="shared" si="11"/>
        <v/>
      </c>
      <c r="P728" s="4" t="str">
        <f t="array" ref="P728">XLOOKUP(L728,'Dados Funil'!A:A,'Dados Funil'!AM:AM,"")</f>
        <v/>
      </c>
      <c r="Q728" s="4" t="str">
        <f t="array" ref="Q728">XLOOKUP(L728,'Dados Funil'!A:A,'Dados Funil'!AN:AN,"")</f>
        <v/>
      </c>
      <c r="T728" s="7" t="str">
        <f t="shared" si="4"/>
        <v/>
      </c>
      <c r="U728" s="4" t="str">
        <f t="shared" si="12"/>
        <v/>
      </c>
      <c r="V728" s="4" t="str">
        <f t="array" ref="V728">XLOOKUP(R728,'Dados Funil'!$A:$A,'Dados Funil'!$K:$K,"")</f>
        <v/>
      </c>
      <c r="W728" s="4" t="str">
        <f t="array" ref="W728">XLOOKUP(R728,'Dados Funil'!$A:$A,'Dados Funil'!$L:$L,"")</f>
        <v/>
      </c>
      <c r="X728" s="4"/>
      <c r="Y728" s="4"/>
      <c r="Z728" s="7" t="str">
        <f t="shared" si="5"/>
        <v/>
      </c>
      <c r="AA728" s="4" t="str">
        <f t="shared" si="13"/>
        <v/>
      </c>
      <c r="AB728" s="4" t="str">
        <f t="array" ref="AB728">XLOOKUP(X728,'Dados Funil'!A:A,'Dados Funil'!O:O,"")</f>
        <v/>
      </c>
      <c r="AE728" s="7" t="str">
        <f t="shared" si="6"/>
        <v/>
      </c>
      <c r="AG728" s="4" t="str">
        <f t="array" ref="AG728">XLOOKUP(AC728,'Dados Funil'!A:A,'Dados Funil'!AM:AM,"")</f>
        <v/>
      </c>
      <c r="AH728" s="4" t="str">
        <f t="array" ref="AH728">XLOOKUP(AC728,'Dados Funil'!A:A,'Dados Funil'!AN:AN,"")</f>
        <v/>
      </c>
    </row>
    <row r="729">
      <c r="A729" s="4"/>
      <c r="B729" s="4"/>
      <c r="C729" s="7" t="str">
        <f t="shared" si="1"/>
        <v/>
      </c>
      <c r="D729" s="4" t="str">
        <f t="shared" si="9"/>
        <v/>
      </c>
      <c r="E729" s="4" t="str">
        <f t="array" ref="E729">XLOOKUP(A729,'Dados Funil'!$A:$A,'Dados Funil'!$K:$K,"")</f>
        <v/>
      </c>
      <c r="F729" s="4" t="str">
        <f t="array" ref="F729">XLOOKUP(A729,'Dados Funil'!$A:$A,'Dados Funil'!$L:$L,"")</f>
        <v/>
      </c>
      <c r="G729" s="4"/>
      <c r="H729" s="4"/>
      <c r="I729" s="7" t="str">
        <f t="shared" si="2"/>
        <v/>
      </c>
      <c r="J729" s="4" t="str">
        <f t="shared" si="10"/>
        <v/>
      </c>
      <c r="K729" s="4" t="str">
        <f t="array" ref="K729">XLOOKUP(G729,'Dados Funil'!A:A,'Dados Funil'!O:O,"")</f>
        <v/>
      </c>
      <c r="L729" s="4"/>
      <c r="M729" s="4"/>
      <c r="N729" s="7" t="str">
        <f t="shared" si="3"/>
        <v/>
      </c>
      <c r="O729" s="4" t="str">
        <f t="shared" si="11"/>
        <v/>
      </c>
      <c r="P729" s="4" t="str">
        <f t="array" ref="P729">XLOOKUP(L729,'Dados Funil'!A:A,'Dados Funil'!AM:AM,"")</f>
        <v/>
      </c>
      <c r="Q729" s="4" t="str">
        <f t="array" ref="Q729">XLOOKUP(L729,'Dados Funil'!A:A,'Dados Funil'!AN:AN,"")</f>
        <v/>
      </c>
      <c r="T729" s="7" t="str">
        <f t="shared" si="4"/>
        <v/>
      </c>
      <c r="U729" s="4" t="str">
        <f t="shared" si="12"/>
        <v/>
      </c>
      <c r="V729" s="4" t="str">
        <f t="array" ref="V729">XLOOKUP(R729,'Dados Funil'!$A:$A,'Dados Funil'!$K:$K,"")</f>
        <v/>
      </c>
      <c r="W729" s="4" t="str">
        <f t="array" ref="W729">XLOOKUP(R729,'Dados Funil'!$A:$A,'Dados Funil'!$L:$L,"")</f>
        <v/>
      </c>
      <c r="X729" s="4"/>
      <c r="Y729" s="4"/>
      <c r="Z729" s="7" t="str">
        <f t="shared" si="5"/>
        <v/>
      </c>
      <c r="AA729" s="4" t="str">
        <f t="shared" si="13"/>
        <v/>
      </c>
      <c r="AB729" s="4" t="str">
        <f t="array" ref="AB729">XLOOKUP(X729,'Dados Funil'!A:A,'Dados Funil'!O:O,"")</f>
        <v/>
      </c>
      <c r="AE729" s="7" t="str">
        <f t="shared" si="6"/>
        <v/>
      </c>
      <c r="AG729" s="4" t="str">
        <f t="array" ref="AG729">XLOOKUP(AC729,'Dados Funil'!A:A,'Dados Funil'!AM:AM,"")</f>
        <v/>
      </c>
      <c r="AH729" s="4" t="str">
        <f t="array" ref="AH729">XLOOKUP(AC729,'Dados Funil'!A:A,'Dados Funil'!AN:AN,"")</f>
        <v/>
      </c>
    </row>
    <row r="730">
      <c r="A730" s="4"/>
      <c r="B730" s="4"/>
      <c r="C730" s="7" t="str">
        <f t="shared" si="1"/>
        <v/>
      </c>
      <c r="D730" s="4" t="str">
        <f t="shared" si="9"/>
        <v/>
      </c>
      <c r="E730" s="4" t="str">
        <f t="array" ref="E730">XLOOKUP(A730,'Dados Funil'!$A:$A,'Dados Funil'!$K:$K,"")</f>
        <v/>
      </c>
      <c r="F730" s="4" t="str">
        <f t="array" ref="F730">XLOOKUP(A730,'Dados Funil'!$A:$A,'Dados Funil'!$L:$L,"")</f>
        <v/>
      </c>
      <c r="G730" s="4"/>
      <c r="H730" s="4"/>
      <c r="I730" s="7" t="str">
        <f t="shared" si="2"/>
        <v/>
      </c>
      <c r="J730" s="4" t="str">
        <f t="shared" si="10"/>
        <v/>
      </c>
      <c r="K730" s="4" t="str">
        <f t="array" ref="K730">XLOOKUP(G730,'Dados Funil'!A:A,'Dados Funil'!O:O,"")</f>
        <v/>
      </c>
      <c r="L730" s="4"/>
      <c r="M730" s="4"/>
      <c r="N730" s="7" t="str">
        <f t="shared" si="3"/>
        <v/>
      </c>
      <c r="O730" s="4" t="str">
        <f t="shared" si="11"/>
        <v/>
      </c>
      <c r="P730" s="4" t="str">
        <f t="array" ref="P730">XLOOKUP(L730,'Dados Funil'!A:A,'Dados Funil'!AM:AM,"")</f>
        <v/>
      </c>
      <c r="Q730" s="4" t="str">
        <f t="array" ref="Q730">XLOOKUP(L730,'Dados Funil'!A:A,'Dados Funil'!AN:AN,"")</f>
        <v/>
      </c>
      <c r="T730" s="7" t="str">
        <f t="shared" si="4"/>
        <v/>
      </c>
      <c r="U730" s="4" t="str">
        <f t="shared" si="12"/>
        <v/>
      </c>
      <c r="V730" s="4" t="str">
        <f t="array" ref="V730">XLOOKUP(R730,'Dados Funil'!$A:$A,'Dados Funil'!$K:$K,"")</f>
        <v/>
      </c>
      <c r="W730" s="4" t="str">
        <f t="array" ref="W730">XLOOKUP(R730,'Dados Funil'!$A:$A,'Dados Funil'!$L:$L,"")</f>
        <v/>
      </c>
      <c r="X730" s="4"/>
      <c r="Y730" s="4"/>
      <c r="Z730" s="7" t="str">
        <f t="shared" si="5"/>
        <v/>
      </c>
      <c r="AA730" s="4" t="str">
        <f t="shared" si="13"/>
        <v/>
      </c>
      <c r="AB730" s="4" t="str">
        <f t="array" ref="AB730">XLOOKUP(X730,'Dados Funil'!A:A,'Dados Funil'!O:O,"")</f>
        <v/>
      </c>
      <c r="AE730" s="7" t="str">
        <f t="shared" si="6"/>
        <v/>
      </c>
      <c r="AG730" s="4" t="str">
        <f t="array" ref="AG730">XLOOKUP(AC730,'Dados Funil'!A:A,'Dados Funil'!AM:AM,"")</f>
        <v/>
      </c>
      <c r="AH730" s="4" t="str">
        <f t="array" ref="AH730">XLOOKUP(AC730,'Dados Funil'!A:A,'Dados Funil'!AN:AN,"")</f>
        <v/>
      </c>
    </row>
    <row r="731">
      <c r="A731" s="4"/>
      <c r="B731" s="4"/>
      <c r="C731" s="7" t="str">
        <f t="shared" si="1"/>
        <v/>
      </c>
      <c r="D731" s="4" t="str">
        <f t="shared" si="9"/>
        <v/>
      </c>
      <c r="E731" s="4" t="str">
        <f t="array" ref="E731">XLOOKUP(A731,'Dados Funil'!$A:$A,'Dados Funil'!$K:$K,"")</f>
        <v/>
      </c>
      <c r="F731" s="4" t="str">
        <f t="array" ref="F731">XLOOKUP(A731,'Dados Funil'!$A:$A,'Dados Funil'!$L:$L,"")</f>
        <v/>
      </c>
      <c r="G731" s="4"/>
      <c r="H731" s="4"/>
      <c r="I731" s="7" t="str">
        <f t="shared" si="2"/>
        <v/>
      </c>
      <c r="J731" s="4" t="str">
        <f t="shared" si="10"/>
        <v/>
      </c>
      <c r="K731" s="4" t="str">
        <f t="array" ref="K731">XLOOKUP(G731,'Dados Funil'!A:A,'Dados Funil'!O:O,"")</f>
        <v/>
      </c>
      <c r="L731" s="4"/>
      <c r="M731" s="4"/>
      <c r="N731" s="7" t="str">
        <f t="shared" si="3"/>
        <v/>
      </c>
      <c r="O731" s="4" t="str">
        <f t="shared" si="11"/>
        <v/>
      </c>
      <c r="P731" s="4" t="str">
        <f t="array" ref="P731">XLOOKUP(L731,'Dados Funil'!A:A,'Dados Funil'!AM:AM,"")</f>
        <v/>
      </c>
      <c r="Q731" s="4" t="str">
        <f t="array" ref="Q731">XLOOKUP(L731,'Dados Funil'!A:A,'Dados Funil'!AN:AN,"")</f>
        <v/>
      </c>
      <c r="T731" s="7" t="str">
        <f t="shared" si="4"/>
        <v/>
      </c>
      <c r="U731" s="4" t="str">
        <f t="shared" si="12"/>
        <v/>
      </c>
      <c r="V731" s="4" t="str">
        <f t="array" ref="V731">XLOOKUP(R731,'Dados Funil'!$A:$A,'Dados Funil'!$K:$K,"")</f>
        <v/>
      </c>
      <c r="W731" s="4" t="str">
        <f t="array" ref="W731">XLOOKUP(R731,'Dados Funil'!$A:$A,'Dados Funil'!$L:$L,"")</f>
        <v/>
      </c>
      <c r="X731" s="4"/>
      <c r="Y731" s="4"/>
      <c r="Z731" s="7" t="str">
        <f t="shared" si="5"/>
        <v/>
      </c>
      <c r="AA731" s="4" t="str">
        <f t="shared" si="13"/>
        <v/>
      </c>
      <c r="AB731" s="4" t="str">
        <f t="array" ref="AB731">XLOOKUP(X731,'Dados Funil'!A:A,'Dados Funil'!O:O,"")</f>
        <v/>
      </c>
      <c r="AE731" s="7" t="str">
        <f t="shared" si="6"/>
        <v/>
      </c>
      <c r="AG731" s="4" t="str">
        <f t="array" ref="AG731">XLOOKUP(AC731,'Dados Funil'!A:A,'Dados Funil'!AM:AM,"")</f>
        <v/>
      </c>
      <c r="AH731" s="4" t="str">
        <f t="array" ref="AH731">XLOOKUP(AC731,'Dados Funil'!A:A,'Dados Funil'!AN:AN,"")</f>
        <v/>
      </c>
    </row>
    <row r="732">
      <c r="A732" s="4"/>
      <c r="B732" s="4"/>
      <c r="C732" s="7" t="str">
        <f t="shared" si="1"/>
        <v/>
      </c>
      <c r="D732" s="4" t="str">
        <f t="shared" si="9"/>
        <v/>
      </c>
      <c r="E732" s="4" t="str">
        <f t="array" ref="E732">XLOOKUP(A732,'Dados Funil'!$A:$A,'Dados Funil'!$K:$K,"")</f>
        <v/>
      </c>
      <c r="F732" s="4" t="str">
        <f t="array" ref="F732">XLOOKUP(A732,'Dados Funil'!$A:$A,'Dados Funil'!$L:$L,"")</f>
        <v/>
      </c>
      <c r="G732" s="4"/>
      <c r="H732" s="4"/>
      <c r="I732" s="7" t="str">
        <f t="shared" si="2"/>
        <v/>
      </c>
      <c r="J732" s="4" t="str">
        <f t="shared" si="10"/>
        <v/>
      </c>
      <c r="K732" s="4" t="str">
        <f t="array" ref="K732">XLOOKUP(G732,'Dados Funil'!A:A,'Dados Funil'!O:O,"")</f>
        <v/>
      </c>
      <c r="L732" s="4"/>
      <c r="M732" s="4"/>
      <c r="N732" s="7" t="str">
        <f t="shared" si="3"/>
        <v/>
      </c>
      <c r="O732" s="4" t="str">
        <f t="shared" si="11"/>
        <v/>
      </c>
      <c r="P732" s="4" t="str">
        <f t="array" ref="P732">XLOOKUP(L732,'Dados Funil'!A:A,'Dados Funil'!AM:AM,"")</f>
        <v/>
      </c>
      <c r="Q732" s="4" t="str">
        <f t="array" ref="Q732">XLOOKUP(L732,'Dados Funil'!A:A,'Dados Funil'!AN:AN,"")</f>
        <v/>
      </c>
      <c r="T732" s="7" t="str">
        <f t="shared" si="4"/>
        <v/>
      </c>
      <c r="U732" s="4" t="str">
        <f t="shared" si="12"/>
        <v/>
      </c>
      <c r="V732" s="4" t="str">
        <f t="array" ref="V732">XLOOKUP(R732,'Dados Funil'!$A:$A,'Dados Funil'!$K:$K,"")</f>
        <v/>
      </c>
      <c r="W732" s="4" t="str">
        <f t="array" ref="W732">XLOOKUP(R732,'Dados Funil'!$A:$A,'Dados Funil'!$L:$L,"")</f>
        <v/>
      </c>
      <c r="X732" s="4"/>
      <c r="Y732" s="4"/>
      <c r="Z732" s="7" t="str">
        <f t="shared" si="5"/>
        <v/>
      </c>
      <c r="AA732" s="4" t="str">
        <f t="shared" si="13"/>
        <v/>
      </c>
      <c r="AB732" s="4" t="str">
        <f t="array" ref="AB732">XLOOKUP(X732,'Dados Funil'!A:A,'Dados Funil'!O:O,"")</f>
        <v/>
      </c>
      <c r="AE732" s="7" t="str">
        <f t="shared" si="6"/>
        <v/>
      </c>
      <c r="AG732" s="4" t="str">
        <f t="array" ref="AG732">XLOOKUP(AC732,'Dados Funil'!A:A,'Dados Funil'!AM:AM,"")</f>
        <v/>
      </c>
      <c r="AH732" s="4" t="str">
        <f t="array" ref="AH732">XLOOKUP(AC732,'Dados Funil'!A:A,'Dados Funil'!AN:AN,"")</f>
        <v/>
      </c>
    </row>
    <row r="733">
      <c r="A733" s="4"/>
      <c r="B733" s="4"/>
      <c r="C733" s="7" t="str">
        <f t="shared" si="1"/>
        <v/>
      </c>
      <c r="D733" s="4" t="str">
        <f t="shared" si="9"/>
        <v/>
      </c>
      <c r="E733" s="4" t="str">
        <f t="array" ref="E733">XLOOKUP(A733,'Dados Funil'!$A:$A,'Dados Funil'!$K:$K,"")</f>
        <v/>
      </c>
      <c r="F733" s="4" t="str">
        <f t="array" ref="F733">XLOOKUP(A733,'Dados Funil'!$A:$A,'Dados Funil'!$L:$L,"")</f>
        <v/>
      </c>
      <c r="G733" s="4"/>
      <c r="H733" s="4"/>
      <c r="I733" s="7" t="str">
        <f t="shared" si="2"/>
        <v/>
      </c>
      <c r="J733" s="4" t="str">
        <f t="shared" si="10"/>
        <v/>
      </c>
      <c r="K733" s="4" t="str">
        <f t="array" ref="K733">XLOOKUP(G733,'Dados Funil'!A:A,'Dados Funil'!O:O,"")</f>
        <v/>
      </c>
      <c r="L733" s="4"/>
      <c r="M733" s="4"/>
      <c r="N733" s="7" t="str">
        <f t="shared" si="3"/>
        <v/>
      </c>
      <c r="O733" s="4" t="str">
        <f t="shared" si="11"/>
        <v/>
      </c>
      <c r="P733" s="4" t="str">
        <f t="array" ref="P733">XLOOKUP(L733,'Dados Funil'!A:A,'Dados Funil'!AM:AM,"")</f>
        <v/>
      </c>
      <c r="Q733" s="4" t="str">
        <f t="array" ref="Q733">XLOOKUP(L733,'Dados Funil'!A:A,'Dados Funil'!AN:AN,"")</f>
        <v/>
      </c>
      <c r="T733" s="7" t="str">
        <f t="shared" si="4"/>
        <v/>
      </c>
      <c r="U733" s="4" t="str">
        <f t="shared" si="12"/>
        <v/>
      </c>
      <c r="V733" s="4" t="str">
        <f t="array" ref="V733">XLOOKUP(R733,'Dados Funil'!$A:$A,'Dados Funil'!$K:$K,"")</f>
        <v/>
      </c>
      <c r="W733" s="4" t="str">
        <f t="array" ref="W733">XLOOKUP(R733,'Dados Funil'!$A:$A,'Dados Funil'!$L:$L,"")</f>
        <v/>
      </c>
      <c r="X733" s="4"/>
      <c r="Y733" s="4"/>
      <c r="Z733" s="7" t="str">
        <f t="shared" si="5"/>
        <v/>
      </c>
      <c r="AA733" s="4" t="str">
        <f t="shared" si="13"/>
        <v/>
      </c>
      <c r="AB733" s="4" t="str">
        <f t="array" ref="AB733">XLOOKUP(X733,'Dados Funil'!A:A,'Dados Funil'!O:O,"")</f>
        <v/>
      </c>
      <c r="AE733" s="7" t="str">
        <f t="shared" si="6"/>
        <v/>
      </c>
      <c r="AG733" s="4" t="str">
        <f t="array" ref="AG733">XLOOKUP(AC733,'Dados Funil'!A:A,'Dados Funil'!AM:AM,"")</f>
        <v/>
      </c>
      <c r="AH733" s="4" t="str">
        <f t="array" ref="AH733">XLOOKUP(AC733,'Dados Funil'!A:A,'Dados Funil'!AN:AN,"")</f>
        <v/>
      </c>
    </row>
    <row r="734">
      <c r="A734" s="4"/>
      <c r="B734" s="4"/>
      <c r="C734" s="7" t="str">
        <f t="shared" si="1"/>
        <v/>
      </c>
      <c r="D734" s="4" t="str">
        <f t="shared" si="9"/>
        <v/>
      </c>
      <c r="E734" s="4" t="str">
        <f t="array" ref="E734">XLOOKUP(A734,'Dados Funil'!$A:$A,'Dados Funil'!$K:$K,"")</f>
        <v/>
      </c>
      <c r="F734" s="4" t="str">
        <f t="array" ref="F734">XLOOKUP(A734,'Dados Funil'!$A:$A,'Dados Funil'!$L:$L,"")</f>
        <v/>
      </c>
      <c r="G734" s="4"/>
      <c r="H734" s="4"/>
      <c r="I734" s="7" t="str">
        <f t="shared" si="2"/>
        <v/>
      </c>
      <c r="J734" s="4" t="str">
        <f t="shared" si="10"/>
        <v/>
      </c>
      <c r="K734" s="4" t="str">
        <f t="array" ref="K734">XLOOKUP(G734,'Dados Funil'!A:A,'Dados Funil'!O:O,"")</f>
        <v/>
      </c>
      <c r="L734" s="4"/>
      <c r="M734" s="4"/>
      <c r="N734" s="7" t="str">
        <f t="shared" si="3"/>
        <v/>
      </c>
      <c r="O734" s="4" t="str">
        <f t="shared" si="11"/>
        <v/>
      </c>
      <c r="P734" s="4" t="str">
        <f t="array" ref="P734">XLOOKUP(L734,'Dados Funil'!A:A,'Dados Funil'!AM:AM,"")</f>
        <v/>
      </c>
      <c r="Q734" s="4" t="str">
        <f t="array" ref="Q734">XLOOKUP(L734,'Dados Funil'!A:A,'Dados Funil'!AN:AN,"")</f>
        <v/>
      </c>
      <c r="T734" s="7" t="str">
        <f t="shared" si="4"/>
        <v/>
      </c>
      <c r="U734" s="4" t="str">
        <f t="shared" si="12"/>
        <v/>
      </c>
      <c r="V734" s="4" t="str">
        <f t="array" ref="V734">XLOOKUP(R734,'Dados Funil'!$A:$A,'Dados Funil'!$K:$K,"")</f>
        <v/>
      </c>
      <c r="W734" s="4" t="str">
        <f t="array" ref="W734">XLOOKUP(R734,'Dados Funil'!$A:$A,'Dados Funil'!$L:$L,"")</f>
        <v/>
      </c>
      <c r="X734" s="4"/>
      <c r="Y734" s="4"/>
      <c r="Z734" s="7" t="str">
        <f t="shared" si="5"/>
        <v/>
      </c>
      <c r="AA734" s="4" t="str">
        <f t="shared" si="13"/>
        <v/>
      </c>
      <c r="AB734" s="4" t="str">
        <f t="array" ref="AB734">XLOOKUP(X734,'Dados Funil'!A:A,'Dados Funil'!O:O,"")</f>
        <v/>
      </c>
      <c r="AE734" s="7" t="str">
        <f t="shared" si="6"/>
        <v/>
      </c>
      <c r="AG734" s="4" t="str">
        <f t="array" ref="AG734">XLOOKUP(AC734,'Dados Funil'!A:A,'Dados Funil'!AM:AM,"")</f>
        <v/>
      </c>
      <c r="AH734" s="4" t="str">
        <f t="array" ref="AH734">XLOOKUP(AC734,'Dados Funil'!A:A,'Dados Funil'!AN:AN,"")</f>
        <v/>
      </c>
    </row>
    <row r="735">
      <c r="A735" s="4"/>
      <c r="B735" s="4"/>
      <c r="C735" s="7" t="str">
        <f t="shared" si="1"/>
        <v/>
      </c>
      <c r="D735" s="4" t="str">
        <f t="shared" si="9"/>
        <v/>
      </c>
      <c r="E735" s="4" t="str">
        <f t="array" ref="E735">XLOOKUP(A735,'Dados Funil'!$A:$A,'Dados Funil'!$K:$K,"")</f>
        <v/>
      </c>
      <c r="F735" s="4" t="str">
        <f t="array" ref="F735">XLOOKUP(A735,'Dados Funil'!$A:$A,'Dados Funil'!$L:$L,"")</f>
        <v/>
      </c>
      <c r="G735" s="4"/>
      <c r="H735" s="4"/>
      <c r="I735" s="7" t="str">
        <f t="shared" si="2"/>
        <v/>
      </c>
      <c r="J735" s="4" t="str">
        <f t="shared" si="10"/>
        <v/>
      </c>
      <c r="K735" s="4" t="str">
        <f t="array" ref="K735">XLOOKUP(G735,'Dados Funil'!A:A,'Dados Funil'!O:O,"")</f>
        <v/>
      </c>
      <c r="L735" s="4"/>
      <c r="M735" s="4"/>
      <c r="N735" s="7" t="str">
        <f t="shared" si="3"/>
        <v/>
      </c>
      <c r="O735" s="4" t="str">
        <f t="shared" si="11"/>
        <v/>
      </c>
      <c r="P735" s="4" t="str">
        <f t="array" ref="P735">XLOOKUP(L735,'Dados Funil'!A:A,'Dados Funil'!AM:AM,"")</f>
        <v/>
      </c>
      <c r="Q735" s="4" t="str">
        <f t="array" ref="Q735">XLOOKUP(L735,'Dados Funil'!A:A,'Dados Funil'!AN:AN,"")</f>
        <v/>
      </c>
      <c r="T735" s="7" t="str">
        <f t="shared" si="4"/>
        <v/>
      </c>
      <c r="U735" s="4" t="str">
        <f t="shared" si="12"/>
        <v/>
      </c>
      <c r="V735" s="4" t="str">
        <f t="array" ref="V735">XLOOKUP(R735,'Dados Funil'!$A:$A,'Dados Funil'!$K:$K,"")</f>
        <v/>
      </c>
      <c r="W735" s="4" t="str">
        <f t="array" ref="W735">XLOOKUP(R735,'Dados Funil'!$A:$A,'Dados Funil'!$L:$L,"")</f>
        <v/>
      </c>
      <c r="X735" s="4"/>
      <c r="Y735" s="4"/>
      <c r="Z735" s="7" t="str">
        <f t="shared" si="5"/>
        <v/>
      </c>
      <c r="AA735" s="4" t="str">
        <f t="shared" si="13"/>
        <v/>
      </c>
      <c r="AB735" s="4" t="str">
        <f t="array" ref="AB735">XLOOKUP(X735,'Dados Funil'!A:A,'Dados Funil'!O:O,"")</f>
        <v/>
      </c>
      <c r="AE735" s="7" t="str">
        <f t="shared" si="6"/>
        <v/>
      </c>
      <c r="AG735" s="4" t="str">
        <f t="array" ref="AG735">XLOOKUP(AC735,'Dados Funil'!A:A,'Dados Funil'!AM:AM,"")</f>
        <v/>
      </c>
      <c r="AH735" s="4" t="str">
        <f t="array" ref="AH735">XLOOKUP(AC735,'Dados Funil'!A:A,'Dados Funil'!AN:AN,"")</f>
        <v/>
      </c>
    </row>
    <row r="736">
      <c r="A736" s="4"/>
      <c r="B736" s="4"/>
      <c r="C736" s="7" t="str">
        <f t="shared" si="1"/>
        <v/>
      </c>
      <c r="D736" s="4" t="str">
        <f t="shared" si="9"/>
        <v/>
      </c>
      <c r="E736" s="4" t="str">
        <f t="array" ref="E736">XLOOKUP(A736,'Dados Funil'!$A:$A,'Dados Funil'!$K:$K,"")</f>
        <v/>
      </c>
      <c r="F736" s="4" t="str">
        <f t="array" ref="F736">XLOOKUP(A736,'Dados Funil'!$A:$A,'Dados Funil'!$L:$L,"")</f>
        <v/>
      </c>
      <c r="G736" s="4"/>
      <c r="H736" s="4"/>
      <c r="I736" s="7" t="str">
        <f t="shared" si="2"/>
        <v/>
      </c>
      <c r="J736" s="4" t="str">
        <f t="shared" si="10"/>
        <v/>
      </c>
      <c r="K736" s="4" t="str">
        <f t="array" ref="K736">XLOOKUP(G736,'Dados Funil'!A:A,'Dados Funil'!O:O,"")</f>
        <v/>
      </c>
      <c r="L736" s="4"/>
      <c r="M736" s="4"/>
      <c r="N736" s="7" t="str">
        <f t="shared" si="3"/>
        <v/>
      </c>
      <c r="O736" s="4" t="str">
        <f t="shared" si="11"/>
        <v/>
      </c>
      <c r="P736" s="4" t="str">
        <f t="array" ref="P736">XLOOKUP(L736,'Dados Funil'!A:A,'Dados Funil'!AM:AM,"")</f>
        <v/>
      </c>
      <c r="Q736" s="4" t="str">
        <f t="array" ref="Q736">XLOOKUP(L736,'Dados Funil'!A:A,'Dados Funil'!AN:AN,"")</f>
        <v/>
      </c>
      <c r="T736" s="7" t="str">
        <f t="shared" si="4"/>
        <v/>
      </c>
      <c r="U736" s="4" t="str">
        <f t="shared" si="12"/>
        <v/>
      </c>
      <c r="V736" s="4" t="str">
        <f t="array" ref="V736">XLOOKUP(R736,'Dados Funil'!$A:$A,'Dados Funil'!$K:$K,"")</f>
        <v/>
      </c>
      <c r="W736" s="4" t="str">
        <f t="array" ref="W736">XLOOKUP(R736,'Dados Funil'!$A:$A,'Dados Funil'!$L:$L,"")</f>
        <v/>
      </c>
      <c r="X736" s="4"/>
      <c r="Y736" s="4"/>
      <c r="Z736" s="7" t="str">
        <f t="shared" si="5"/>
        <v/>
      </c>
      <c r="AA736" s="4" t="str">
        <f t="shared" si="13"/>
        <v/>
      </c>
      <c r="AB736" s="4" t="str">
        <f t="array" ref="AB736">XLOOKUP(X736,'Dados Funil'!A:A,'Dados Funil'!O:O,"")</f>
        <v/>
      </c>
      <c r="AE736" s="7" t="str">
        <f t="shared" si="6"/>
        <v/>
      </c>
      <c r="AG736" s="4" t="str">
        <f t="array" ref="AG736">XLOOKUP(AC736,'Dados Funil'!A:A,'Dados Funil'!AM:AM,"")</f>
        <v/>
      </c>
      <c r="AH736" s="4" t="str">
        <f t="array" ref="AH736">XLOOKUP(AC736,'Dados Funil'!A:A,'Dados Funil'!AN:AN,"")</f>
        <v/>
      </c>
    </row>
    <row r="737">
      <c r="A737" s="4"/>
      <c r="B737" s="4"/>
      <c r="C737" s="7" t="str">
        <f t="shared" si="1"/>
        <v/>
      </c>
      <c r="D737" s="4" t="str">
        <f t="shared" si="9"/>
        <v/>
      </c>
      <c r="E737" s="4" t="str">
        <f t="array" ref="E737">XLOOKUP(A737,'Dados Funil'!$A:$A,'Dados Funil'!$K:$K,"")</f>
        <v/>
      </c>
      <c r="F737" s="4" t="str">
        <f t="array" ref="F737">XLOOKUP(A737,'Dados Funil'!$A:$A,'Dados Funil'!$L:$L,"")</f>
        <v/>
      </c>
      <c r="G737" s="4"/>
      <c r="H737" s="4"/>
      <c r="I737" s="7" t="str">
        <f t="shared" si="2"/>
        <v/>
      </c>
      <c r="J737" s="4" t="str">
        <f t="shared" si="10"/>
        <v/>
      </c>
      <c r="K737" s="4" t="str">
        <f t="array" ref="K737">XLOOKUP(G737,'Dados Funil'!A:A,'Dados Funil'!O:O,"")</f>
        <v/>
      </c>
      <c r="L737" s="4"/>
      <c r="M737" s="4"/>
      <c r="N737" s="7" t="str">
        <f t="shared" si="3"/>
        <v/>
      </c>
      <c r="O737" s="4" t="str">
        <f t="shared" si="11"/>
        <v/>
      </c>
      <c r="P737" s="4" t="str">
        <f t="array" ref="P737">XLOOKUP(L737,'Dados Funil'!A:A,'Dados Funil'!AM:AM,"")</f>
        <v/>
      </c>
      <c r="Q737" s="4" t="str">
        <f t="array" ref="Q737">XLOOKUP(L737,'Dados Funil'!A:A,'Dados Funil'!AN:AN,"")</f>
        <v/>
      </c>
      <c r="T737" s="7" t="str">
        <f t="shared" si="4"/>
        <v/>
      </c>
      <c r="U737" s="4" t="str">
        <f t="shared" si="12"/>
        <v/>
      </c>
      <c r="V737" s="4" t="str">
        <f t="array" ref="V737">XLOOKUP(R737,'Dados Funil'!$A:$A,'Dados Funil'!$K:$K,"")</f>
        <v/>
      </c>
      <c r="W737" s="4" t="str">
        <f t="array" ref="W737">XLOOKUP(R737,'Dados Funil'!$A:$A,'Dados Funil'!$L:$L,"")</f>
        <v/>
      </c>
      <c r="X737" s="4"/>
      <c r="Y737" s="4"/>
      <c r="Z737" s="7" t="str">
        <f t="shared" si="5"/>
        <v/>
      </c>
      <c r="AA737" s="4" t="str">
        <f t="shared" si="13"/>
        <v/>
      </c>
      <c r="AB737" s="4" t="str">
        <f t="array" ref="AB737">XLOOKUP(X737,'Dados Funil'!A:A,'Dados Funil'!O:O,"")</f>
        <v/>
      </c>
      <c r="AE737" s="7" t="str">
        <f t="shared" si="6"/>
        <v/>
      </c>
      <c r="AG737" s="4" t="str">
        <f t="array" ref="AG737">XLOOKUP(AC737,'Dados Funil'!A:A,'Dados Funil'!AM:AM,"")</f>
        <v/>
      </c>
      <c r="AH737" s="4" t="str">
        <f t="array" ref="AH737">XLOOKUP(AC737,'Dados Funil'!A:A,'Dados Funil'!AN:AN,"")</f>
        <v/>
      </c>
    </row>
    <row r="738">
      <c r="A738" s="4"/>
      <c r="B738" s="4"/>
      <c r="C738" s="7" t="str">
        <f t="shared" si="1"/>
        <v/>
      </c>
      <c r="D738" s="4" t="str">
        <f t="shared" si="9"/>
        <v/>
      </c>
      <c r="E738" s="4" t="str">
        <f t="array" ref="E738">XLOOKUP(A738,'Dados Funil'!$A:$A,'Dados Funil'!$K:$K,"")</f>
        <v/>
      </c>
      <c r="F738" s="4" t="str">
        <f t="array" ref="F738">XLOOKUP(A738,'Dados Funil'!$A:$A,'Dados Funil'!$L:$L,"")</f>
        <v/>
      </c>
      <c r="G738" s="4"/>
      <c r="H738" s="4"/>
      <c r="I738" s="7" t="str">
        <f t="shared" si="2"/>
        <v/>
      </c>
      <c r="J738" s="4" t="str">
        <f t="shared" si="10"/>
        <v/>
      </c>
      <c r="K738" s="4" t="str">
        <f t="array" ref="K738">XLOOKUP(G738,'Dados Funil'!A:A,'Dados Funil'!O:O,"")</f>
        <v/>
      </c>
      <c r="L738" s="4"/>
      <c r="M738" s="4"/>
      <c r="N738" s="7" t="str">
        <f t="shared" si="3"/>
        <v/>
      </c>
      <c r="O738" s="4" t="str">
        <f t="shared" si="11"/>
        <v/>
      </c>
      <c r="P738" s="4" t="str">
        <f t="array" ref="P738">XLOOKUP(L738,'Dados Funil'!A:A,'Dados Funil'!AM:AM,"")</f>
        <v/>
      </c>
      <c r="Q738" s="4" t="str">
        <f t="array" ref="Q738">XLOOKUP(L738,'Dados Funil'!A:A,'Dados Funil'!AN:AN,"")</f>
        <v/>
      </c>
      <c r="T738" s="7" t="str">
        <f t="shared" si="4"/>
        <v/>
      </c>
      <c r="U738" s="4" t="str">
        <f t="shared" si="12"/>
        <v/>
      </c>
      <c r="V738" s="4" t="str">
        <f t="array" ref="V738">XLOOKUP(R738,'Dados Funil'!$A:$A,'Dados Funil'!$K:$K,"")</f>
        <v/>
      </c>
      <c r="W738" s="4" t="str">
        <f t="array" ref="W738">XLOOKUP(R738,'Dados Funil'!$A:$A,'Dados Funil'!$L:$L,"")</f>
        <v/>
      </c>
      <c r="X738" s="4"/>
      <c r="Y738" s="4"/>
      <c r="Z738" s="7" t="str">
        <f t="shared" si="5"/>
        <v/>
      </c>
      <c r="AA738" s="4" t="str">
        <f t="shared" si="13"/>
        <v/>
      </c>
      <c r="AB738" s="4" t="str">
        <f t="array" ref="AB738">XLOOKUP(X738,'Dados Funil'!A:A,'Dados Funil'!O:O,"")</f>
        <v/>
      </c>
      <c r="AE738" s="7" t="str">
        <f t="shared" si="6"/>
        <v/>
      </c>
      <c r="AG738" s="4" t="str">
        <f t="array" ref="AG738">XLOOKUP(AC738,'Dados Funil'!A:A,'Dados Funil'!AM:AM,"")</f>
        <v/>
      </c>
      <c r="AH738" s="4" t="str">
        <f t="array" ref="AH738">XLOOKUP(AC738,'Dados Funil'!A:A,'Dados Funil'!AN:AN,"")</f>
        <v/>
      </c>
    </row>
    <row r="739">
      <c r="A739" s="4"/>
      <c r="B739" s="4"/>
      <c r="C739" s="7" t="str">
        <f t="shared" si="1"/>
        <v/>
      </c>
      <c r="D739" s="4" t="str">
        <f t="shared" si="9"/>
        <v/>
      </c>
      <c r="E739" s="4" t="str">
        <f t="array" ref="E739">XLOOKUP(A739,'Dados Funil'!$A:$A,'Dados Funil'!$K:$K,"")</f>
        <v/>
      </c>
      <c r="F739" s="4" t="str">
        <f t="array" ref="F739">XLOOKUP(A739,'Dados Funil'!$A:$A,'Dados Funil'!$L:$L,"")</f>
        <v/>
      </c>
      <c r="G739" s="4"/>
      <c r="H739" s="4"/>
      <c r="I739" s="7" t="str">
        <f t="shared" si="2"/>
        <v/>
      </c>
      <c r="J739" s="4" t="str">
        <f t="shared" si="10"/>
        <v/>
      </c>
      <c r="K739" s="4" t="str">
        <f t="array" ref="K739">XLOOKUP(G739,'Dados Funil'!A:A,'Dados Funil'!O:O,"")</f>
        <v/>
      </c>
      <c r="L739" s="4"/>
      <c r="M739" s="4"/>
      <c r="N739" s="7" t="str">
        <f t="shared" si="3"/>
        <v/>
      </c>
      <c r="O739" s="4" t="str">
        <f t="shared" si="11"/>
        <v/>
      </c>
      <c r="P739" s="4" t="str">
        <f t="array" ref="P739">XLOOKUP(L739,'Dados Funil'!A:A,'Dados Funil'!AM:AM,"")</f>
        <v/>
      </c>
      <c r="Q739" s="4" t="str">
        <f t="array" ref="Q739">XLOOKUP(L739,'Dados Funil'!A:A,'Dados Funil'!AN:AN,"")</f>
        <v/>
      </c>
      <c r="T739" s="7" t="str">
        <f t="shared" si="4"/>
        <v/>
      </c>
      <c r="U739" s="4" t="str">
        <f t="shared" si="12"/>
        <v/>
      </c>
      <c r="V739" s="4" t="str">
        <f t="array" ref="V739">XLOOKUP(R739,'Dados Funil'!$A:$A,'Dados Funil'!$K:$K,"")</f>
        <v/>
      </c>
      <c r="W739" s="4" t="str">
        <f t="array" ref="W739">XLOOKUP(R739,'Dados Funil'!$A:$A,'Dados Funil'!$L:$L,"")</f>
        <v/>
      </c>
      <c r="X739" s="4"/>
      <c r="Y739" s="4"/>
      <c r="Z739" s="7" t="str">
        <f t="shared" si="5"/>
        <v/>
      </c>
      <c r="AA739" s="4" t="str">
        <f t="shared" si="13"/>
        <v/>
      </c>
      <c r="AB739" s="4" t="str">
        <f t="array" ref="AB739">XLOOKUP(X739,'Dados Funil'!A:A,'Dados Funil'!O:O,"")</f>
        <v/>
      </c>
      <c r="AE739" s="7" t="str">
        <f t="shared" si="6"/>
        <v/>
      </c>
      <c r="AG739" s="4" t="str">
        <f t="array" ref="AG739">XLOOKUP(AC739,'Dados Funil'!A:A,'Dados Funil'!AM:AM,"")</f>
        <v/>
      </c>
      <c r="AH739" s="4" t="str">
        <f t="array" ref="AH739">XLOOKUP(AC739,'Dados Funil'!A:A,'Dados Funil'!AN:AN,"")</f>
        <v/>
      </c>
    </row>
    <row r="740">
      <c r="A740" s="4"/>
      <c r="B740" s="4"/>
      <c r="C740" s="7" t="str">
        <f t="shared" si="1"/>
        <v/>
      </c>
      <c r="D740" s="4" t="str">
        <f t="shared" si="9"/>
        <v/>
      </c>
      <c r="E740" s="4" t="str">
        <f t="array" ref="E740">XLOOKUP(A740,'Dados Funil'!$A:$A,'Dados Funil'!$K:$K,"")</f>
        <v/>
      </c>
      <c r="F740" s="4" t="str">
        <f t="array" ref="F740">XLOOKUP(A740,'Dados Funil'!$A:$A,'Dados Funil'!$L:$L,"")</f>
        <v/>
      </c>
      <c r="G740" s="4"/>
      <c r="H740" s="4"/>
      <c r="I740" s="7" t="str">
        <f t="shared" si="2"/>
        <v/>
      </c>
      <c r="J740" s="4" t="str">
        <f t="shared" si="10"/>
        <v/>
      </c>
      <c r="K740" s="4" t="str">
        <f t="array" ref="K740">XLOOKUP(G740,'Dados Funil'!A:A,'Dados Funil'!O:O,"")</f>
        <v/>
      </c>
      <c r="L740" s="4"/>
      <c r="M740" s="4"/>
      <c r="N740" s="7" t="str">
        <f t="shared" si="3"/>
        <v/>
      </c>
      <c r="O740" s="4" t="str">
        <f t="shared" si="11"/>
        <v/>
      </c>
      <c r="P740" s="4" t="str">
        <f t="array" ref="P740">XLOOKUP(L740,'Dados Funil'!A:A,'Dados Funil'!AM:AM,"")</f>
        <v/>
      </c>
      <c r="Q740" s="4" t="str">
        <f t="array" ref="Q740">XLOOKUP(L740,'Dados Funil'!A:A,'Dados Funil'!AN:AN,"")</f>
        <v/>
      </c>
      <c r="T740" s="7" t="str">
        <f t="shared" si="4"/>
        <v/>
      </c>
      <c r="U740" s="4" t="str">
        <f t="shared" si="12"/>
        <v/>
      </c>
      <c r="V740" s="4" t="str">
        <f t="array" ref="V740">XLOOKUP(R740,'Dados Funil'!$A:$A,'Dados Funil'!$K:$K,"")</f>
        <v/>
      </c>
      <c r="W740" s="4" t="str">
        <f t="array" ref="W740">XLOOKUP(R740,'Dados Funil'!$A:$A,'Dados Funil'!$L:$L,"")</f>
        <v/>
      </c>
      <c r="X740" s="4"/>
      <c r="Y740" s="4"/>
      <c r="Z740" s="7" t="str">
        <f t="shared" si="5"/>
        <v/>
      </c>
      <c r="AA740" s="4" t="str">
        <f t="shared" si="13"/>
        <v/>
      </c>
      <c r="AB740" s="4" t="str">
        <f t="array" ref="AB740">XLOOKUP(X740,'Dados Funil'!A:A,'Dados Funil'!O:O,"")</f>
        <v/>
      </c>
      <c r="AE740" s="7" t="str">
        <f t="shared" si="6"/>
        <v/>
      </c>
      <c r="AG740" s="4" t="str">
        <f t="array" ref="AG740">XLOOKUP(AC740,'Dados Funil'!A:A,'Dados Funil'!AM:AM,"")</f>
        <v/>
      </c>
      <c r="AH740" s="4" t="str">
        <f t="array" ref="AH740">XLOOKUP(AC740,'Dados Funil'!A:A,'Dados Funil'!AN:AN,"")</f>
        <v/>
      </c>
    </row>
    <row r="741">
      <c r="A741" s="4"/>
      <c r="B741" s="4"/>
      <c r="C741" s="7" t="str">
        <f t="shared" si="1"/>
        <v/>
      </c>
      <c r="D741" s="4" t="str">
        <f t="shared" si="9"/>
        <v/>
      </c>
      <c r="E741" s="4" t="str">
        <f t="array" ref="E741">XLOOKUP(A741,'Dados Funil'!$A:$A,'Dados Funil'!$K:$K,"")</f>
        <v/>
      </c>
      <c r="F741" s="4" t="str">
        <f t="array" ref="F741">XLOOKUP(A741,'Dados Funil'!$A:$A,'Dados Funil'!$L:$L,"")</f>
        <v/>
      </c>
      <c r="G741" s="4"/>
      <c r="H741" s="4"/>
      <c r="I741" s="7" t="str">
        <f t="shared" si="2"/>
        <v/>
      </c>
      <c r="J741" s="4" t="str">
        <f t="shared" si="10"/>
        <v/>
      </c>
      <c r="K741" s="4" t="str">
        <f t="array" ref="K741">XLOOKUP(G741,'Dados Funil'!A:A,'Dados Funil'!O:O,"")</f>
        <v/>
      </c>
      <c r="L741" s="4"/>
      <c r="M741" s="4"/>
      <c r="N741" s="7" t="str">
        <f t="shared" si="3"/>
        <v/>
      </c>
      <c r="O741" s="4" t="str">
        <f t="shared" si="11"/>
        <v/>
      </c>
      <c r="P741" s="4" t="str">
        <f t="array" ref="P741">XLOOKUP(L741,'Dados Funil'!A:A,'Dados Funil'!AM:AM,"")</f>
        <v/>
      </c>
      <c r="Q741" s="4" t="str">
        <f t="array" ref="Q741">XLOOKUP(L741,'Dados Funil'!A:A,'Dados Funil'!AN:AN,"")</f>
        <v/>
      </c>
      <c r="T741" s="7" t="str">
        <f t="shared" si="4"/>
        <v/>
      </c>
      <c r="U741" s="4" t="str">
        <f t="shared" si="12"/>
        <v/>
      </c>
      <c r="V741" s="4" t="str">
        <f t="array" ref="V741">XLOOKUP(R741,'Dados Funil'!$A:$A,'Dados Funil'!$K:$K,"")</f>
        <v/>
      </c>
      <c r="W741" s="4" t="str">
        <f t="array" ref="W741">XLOOKUP(R741,'Dados Funil'!$A:$A,'Dados Funil'!$L:$L,"")</f>
        <v/>
      </c>
      <c r="X741" s="4"/>
      <c r="Y741" s="4"/>
      <c r="Z741" s="7" t="str">
        <f t="shared" si="5"/>
        <v/>
      </c>
      <c r="AA741" s="4" t="str">
        <f t="shared" si="13"/>
        <v/>
      </c>
      <c r="AB741" s="4" t="str">
        <f t="array" ref="AB741">XLOOKUP(X741,'Dados Funil'!A:A,'Dados Funil'!O:O,"")</f>
        <v/>
      </c>
      <c r="AE741" s="7" t="str">
        <f t="shared" si="6"/>
        <v/>
      </c>
      <c r="AG741" s="4" t="str">
        <f t="array" ref="AG741">XLOOKUP(AC741,'Dados Funil'!A:A,'Dados Funil'!AM:AM,"")</f>
        <v/>
      </c>
      <c r="AH741" s="4" t="str">
        <f t="array" ref="AH741">XLOOKUP(AC741,'Dados Funil'!A:A,'Dados Funil'!AN:AN,"")</f>
        <v/>
      </c>
    </row>
    <row r="742">
      <c r="A742" s="4"/>
      <c r="B742" s="4"/>
      <c r="C742" s="7" t="str">
        <f t="shared" si="1"/>
        <v/>
      </c>
      <c r="D742" s="4" t="str">
        <f t="shared" si="9"/>
        <v/>
      </c>
      <c r="E742" s="4" t="str">
        <f t="array" ref="E742">XLOOKUP(A742,'Dados Funil'!$A:$A,'Dados Funil'!$K:$K,"")</f>
        <v/>
      </c>
      <c r="F742" s="4" t="str">
        <f t="array" ref="F742">XLOOKUP(A742,'Dados Funil'!$A:$A,'Dados Funil'!$L:$L,"")</f>
        <v/>
      </c>
      <c r="G742" s="4"/>
      <c r="H742" s="4"/>
      <c r="I742" s="7" t="str">
        <f t="shared" si="2"/>
        <v/>
      </c>
      <c r="J742" s="4" t="str">
        <f t="shared" si="10"/>
        <v/>
      </c>
      <c r="K742" s="4" t="str">
        <f t="array" ref="K742">XLOOKUP(G742,'Dados Funil'!A:A,'Dados Funil'!O:O,"")</f>
        <v/>
      </c>
      <c r="L742" s="4"/>
      <c r="M742" s="4"/>
      <c r="N742" s="7" t="str">
        <f t="shared" si="3"/>
        <v/>
      </c>
      <c r="O742" s="4" t="str">
        <f t="shared" si="11"/>
        <v/>
      </c>
      <c r="P742" s="4" t="str">
        <f t="array" ref="P742">XLOOKUP(L742,'Dados Funil'!A:A,'Dados Funil'!AM:AM,"")</f>
        <v/>
      </c>
      <c r="Q742" s="4" t="str">
        <f t="array" ref="Q742">XLOOKUP(L742,'Dados Funil'!A:A,'Dados Funil'!AN:AN,"")</f>
        <v/>
      </c>
      <c r="T742" s="7" t="str">
        <f t="shared" si="4"/>
        <v/>
      </c>
      <c r="U742" s="4" t="str">
        <f t="shared" si="12"/>
        <v/>
      </c>
      <c r="V742" s="4" t="str">
        <f t="array" ref="V742">XLOOKUP(R742,'Dados Funil'!$A:$A,'Dados Funil'!$K:$K,"")</f>
        <v/>
      </c>
      <c r="W742" s="4" t="str">
        <f t="array" ref="W742">XLOOKUP(R742,'Dados Funil'!$A:$A,'Dados Funil'!$L:$L,"")</f>
        <v/>
      </c>
      <c r="X742" s="4"/>
      <c r="Y742" s="4"/>
      <c r="Z742" s="7" t="str">
        <f t="shared" si="5"/>
        <v/>
      </c>
      <c r="AA742" s="4" t="str">
        <f t="shared" si="13"/>
        <v/>
      </c>
      <c r="AB742" s="4" t="str">
        <f t="array" ref="AB742">XLOOKUP(X742,'Dados Funil'!A:A,'Dados Funil'!O:O,"")</f>
        <v/>
      </c>
      <c r="AE742" s="7" t="str">
        <f t="shared" si="6"/>
        <v/>
      </c>
      <c r="AG742" s="4" t="str">
        <f t="array" ref="AG742">XLOOKUP(AC742,'Dados Funil'!A:A,'Dados Funil'!AM:AM,"")</f>
        <v/>
      </c>
      <c r="AH742" s="4" t="str">
        <f t="array" ref="AH742">XLOOKUP(AC742,'Dados Funil'!A:A,'Dados Funil'!AN:AN,"")</f>
        <v/>
      </c>
    </row>
    <row r="743">
      <c r="A743" s="4"/>
      <c r="B743" s="4"/>
      <c r="C743" s="7" t="str">
        <f t="shared" si="1"/>
        <v/>
      </c>
      <c r="D743" s="4" t="str">
        <f t="shared" si="9"/>
        <v/>
      </c>
      <c r="E743" s="4" t="str">
        <f t="array" ref="E743">XLOOKUP(A743,'Dados Funil'!$A:$A,'Dados Funil'!$K:$K,"")</f>
        <v/>
      </c>
      <c r="F743" s="4" t="str">
        <f t="array" ref="F743">XLOOKUP(A743,'Dados Funil'!$A:$A,'Dados Funil'!$L:$L,"")</f>
        <v/>
      </c>
      <c r="G743" s="4"/>
      <c r="H743" s="4"/>
      <c r="I743" s="7" t="str">
        <f t="shared" si="2"/>
        <v/>
      </c>
      <c r="J743" s="4" t="str">
        <f t="shared" si="10"/>
        <v/>
      </c>
      <c r="K743" s="4" t="str">
        <f t="array" ref="K743">XLOOKUP(G743,'Dados Funil'!A:A,'Dados Funil'!O:O,"")</f>
        <v/>
      </c>
      <c r="L743" s="4"/>
      <c r="M743" s="4"/>
      <c r="N743" s="7" t="str">
        <f t="shared" si="3"/>
        <v/>
      </c>
      <c r="O743" s="4" t="str">
        <f t="shared" si="11"/>
        <v/>
      </c>
      <c r="P743" s="4" t="str">
        <f t="array" ref="P743">XLOOKUP(L743,'Dados Funil'!A:A,'Dados Funil'!AM:AM,"")</f>
        <v/>
      </c>
      <c r="Q743" s="4" t="str">
        <f t="array" ref="Q743">XLOOKUP(L743,'Dados Funil'!A:A,'Dados Funil'!AN:AN,"")</f>
        <v/>
      </c>
      <c r="T743" s="7" t="str">
        <f t="shared" si="4"/>
        <v/>
      </c>
      <c r="U743" s="4" t="str">
        <f t="shared" si="12"/>
        <v/>
      </c>
      <c r="V743" s="4" t="str">
        <f t="array" ref="V743">XLOOKUP(R743,'Dados Funil'!$A:$A,'Dados Funil'!$K:$K,"")</f>
        <v/>
      </c>
      <c r="W743" s="4" t="str">
        <f t="array" ref="W743">XLOOKUP(R743,'Dados Funil'!$A:$A,'Dados Funil'!$L:$L,"")</f>
        <v/>
      </c>
      <c r="X743" s="4"/>
      <c r="Y743" s="4"/>
      <c r="Z743" s="7" t="str">
        <f t="shared" si="5"/>
        <v/>
      </c>
      <c r="AA743" s="4" t="str">
        <f t="shared" si="13"/>
        <v/>
      </c>
      <c r="AB743" s="4" t="str">
        <f t="array" ref="AB743">XLOOKUP(X743,'Dados Funil'!A:A,'Dados Funil'!O:O,"")</f>
        <v/>
      </c>
      <c r="AE743" s="7" t="str">
        <f t="shared" si="6"/>
        <v/>
      </c>
      <c r="AG743" s="4" t="str">
        <f t="array" ref="AG743">XLOOKUP(AC743,'Dados Funil'!A:A,'Dados Funil'!AM:AM,"")</f>
        <v/>
      </c>
      <c r="AH743" s="4" t="str">
        <f t="array" ref="AH743">XLOOKUP(AC743,'Dados Funil'!A:A,'Dados Funil'!AN:AN,"")</f>
        <v/>
      </c>
    </row>
    <row r="744">
      <c r="A744" s="4"/>
      <c r="B744" s="4"/>
      <c r="C744" s="7" t="str">
        <f t="shared" si="1"/>
        <v/>
      </c>
      <c r="D744" s="4" t="str">
        <f t="shared" si="9"/>
        <v/>
      </c>
      <c r="E744" s="4" t="str">
        <f t="array" ref="E744">XLOOKUP(A744,'Dados Funil'!$A:$A,'Dados Funil'!$K:$K,"")</f>
        <v/>
      </c>
      <c r="F744" s="4" t="str">
        <f t="array" ref="F744">XLOOKUP(A744,'Dados Funil'!$A:$A,'Dados Funil'!$L:$L,"")</f>
        <v/>
      </c>
      <c r="G744" s="4"/>
      <c r="H744" s="4"/>
      <c r="I744" s="7" t="str">
        <f t="shared" si="2"/>
        <v/>
      </c>
      <c r="J744" s="4" t="str">
        <f t="shared" si="10"/>
        <v/>
      </c>
      <c r="K744" s="4" t="str">
        <f t="array" ref="K744">XLOOKUP(G744,'Dados Funil'!A:A,'Dados Funil'!O:O,"")</f>
        <v/>
      </c>
      <c r="L744" s="4"/>
      <c r="M744" s="4"/>
      <c r="N744" s="7" t="str">
        <f t="shared" si="3"/>
        <v/>
      </c>
      <c r="O744" s="4" t="str">
        <f t="shared" si="11"/>
        <v/>
      </c>
      <c r="P744" s="4" t="str">
        <f t="array" ref="P744">XLOOKUP(L744,'Dados Funil'!A:A,'Dados Funil'!AM:AM,"")</f>
        <v/>
      </c>
      <c r="Q744" s="4" t="str">
        <f t="array" ref="Q744">XLOOKUP(L744,'Dados Funil'!A:A,'Dados Funil'!AN:AN,"")</f>
        <v/>
      </c>
      <c r="T744" s="7" t="str">
        <f t="shared" si="4"/>
        <v/>
      </c>
      <c r="U744" s="4" t="str">
        <f t="shared" si="12"/>
        <v/>
      </c>
      <c r="V744" s="4" t="str">
        <f t="array" ref="V744">XLOOKUP(R744,'Dados Funil'!$A:$A,'Dados Funil'!$K:$K,"")</f>
        <v/>
      </c>
      <c r="W744" s="4" t="str">
        <f t="array" ref="W744">XLOOKUP(R744,'Dados Funil'!$A:$A,'Dados Funil'!$L:$L,"")</f>
        <v/>
      </c>
      <c r="X744" s="4"/>
      <c r="Y744" s="4"/>
      <c r="Z744" s="7" t="str">
        <f t="shared" si="5"/>
        <v/>
      </c>
      <c r="AA744" s="4" t="str">
        <f t="shared" si="13"/>
        <v/>
      </c>
      <c r="AB744" s="4" t="str">
        <f t="array" ref="AB744">XLOOKUP(X744,'Dados Funil'!A:A,'Dados Funil'!O:O,"")</f>
        <v/>
      </c>
      <c r="AE744" s="7" t="str">
        <f t="shared" si="6"/>
        <v/>
      </c>
      <c r="AG744" s="4" t="str">
        <f t="array" ref="AG744">XLOOKUP(AC744,'Dados Funil'!A:A,'Dados Funil'!AM:AM,"")</f>
        <v/>
      </c>
      <c r="AH744" s="4" t="str">
        <f t="array" ref="AH744">XLOOKUP(AC744,'Dados Funil'!A:A,'Dados Funil'!AN:AN,"")</f>
        <v/>
      </c>
    </row>
    <row r="745">
      <c r="A745" s="4"/>
      <c r="B745" s="4"/>
      <c r="C745" s="7" t="str">
        <f t="shared" si="1"/>
        <v/>
      </c>
      <c r="D745" s="4" t="str">
        <f t="shared" si="9"/>
        <v/>
      </c>
      <c r="E745" s="4" t="str">
        <f t="array" ref="E745">XLOOKUP(A745,'Dados Funil'!$A:$A,'Dados Funil'!$K:$K,"")</f>
        <v/>
      </c>
      <c r="F745" s="4" t="str">
        <f t="array" ref="F745">XLOOKUP(A745,'Dados Funil'!$A:$A,'Dados Funil'!$L:$L,"")</f>
        <v/>
      </c>
      <c r="G745" s="4"/>
      <c r="H745" s="4"/>
      <c r="I745" s="7" t="str">
        <f t="shared" si="2"/>
        <v/>
      </c>
      <c r="J745" s="4" t="str">
        <f t="shared" si="10"/>
        <v/>
      </c>
      <c r="K745" s="4" t="str">
        <f t="array" ref="K745">XLOOKUP(G745,'Dados Funil'!A:A,'Dados Funil'!O:O,"")</f>
        <v/>
      </c>
      <c r="L745" s="4"/>
      <c r="M745" s="4"/>
      <c r="N745" s="7" t="str">
        <f t="shared" si="3"/>
        <v/>
      </c>
      <c r="O745" s="4" t="str">
        <f t="shared" si="11"/>
        <v/>
      </c>
      <c r="P745" s="4" t="str">
        <f t="array" ref="P745">XLOOKUP(L745,'Dados Funil'!A:A,'Dados Funil'!AM:AM,"")</f>
        <v/>
      </c>
      <c r="Q745" s="4" t="str">
        <f t="array" ref="Q745">XLOOKUP(L745,'Dados Funil'!A:A,'Dados Funil'!AN:AN,"")</f>
        <v/>
      </c>
      <c r="T745" s="7" t="str">
        <f t="shared" si="4"/>
        <v/>
      </c>
      <c r="U745" s="4" t="str">
        <f t="shared" si="12"/>
        <v/>
      </c>
      <c r="V745" s="4" t="str">
        <f t="array" ref="V745">XLOOKUP(R745,'Dados Funil'!$A:$A,'Dados Funil'!$K:$K,"")</f>
        <v/>
      </c>
      <c r="W745" s="4" t="str">
        <f t="array" ref="W745">XLOOKUP(R745,'Dados Funil'!$A:$A,'Dados Funil'!$L:$L,"")</f>
        <v/>
      </c>
      <c r="X745" s="4"/>
      <c r="Y745" s="4"/>
      <c r="Z745" s="7" t="str">
        <f t="shared" si="5"/>
        <v/>
      </c>
      <c r="AA745" s="4" t="str">
        <f t="shared" si="13"/>
        <v/>
      </c>
      <c r="AB745" s="4" t="str">
        <f t="array" ref="AB745">XLOOKUP(X745,'Dados Funil'!A:A,'Dados Funil'!O:O,"")</f>
        <v/>
      </c>
      <c r="AE745" s="7" t="str">
        <f t="shared" si="6"/>
        <v/>
      </c>
      <c r="AG745" s="4" t="str">
        <f t="array" ref="AG745">XLOOKUP(AC745,'Dados Funil'!A:A,'Dados Funil'!AM:AM,"")</f>
        <v/>
      </c>
      <c r="AH745" s="4" t="str">
        <f t="array" ref="AH745">XLOOKUP(AC745,'Dados Funil'!A:A,'Dados Funil'!AN:AN,"")</f>
        <v/>
      </c>
    </row>
    <row r="746">
      <c r="A746" s="4"/>
      <c r="B746" s="4"/>
      <c r="C746" s="7" t="str">
        <f t="shared" si="1"/>
        <v/>
      </c>
      <c r="D746" s="4" t="str">
        <f t="shared" si="9"/>
        <v/>
      </c>
      <c r="E746" s="4" t="str">
        <f t="array" ref="E746">XLOOKUP(A746,'Dados Funil'!$A:$A,'Dados Funil'!$K:$K,"")</f>
        <v/>
      </c>
      <c r="F746" s="4" t="str">
        <f t="array" ref="F746">XLOOKUP(A746,'Dados Funil'!$A:$A,'Dados Funil'!$L:$L,"")</f>
        <v/>
      </c>
      <c r="G746" s="4"/>
      <c r="H746" s="4"/>
      <c r="I746" s="7" t="str">
        <f t="shared" si="2"/>
        <v/>
      </c>
      <c r="J746" s="4" t="str">
        <f t="shared" si="10"/>
        <v/>
      </c>
      <c r="K746" s="4" t="str">
        <f t="array" ref="K746">XLOOKUP(G746,'Dados Funil'!A:A,'Dados Funil'!O:O,"")</f>
        <v/>
      </c>
      <c r="L746" s="4"/>
      <c r="M746" s="4"/>
      <c r="N746" s="7" t="str">
        <f t="shared" si="3"/>
        <v/>
      </c>
      <c r="O746" s="4" t="str">
        <f t="shared" si="11"/>
        <v/>
      </c>
      <c r="P746" s="4" t="str">
        <f t="array" ref="P746">XLOOKUP(L746,'Dados Funil'!A:A,'Dados Funil'!AM:AM,"")</f>
        <v/>
      </c>
      <c r="Q746" s="4" t="str">
        <f t="array" ref="Q746">XLOOKUP(L746,'Dados Funil'!A:A,'Dados Funil'!AN:AN,"")</f>
        <v/>
      </c>
      <c r="T746" s="7" t="str">
        <f t="shared" si="4"/>
        <v/>
      </c>
      <c r="U746" s="4" t="str">
        <f t="shared" si="12"/>
        <v/>
      </c>
      <c r="V746" s="4" t="str">
        <f t="array" ref="V746">XLOOKUP(R746,'Dados Funil'!$A:$A,'Dados Funil'!$K:$K,"")</f>
        <v/>
      </c>
      <c r="W746" s="4" t="str">
        <f t="array" ref="W746">XLOOKUP(R746,'Dados Funil'!$A:$A,'Dados Funil'!$L:$L,"")</f>
        <v/>
      </c>
      <c r="X746" s="4"/>
      <c r="Y746" s="4"/>
      <c r="Z746" s="7" t="str">
        <f t="shared" si="5"/>
        <v/>
      </c>
      <c r="AA746" s="4" t="str">
        <f t="shared" si="13"/>
        <v/>
      </c>
      <c r="AB746" s="4" t="str">
        <f t="array" ref="AB746">XLOOKUP(X746,'Dados Funil'!A:A,'Dados Funil'!O:O,"")</f>
        <v/>
      </c>
      <c r="AE746" s="7" t="str">
        <f t="shared" si="6"/>
        <v/>
      </c>
      <c r="AG746" s="4" t="str">
        <f t="array" ref="AG746">XLOOKUP(AC746,'Dados Funil'!A:A,'Dados Funil'!AM:AM,"")</f>
        <v/>
      </c>
      <c r="AH746" s="4" t="str">
        <f t="array" ref="AH746">XLOOKUP(AC746,'Dados Funil'!A:A,'Dados Funil'!AN:AN,"")</f>
        <v/>
      </c>
    </row>
    <row r="747">
      <c r="A747" s="4"/>
      <c r="B747" s="4"/>
      <c r="C747" s="7" t="str">
        <f t="shared" si="1"/>
        <v/>
      </c>
      <c r="D747" s="4" t="str">
        <f t="shared" si="9"/>
        <v/>
      </c>
      <c r="E747" s="4" t="str">
        <f t="array" ref="E747">XLOOKUP(A747,'Dados Funil'!$A:$A,'Dados Funil'!$K:$K,"")</f>
        <v/>
      </c>
      <c r="F747" s="4" t="str">
        <f t="array" ref="F747">XLOOKUP(A747,'Dados Funil'!$A:$A,'Dados Funil'!$L:$L,"")</f>
        <v/>
      </c>
      <c r="G747" s="4"/>
      <c r="H747" s="4"/>
      <c r="I747" s="7" t="str">
        <f t="shared" si="2"/>
        <v/>
      </c>
      <c r="J747" s="4" t="str">
        <f t="shared" si="10"/>
        <v/>
      </c>
      <c r="K747" s="4" t="str">
        <f t="array" ref="K747">XLOOKUP(G747,'Dados Funil'!A:A,'Dados Funil'!O:O,"")</f>
        <v/>
      </c>
      <c r="L747" s="4"/>
      <c r="M747" s="4"/>
      <c r="N747" s="7" t="str">
        <f t="shared" si="3"/>
        <v/>
      </c>
      <c r="O747" s="4" t="str">
        <f t="shared" si="11"/>
        <v/>
      </c>
      <c r="P747" s="4" t="str">
        <f t="array" ref="P747">XLOOKUP(L747,'Dados Funil'!A:A,'Dados Funil'!AM:AM,"")</f>
        <v/>
      </c>
      <c r="Q747" s="4" t="str">
        <f t="array" ref="Q747">XLOOKUP(L747,'Dados Funil'!A:A,'Dados Funil'!AN:AN,"")</f>
        <v/>
      </c>
      <c r="T747" s="7" t="str">
        <f t="shared" si="4"/>
        <v/>
      </c>
      <c r="U747" s="4" t="str">
        <f t="shared" si="12"/>
        <v/>
      </c>
      <c r="V747" s="4" t="str">
        <f t="array" ref="V747">XLOOKUP(R747,'Dados Funil'!$A:$A,'Dados Funil'!$K:$K,"")</f>
        <v/>
      </c>
      <c r="W747" s="4" t="str">
        <f t="array" ref="W747">XLOOKUP(R747,'Dados Funil'!$A:$A,'Dados Funil'!$L:$L,"")</f>
        <v/>
      </c>
      <c r="X747" s="4"/>
      <c r="Y747" s="4"/>
      <c r="Z747" s="7" t="str">
        <f t="shared" si="5"/>
        <v/>
      </c>
      <c r="AA747" s="4" t="str">
        <f t="shared" si="13"/>
        <v/>
      </c>
      <c r="AB747" s="4" t="str">
        <f t="array" ref="AB747">XLOOKUP(X747,'Dados Funil'!A:A,'Dados Funil'!O:O,"")</f>
        <v/>
      </c>
      <c r="AE747" s="7" t="str">
        <f t="shared" si="6"/>
        <v/>
      </c>
      <c r="AG747" s="4" t="str">
        <f t="array" ref="AG747">XLOOKUP(AC747,'Dados Funil'!A:A,'Dados Funil'!AM:AM,"")</f>
        <v/>
      </c>
      <c r="AH747" s="4" t="str">
        <f t="array" ref="AH747">XLOOKUP(AC747,'Dados Funil'!A:A,'Dados Funil'!AN:AN,"")</f>
        <v/>
      </c>
    </row>
    <row r="748">
      <c r="A748" s="4"/>
      <c r="B748" s="4"/>
      <c r="C748" s="7" t="str">
        <f t="shared" si="1"/>
        <v/>
      </c>
      <c r="D748" s="4" t="str">
        <f t="shared" si="9"/>
        <v/>
      </c>
      <c r="E748" s="4" t="str">
        <f t="array" ref="E748">XLOOKUP(A748,'Dados Funil'!$A:$A,'Dados Funil'!$K:$K,"")</f>
        <v/>
      </c>
      <c r="F748" s="4" t="str">
        <f t="array" ref="F748">XLOOKUP(A748,'Dados Funil'!$A:$A,'Dados Funil'!$L:$L,"")</f>
        <v/>
      </c>
      <c r="G748" s="4"/>
      <c r="H748" s="4"/>
      <c r="I748" s="7" t="str">
        <f t="shared" si="2"/>
        <v/>
      </c>
      <c r="J748" s="4" t="str">
        <f t="shared" si="10"/>
        <v/>
      </c>
      <c r="K748" s="4" t="str">
        <f t="array" ref="K748">XLOOKUP(G748,'Dados Funil'!A:A,'Dados Funil'!O:O,"")</f>
        <v/>
      </c>
      <c r="L748" s="4"/>
      <c r="M748" s="4"/>
      <c r="N748" s="7" t="str">
        <f t="shared" si="3"/>
        <v/>
      </c>
      <c r="O748" s="4" t="str">
        <f t="shared" si="11"/>
        <v/>
      </c>
      <c r="P748" s="4" t="str">
        <f t="array" ref="P748">XLOOKUP(L748,'Dados Funil'!A:A,'Dados Funil'!AM:AM,"")</f>
        <v/>
      </c>
      <c r="Q748" s="4" t="str">
        <f t="array" ref="Q748">XLOOKUP(L748,'Dados Funil'!A:A,'Dados Funil'!AN:AN,"")</f>
        <v/>
      </c>
      <c r="T748" s="7" t="str">
        <f t="shared" si="4"/>
        <v/>
      </c>
      <c r="U748" s="4" t="str">
        <f t="shared" si="12"/>
        <v/>
      </c>
      <c r="V748" s="4" t="str">
        <f t="array" ref="V748">XLOOKUP(R748,'Dados Funil'!$A:$A,'Dados Funil'!$K:$K,"")</f>
        <v/>
      </c>
      <c r="W748" s="4" t="str">
        <f t="array" ref="W748">XLOOKUP(R748,'Dados Funil'!$A:$A,'Dados Funil'!$L:$L,"")</f>
        <v/>
      </c>
      <c r="X748" s="4"/>
      <c r="Y748" s="4"/>
      <c r="Z748" s="7" t="str">
        <f t="shared" si="5"/>
        <v/>
      </c>
      <c r="AA748" s="4" t="str">
        <f t="shared" si="13"/>
        <v/>
      </c>
      <c r="AB748" s="4" t="str">
        <f t="array" ref="AB748">XLOOKUP(X748,'Dados Funil'!A:A,'Dados Funil'!O:O,"")</f>
        <v/>
      </c>
      <c r="AE748" s="7" t="str">
        <f t="shared" si="6"/>
        <v/>
      </c>
      <c r="AG748" s="4" t="str">
        <f t="array" ref="AG748">XLOOKUP(AC748,'Dados Funil'!A:A,'Dados Funil'!AM:AM,"")</f>
        <v/>
      </c>
      <c r="AH748" s="4" t="str">
        <f t="array" ref="AH748">XLOOKUP(AC748,'Dados Funil'!A:A,'Dados Funil'!AN:AN,"")</f>
        <v/>
      </c>
    </row>
    <row r="749">
      <c r="A749" s="4"/>
      <c r="B749" s="4"/>
      <c r="C749" s="7" t="str">
        <f t="shared" si="1"/>
        <v/>
      </c>
      <c r="D749" s="4" t="str">
        <f t="shared" si="9"/>
        <v/>
      </c>
      <c r="E749" s="4" t="str">
        <f t="array" ref="E749">XLOOKUP(A749,'Dados Funil'!$A:$A,'Dados Funil'!$K:$K,"")</f>
        <v/>
      </c>
      <c r="F749" s="4" t="str">
        <f t="array" ref="F749">XLOOKUP(A749,'Dados Funil'!$A:$A,'Dados Funil'!$L:$L,"")</f>
        <v/>
      </c>
      <c r="G749" s="4"/>
      <c r="H749" s="4"/>
      <c r="I749" s="7" t="str">
        <f t="shared" si="2"/>
        <v/>
      </c>
      <c r="J749" s="4" t="str">
        <f t="shared" si="10"/>
        <v/>
      </c>
      <c r="K749" s="4" t="str">
        <f t="array" ref="K749">XLOOKUP(G749,'Dados Funil'!A:A,'Dados Funil'!O:O,"")</f>
        <v/>
      </c>
      <c r="L749" s="4"/>
      <c r="M749" s="4"/>
      <c r="N749" s="7" t="str">
        <f t="shared" si="3"/>
        <v/>
      </c>
      <c r="O749" s="4" t="str">
        <f t="shared" si="11"/>
        <v/>
      </c>
      <c r="P749" s="4" t="str">
        <f t="array" ref="P749">XLOOKUP(L749,'Dados Funil'!A:A,'Dados Funil'!AM:AM,"")</f>
        <v/>
      </c>
      <c r="Q749" s="4" t="str">
        <f t="array" ref="Q749">XLOOKUP(L749,'Dados Funil'!A:A,'Dados Funil'!AN:AN,"")</f>
        <v/>
      </c>
      <c r="T749" s="7" t="str">
        <f t="shared" si="4"/>
        <v/>
      </c>
      <c r="U749" s="4" t="str">
        <f t="shared" si="12"/>
        <v/>
      </c>
      <c r="V749" s="4" t="str">
        <f t="array" ref="V749">XLOOKUP(R749,'Dados Funil'!$A:$A,'Dados Funil'!$K:$K,"")</f>
        <v/>
      </c>
      <c r="W749" s="4" t="str">
        <f t="array" ref="W749">XLOOKUP(R749,'Dados Funil'!$A:$A,'Dados Funil'!$L:$L,"")</f>
        <v/>
      </c>
      <c r="X749" s="4"/>
      <c r="Y749" s="4"/>
      <c r="Z749" s="7" t="str">
        <f t="shared" si="5"/>
        <v/>
      </c>
      <c r="AA749" s="4" t="str">
        <f t="shared" si="13"/>
        <v/>
      </c>
      <c r="AB749" s="4" t="str">
        <f t="array" ref="AB749">XLOOKUP(X749,'Dados Funil'!A:A,'Dados Funil'!O:O,"")</f>
        <v/>
      </c>
      <c r="AE749" s="7" t="str">
        <f t="shared" si="6"/>
        <v/>
      </c>
      <c r="AG749" s="4" t="str">
        <f t="array" ref="AG749">XLOOKUP(AC749,'Dados Funil'!A:A,'Dados Funil'!AM:AM,"")</f>
        <v/>
      </c>
      <c r="AH749" s="4" t="str">
        <f t="array" ref="AH749">XLOOKUP(AC749,'Dados Funil'!A:A,'Dados Funil'!AN:AN,"")</f>
        <v/>
      </c>
    </row>
    <row r="750">
      <c r="A750" s="4"/>
      <c r="B750" s="4"/>
      <c r="C750" s="7" t="str">
        <f t="shared" si="1"/>
        <v/>
      </c>
      <c r="D750" s="4" t="str">
        <f t="shared" si="9"/>
        <v/>
      </c>
      <c r="E750" s="4" t="str">
        <f t="array" ref="E750">XLOOKUP(A750,'Dados Funil'!$A:$A,'Dados Funil'!$K:$K,"")</f>
        <v/>
      </c>
      <c r="F750" s="4" t="str">
        <f t="array" ref="F750">XLOOKUP(A750,'Dados Funil'!$A:$A,'Dados Funil'!$L:$L,"")</f>
        <v/>
      </c>
      <c r="G750" s="4"/>
      <c r="H750" s="4"/>
      <c r="I750" s="7" t="str">
        <f t="shared" si="2"/>
        <v/>
      </c>
      <c r="J750" s="4" t="str">
        <f t="shared" si="10"/>
        <v/>
      </c>
      <c r="K750" s="4" t="str">
        <f t="array" ref="K750">XLOOKUP(G750,'Dados Funil'!A:A,'Dados Funil'!O:O,"")</f>
        <v/>
      </c>
      <c r="L750" s="4"/>
      <c r="M750" s="4"/>
      <c r="N750" s="7" t="str">
        <f t="shared" si="3"/>
        <v/>
      </c>
      <c r="O750" s="4" t="str">
        <f t="shared" si="11"/>
        <v/>
      </c>
      <c r="P750" s="4" t="str">
        <f t="array" ref="P750">XLOOKUP(L750,'Dados Funil'!A:A,'Dados Funil'!AM:AM,"")</f>
        <v/>
      </c>
      <c r="Q750" s="4" t="str">
        <f t="array" ref="Q750">XLOOKUP(L750,'Dados Funil'!A:A,'Dados Funil'!AN:AN,"")</f>
        <v/>
      </c>
      <c r="T750" s="7" t="str">
        <f t="shared" si="4"/>
        <v/>
      </c>
      <c r="U750" s="4" t="str">
        <f t="shared" si="12"/>
        <v/>
      </c>
      <c r="V750" s="4" t="str">
        <f t="array" ref="V750">XLOOKUP(R750,'Dados Funil'!$A:$A,'Dados Funil'!$K:$K,"")</f>
        <v/>
      </c>
      <c r="W750" s="4" t="str">
        <f t="array" ref="W750">XLOOKUP(R750,'Dados Funil'!$A:$A,'Dados Funil'!$L:$L,"")</f>
        <v/>
      </c>
      <c r="X750" s="4"/>
      <c r="Y750" s="4"/>
      <c r="Z750" s="7" t="str">
        <f t="shared" si="5"/>
        <v/>
      </c>
      <c r="AA750" s="4" t="str">
        <f t="shared" si="13"/>
        <v/>
      </c>
      <c r="AB750" s="4" t="str">
        <f t="array" ref="AB750">XLOOKUP(X750,'Dados Funil'!A:A,'Dados Funil'!O:O,"")</f>
        <v/>
      </c>
      <c r="AE750" s="7" t="str">
        <f t="shared" si="6"/>
        <v/>
      </c>
      <c r="AG750" s="4" t="str">
        <f t="array" ref="AG750">XLOOKUP(AC750,'Dados Funil'!A:A,'Dados Funil'!AM:AM,"")</f>
        <v/>
      </c>
      <c r="AH750" s="4" t="str">
        <f t="array" ref="AH750">XLOOKUP(AC750,'Dados Funil'!A:A,'Dados Funil'!AN:AN,"")</f>
        <v/>
      </c>
    </row>
    <row r="751">
      <c r="A751" s="4"/>
      <c r="B751" s="4"/>
      <c r="C751" s="7" t="str">
        <f t="shared" si="1"/>
        <v/>
      </c>
      <c r="D751" s="4" t="str">
        <f t="shared" si="9"/>
        <v/>
      </c>
      <c r="E751" s="4" t="str">
        <f t="array" ref="E751">XLOOKUP(A751,'Dados Funil'!$A:$A,'Dados Funil'!$K:$K,"")</f>
        <v/>
      </c>
      <c r="F751" s="4" t="str">
        <f t="array" ref="F751">XLOOKUP(A751,'Dados Funil'!$A:$A,'Dados Funil'!$L:$L,"")</f>
        <v/>
      </c>
      <c r="G751" s="4"/>
      <c r="H751" s="4"/>
      <c r="I751" s="7" t="str">
        <f t="shared" si="2"/>
        <v/>
      </c>
      <c r="J751" s="4" t="str">
        <f t="shared" si="10"/>
        <v/>
      </c>
      <c r="K751" s="4" t="str">
        <f t="array" ref="K751">XLOOKUP(G751,'Dados Funil'!A:A,'Dados Funil'!O:O,"")</f>
        <v/>
      </c>
      <c r="L751" s="4"/>
      <c r="M751" s="4"/>
      <c r="N751" s="7" t="str">
        <f t="shared" si="3"/>
        <v/>
      </c>
      <c r="O751" s="4" t="str">
        <f t="shared" si="11"/>
        <v/>
      </c>
      <c r="P751" s="4" t="str">
        <f t="array" ref="P751">XLOOKUP(L751,'Dados Funil'!A:A,'Dados Funil'!AM:AM,"")</f>
        <v/>
      </c>
      <c r="Q751" s="4" t="str">
        <f t="array" ref="Q751">XLOOKUP(L751,'Dados Funil'!A:A,'Dados Funil'!AN:AN,"")</f>
        <v/>
      </c>
      <c r="T751" s="7" t="str">
        <f t="shared" si="4"/>
        <v/>
      </c>
      <c r="U751" s="4" t="str">
        <f t="shared" si="12"/>
        <v/>
      </c>
      <c r="V751" s="4" t="str">
        <f t="array" ref="V751">XLOOKUP(R751,'Dados Funil'!$A:$A,'Dados Funil'!$K:$K,"")</f>
        <v/>
      </c>
      <c r="W751" s="4" t="str">
        <f t="array" ref="W751">XLOOKUP(R751,'Dados Funil'!$A:$A,'Dados Funil'!$L:$L,"")</f>
        <v/>
      </c>
      <c r="X751" s="4"/>
      <c r="Y751" s="4"/>
      <c r="Z751" s="7" t="str">
        <f t="shared" si="5"/>
        <v/>
      </c>
      <c r="AA751" s="4" t="str">
        <f t="shared" si="13"/>
        <v/>
      </c>
      <c r="AB751" s="4" t="str">
        <f t="array" ref="AB751">XLOOKUP(X751,'Dados Funil'!A:A,'Dados Funil'!O:O,"")</f>
        <v/>
      </c>
      <c r="AE751" s="7" t="str">
        <f t="shared" si="6"/>
        <v/>
      </c>
      <c r="AG751" s="4" t="str">
        <f t="array" ref="AG751">XLOOKUP(AC751,'Dados Funil'!A:A,'Dados Funil'!AM:AM,"")</f>
        <v/>
      </c>
      <c r="AH751" s="4" t="str">
        <f t="array" ref="AH751">XLOOKUP(AC751,'Dados Funil'!A:A,'Dados Funil'!AN:AN,"")</f>
        <v/>
      </c>
    </row>
    <row r="752">
      <c r="A752" s="4"/>
      <c r="B752" s="4"/>
      <c r="C752" s="7" t="str">
        <f t="shared" si="1"/>
        <v/>
      </c>
      <c r="D752" s="4" t="str">
        <f t="shared" si="9"/>
        <v/>
      </c>
      <c r="E752" s="4" t="str">
        <f t="array" ref="E752">XLOOKUP(A752,'Dados Funil'!$A:$A,'Dados Funil'!$K:$K,"")</f>
        <v/>
      </c>
      <c r="F752" s="4" t="str">
        <f t="array" ref="F752">XLOOKUP(A752,'Dados Funil'!$A:$A,'Dados Funil'!$L:$L,"")</f>
        <v/>
      </c>
      <c r="G752" s="4"/>
      <c r="H752" s="4"/>
      <c r="I752" s="7" t="str">
        <f t="shared" si="2"/>
        <v/>
      </c>
      <c r="J752" s="4" t="str">
        <f t="shared" si="10"/>
        <v/>
      </c>
      <c r="K752" s="4" t="str">
        <f t="array" ref="K752">XLOOKUP(G752,'Dados Funil'!A:A,'Dados Funil'!O:O,"")</f>
        <v/>
      </c>
      <c r="L752" s="4"/>
      <c r="M752" s="4"/>
      <c r="N752" s="7" t="str">
        <f t="shared" si="3"/>
        <v/>
      </c>
      <c r="O752" s="4" t="str">
        <f t="shared" si="11"/>
        <v/>
      </c>
      <c r="P752" s="4" t="str">
        <f t="array" ref="P752">XLOOKUP(L752,'Dados Funil'!A:A,'Dados Funil'!AM:AM,"")</f>
        <v/>
      </c>
      <c r="Q752" s="4" t="str">
        <f t="array" ref="Q752">XLOOKUP(L752,'Dados Funil'!A:A,'Dados Funil'!AN:AN,"")</f>
        <v/>
      </c>
      <c r="T752" s="7" t="str">
        <f t="shared" si="4"/>
        <v/>
      </c>
      <c r="U752" s="4" t="str">
        <f t="shared" si="12"/>
        <v/>
      </c>
      <c r="V752" s="4" t="str">
        <f t="array" ref="V752">XLOOKUP(R752,'Dados Funil'!$A:$A,'Dados Funil'!$K:$K,"")</f>
        <v/>
      </c>
      <c r="W752" s="4" t="str">
        <f t="array" ref="W752">XLOOKUP(R752,'Dados Funil'!$A:$A,'Dados Funil'!$L:$L,"")</f>
        <v/>
      </c>
      <c r="X752" s="4"/>
      <c r="Y752" s="4"/>
      <c r="Z752" s="7" t="str">
        <f t="shared" si="5"/>
        <v/>
      </c>
      <c r="AA752" s="4" t="str">
        <f t="shared" si="13"/>
        <v/>
      </c>
      <c r="AB752" s="4" t="str">
        <f t="array" ref="AB752">XLOOKUP(X752,'Dados Funil'!A:A,'Dados Funil'!O:O,"")</f>
        <v/>
      </c>
      <c r="AE752" s="7" t="str">
        <f t="shared" si="6"/>
        <v/>
      </c>
      <c r="AG752" s="4" t="str">
        <f t="array" ref="AG752">XLOOKUP(AC752,'Dados Funil'!A:A,'Dados Funil'!AM:AM,"")</f>
        <v/>
      </c>
      <c r="AH752" s="4" t="str">
        <f t="array" ref="AH752">XLOOKUP(AC752,'Dados Funil'!A:A,'Dados Funil'!AN:AN,"")</f>
        <v/>
      </c>
    </row>
    <row r="753">
      <c r="A753" s="4"/>
      <c r="B753" s="4"/>
      <c r="C753" s="7" t="str">
        <f t="shared" si="1"/>
        <v/>
      </c>
      <c r="D753" s="4" t="str">
        <f t="shared" si="9"/>
        <v/>
      </c>
      <c r="E753" s="4" t="str">
        <f t="array" ref="E753">XLOOKUP(A753,'Dados Funil'!$A:$A,'Dados Funil'!$K:$K,"")</f>
        <v/>
      </c>
      <c r="F753" s="4" t="str">
        <f t="array" ref="F753">XLOOKUP(A753,'Dados Funil'!$A:$A,'Dados Funil'!$L:$L,"")</f>
        <v/>
      </c>
      <c r="G753" s="4"/>
      <c r="H753" s="4"/>
      <c r="I753" s="7" t="str">
        <f t="shared" si="2"/>
        <v/>
      </c>
      <c r="J753" s="4" t="str">
        <f t="shared" si="10"/>
        <v/>
      </c>
      <c r="K753" s="4" t="str">
        <f t="array" ref="K753">XLOOKUP(G753,'Dados Funil'!A:A,'Dados Funil'!O:O,"")</f>
        <v/>
      </c>
      <c r="L753" s="4"/>
      <c r="M753" s="4"/>
      <c r="N753" s="7" t="str">
        <f t="shared" si="3"/>
        <v/>
      </c>
      <c r="O753" s="4" t="str">
        <f t="shared" si="11"/>
        <v/>
      </c>
      <c r="P753" s="4" t="str">
        <f t="array" ref="P753">XLOOKUP(L753,'Dados Funil'!A:A,'Dados Funil'!AM:AM,"")</f>
        <v/>
      </c>
      <c r="Q753" s="4" t="str">
        <f t="array" ref="Q753">XLOOKUP(L753,'Dados Funil'!A:A,'Dados Funil'!AN:AN,"")</f>
        <v/>
      </c>
      <c r="T753" s="7" t="str">
        <f t="shared" si="4"/>
        <v/>
      </c>
      <c r="U753" s="4" t="str">
        <f t="shared" si="12"/>
        <v/>
      </c>
      <c r="V753" s="4" t="str">
        <f t="array" ref="V753">XLOOKUP(R753,'Dados Funil'!$A:$A,'Dados Funil'!$K:$K,"")</f>
        <v/>
      </c>
      <c r="W753" s="4" t="str">
        <f t="array" ref="W753">XLOOKUP(R753,'Dados Funil'!$A:$A,'Dados Funil'!$L:$L,"")</f>
        <v/>
      </c>
      <c r="X753" s="4"/>
      <c r="Y753" s="4"/>
      <c r="Z753" s="7" t="str">
        <f t="shared" si="5"/>
        <v/>
      </c>
      <c r="AA753" s="4" t="str">
        <f t="shared" si="13"/>
        <v/>
      </c>
      <c r="AB753" s="4" t="str">
        <f t="array" ref="AB753">XLOOKUP(X753,'Dados Funil'!A:A,'Dados Funil'!O:O,"")</f>
        <v/>
      </c>
      <c r="AE753" s="7" t="str">
        <f t="shared" si="6"/>
        <v/>
      </c>
      <c r="AG753" s="4" t="str">
        <f t="array" ref="AG753">XLOOKUP(AC753,'Dados Funil'!A:A,'Dados Funil'!AM:AM,"")</f>
        <v/>
      </c>
      <c r="AH753" s="4" t="str">
        <f t="array" ref="AH753">XLOOKUP(AC753,'Dados Funil'!A:A,'Dados Funil'!AN:AN,"")</f>
        <v/>
      </c>
    </row>
    <row r="754">
      <c r="A754" s="4"/>
      <c r="B754" s="4"/>
      <c r="C754" s="7" t="str">
        <f t="shared" si="1"/>
        <v/>
      </c>
      <c r="D754" s="4" t="str">
        <f t="shared" si="9"/>
        <v/>
      </c>
      <c r="E754" s="4" t="str">
        <f t="array" ref="E754">XLOOKUP(A754,'Dados Funil'!$A:$A,'Dados Funil'!$K:$K,"")</f>
        <v/>
      </c>
      <c r="F754" s="4" t="str">
        <f t="array" ref="F754">XLOOKUP(A754,'Dados Funil'!$A:$A,'Dados Funil'!$L:$L,"")</f>
        <v/>
      </c>
      <c r="G754" s="4"/>
      <c r="H754" s="4"/>
      <c r="I754" s="7" t="str">
        <f t="shared" si="2"/>
        <v/>
      </c>
      <c r="J754" s="4" t="str">
        <f t="shared" si="10"/>
        <v/>
      </c>
      <c r="K754" s="4" t="str">
        <f t="array" ref="K754">XLOOKUP(G754,'Dados Funil'!A:A,'Dados Funil'!O:O,"")</f>
        <v/>
      </c>
      <c r="L754" s="4"/>
      <c r="M754" s="4"/>
      <c r="N754" s="7" t="str">
        <f t="shared" si="3"/>
        <v/>
      </c>
      <c r="O754" s="4" t="str">
        <f t="shared" si="11"/>
        <v/>
      </c>
      <c r="P754" s="4" t="str">
        <f t="array" ref="P754">XLOOKUP(L754,'Dados Funil'!A:A,'Dados Funil'!AM:AM,"")</f>
        <v/>
      </c>
      <c r="Q754" s="4" t="str">
        <f t="array" ref="Q754">XLOOKUP(L754,'Dados Funil'!A:A,'Dados Funil'!AN:AN,"")</f>
        <v/>
      </c>
      <c r="T754" s="7" t="str">
        <f t="shared" si="4"/>
        <v/>
      </c>
      <c r="U754" s="4" t="str">
        <f t="shared" si="12"/>
        <v/>
      </c>
      <c r="V754" s="4" t="str">
        <f t="array" ref="V754">XLOOKUP(R754,'Dados Funil'!$A:$A,'Dados Funil'!$K:$K,"")</f>
        <v/>
      </c>
      <c r="W754" s="4" t="str">
        <f t="array" ref="W754">XLOOKUP(R754,'Dados Funil'!$A:$A,'Dados Funil'!$L:$L,"")</f>
        <v/>
      </c>
      <c r="X754" s="4"/>
      <c r="Y754" s="4"/>
      <c r="Z754" s="7" t="str">
        <f t="shared" si="5"/>
        <v/>
      </c>
      <c r="AA754" s="4" t="str">
        <f t="shared" si="13"/>
        <v/>
      </c>
      <c r="AB754" s="4" t="str">
        <f t="array" ref="AB754">XLOOKUP(X754,'Dados Funil'!A:A,'Dados Funil'!O:O,"")</f>
        <v/>
      </c>
      <c r="AE754" s="7" t="str">
        <f t="shared" si="6"/>
        <v/>
      </c>
      <c r="AG754" s="4" t="str">
        <f t="array" ref="AG754">XLOOKUP(AC754,'Dados Funil'!A:A,'Dados Funil'!AM:AM,"")</f>
        <v/>
      </c>
      <c r="AH754" s="4" t="str">
        <f t="array" ref="AH754">XLOOKUP(AC754,'Dados Funil'!A:A,'Dados Funil'!AN:AN,"")</f>
        <v/>
      </c>
    </row>
    <row r="755">
      <c r="A755" s="4"/>
      <c r="B755" s="4"/>
      <c r="C755" s="7" t="str">
        <f t="shared" si="1"/>
        <v/>
      </c>
      <c r="D755" s="4" t="str">
        <f t="shared" si="9"/>
        <v/>
      </c>
      <c r="E755" s="4" t="str">
        <f t="array" ref="E755">XLOOKUP(A755,'Dados Funil'!$A:$A,'Dados Funil'!$K:$K,"")</f>
        <v/>
      </c>
      <c r="F755" s="4" t="str">
        <f t="array" ref="F755">XLOOKUP(A755,'Dados Funil'!$A:$A,'Dados Funil'!$L:$L,"")</f>
        <v/>
      </c>
      <c r="G755" s="4"/>
      <c r="H755" s="4"/>
      <c r="I755" s="7" t="str">
        <f t="shared" si="2"/>
        <v/>
      </c>
      <c r="J755" s="4" t="str">
        <f t="shared" si="10"/>
        <v/>
      </c>
      <c r="K755" s="4" t="str">
        <f t="array" ref="K755">XLOOKUP(G755,'Dados Funil'!A:A,'Dados Funil'!O:O,"")</f>
        <v/>
      </c>
      <c r="L755" s="4"/>
      <c r="M755" s="4"/>
      <c r="N755" s="7" t="str">
        <f t="shared" si="3"/>
        <v/>
      </c>
      <c r="O755" s="4" t="str">
        <f t="shared" si="11"/>
        <v/>
      </c>
      <c r="P755" s="4" t="str">
        <f t="array" ref="P755">XLOOKUP(L755,'Dados Funil'!A:A,'Dados Funil'!AM:AM,"")</f>
        <v/>
      </c>
      <c r="Q755" s="4" t="str">
        <f t="array" ref="Q755">XLOOKUP(L755,'Dados Funil'!A:A,'Dados Funil'!AN:AN,"")</f>
        <v/>
      </c>
      <c r="T755" s="7" t="str">
        <f t="shared" si="4"/>
        <v/>
      </c>
      <c r="U755" s="4" t="str">
        <f t="shared" si="12"/>
        <v/>
      </c>
      <c r="V755" s="4" t="str">
        <f t="array" ref="V755">XLOOKUP(R755,'Dados Funil'!$A:$A,'Dados Funil'!$K:$K,"")</f>
        <v/>
      </c>
      <c r="W755" s="4" t="str">
        <f t="array" ref="W755">XLOOKUP(R755,'Dados Funil'!$A:$A,'Dados Funil'!$L:$L,"")</f>
        <v/>
      </c>
      <c r="X755" s="4"/>
      <c r="Y755" s="4"/>
      <c r="Z755" s="7" t="str">
        <f t="shared" si="5"/>
        <v/>
      </c>
      <c r="AA755" s="4" t="str">
        <f t="shared" si="13"/>
        <v/>
      </c>
      <c r="AB755" s="4" t="str">
        <f t="array" ref="AB755">XLOOKUP(X755,'Dados Funil'!A:A,'Dados Funil'!O:O,"")</f>
        <v/>
      </c>
      <c r="AE755" s="7" t="str">
        <f t="shared" si="6"/>
        <v/>
      </c>
      <c r="AG755" s="4" t="str">
        <f t="array" ref="AG755">XLOOKUP(AC755,'Dados Funil'!A:A,'Dados Funil'!AM:AM,"")</f>
        <v/>
      </c>
      <c r="AH755" s="4" t="str">
        <f t="array" ref="AH755">XLOOKUP(AC755,'Dados Funil'!A:A,'Dados Funil'!AN:AN,"")</f>
        <v/>
      </c>
    </row>
    <row r="756">
      <c r="A756" s="4"/>
      <c r="B756" s="4"/>
      <c r="C756" s="7" t="str">
        <f t="shared" si="1"/>
        <v/>
      </c>
      <c r="D756" s="4" t="str">
        <f t="shared" si="9"/>
        <v/>
      </c>
      <c r="E756" s="4" t="str">
        <f t="array" ref="E756">XLOOKUP(A756,'Dados Funil'!$A:$A,'Dados Funil'!$K:$K,"")</f>
        <v/>
      </c>
      <c r="F756" s="4" t="str">
        <f t="array" ref="F756">XLOOKUP(A756,'Dados Funil'!$A:$A,'Dados Funil'!$L:$L,"")</f>
        <v/>
      </c>
      <c r="G756" s="4"/>
      <c r="H756" s="4"/>
      <c r="I756" s="7" t="str">
        <f t="shared" si="2"/>
        <v/>
      </c>
      <c r="J756" s="4" t="str">
        <f t="shared" si="10"/>
        <v/>
      </c>
      <c r="K756" s="4" t="str">
        <f t="array" ref="K756">XLOOKUP(G756,'Dados Funil'!A:A,'Dados Funil'!O:O,"")</f>
        <v/>
      </c>
      <c r="L756" s="4"/>
      <c r="M756" s="4"/>
      <c r="N756" s="7" t="str">
        <f t="shared" si="3"/>
        <v/>
      </c>
      <c r="O756" s="4" t="str">
        <f t="shared" si="11"/>
        <v/>
      </c>
      <c r="P756" s="4" t="str">
        <f t="array" ref="P756">XLOOKUP(L756,'Dados Funil'!A:A,'Dados Funil'!AM:AM,"")</f>
        <v/>
      </c>
      <c r="Q756" s="4" t="str">
        <f t="array" ref="Q756">XLOOKUP(L756,'Dados Funil'!A:A,'Dados Funil'!AN:AN,"")</f>
        <v/>
      </c>
      <c r="T756" s="7" t="str">
        <f t="shared" si="4"/>
        <v/>
      </c>
      <c r="U756" s="4" t="str">
        <f t="shared" si="12"/>
        <v/>
      </c>
      <c r="V756" s="4" t="str">
        <f t="array" ref="V756">XLOOKUP(R756,'Dados Funil'!$A:$A,'Dados Funil'!$K:$K,"")</f>
        <v/>
      </c>
      <c r="W756" s="4" t="str">
        <f t="array" ref="W756">XLOOKUP(R756,'Dados Funil'!$A:$A,'Dados Funil'!$L:$L,"")</f>
        <v/>
      </c>
      <c r="X756" s="4"/>
      <c r="Y756" s="4"/>
      <c r="Z756" s="7" t="str">
        <f t="shared" si="5"/>
        <v/>
      </c>
      <c r="AA756" s="4" t="str">
        <f t="shared" si="13"/>
        <v/>
      </c>
      <c r="AB756" s="4" t="str">
        <f t="array" ref="AB756">XLOOKUP(X756,'Dados Funil'!A:A,'Dados Funil'!O:O,"")</f>
        <v/>
      </c>
      <c r="AE756" s="7" t="str">
        <f t="shared" si="6"/>
        <v/>
      </c>
      <c r="AG756" s="4" t="str">
        <f t="array" ref="AG756">XLOOKUP(AC756,'Dados Funil'!A:A,'Dados Funil'!AM:AM,"")</f>
        <v/>
      </c>
      <c r="AH756" s="4" t="str">
        <f t="array" ref="AH756">XLOOKUP(AC756,'Dados Funil'!A:A,'Dados Funil'!AN:AN,"")</f>
        <v/>
      </c>
    </row>
    <row r="757">
      <c r="A757" s="4"/>
      <c r="B757" s="4"/>
      <c r="C757" s="7" t="str">
        <f t="shared" si="1"/>
        <v/>
      </c>
      <c r="D757" s="4" t="str">
        <f t="shared" si="9"/>
        <v/>
      </c>
      <c r="E757" s="4" t="str">
        <f t="array" ref="E757">XLOOKUP(A757,'Dados Funil'!$A:$A,'Dados Funil'!$K:$K,"")</f>
        <v/>
      </c>
      <c r="F757" s="4" t="str">
        <f t="array" ref="F757">XLOOKUP(A757,'Dados Funil'!$A:$A,'Dados Funil'!$L:$L,"")</f>
        <v/>
      </c>
      <c r="G757" s="4"/>
      <c r="H757" s="4"/>
      <c r="I757" s="7" t="str">
        <f t="shared" si="2"/>
        <v/>
      </c>
      <c r="J757" s="4" t="str">
        <f t="shared" si="10"/>
        <v/>
      </c>
      <c r="K757" s="4" t="str">
        <f t="array" ref="K757">XLOOKUP(G757,'Dados Funil'!A:A,'Dados Funil'!O:O,"")</f>
        <v/>
      </c>
      <c r="L757" s="4"/>
      <c r="M757" s="4"/>
      <c r="N757" s="7" t="str">
        <f t="shared" si="3"/>
        <v/>
      </c>
      <c r="O757" s="4" t="str">
        <f t="shared" si="11"/>
        <v/>
      </c>
      <c r="P757" s="4" t="str">
        <f t="array" ref="P757">XLOOKUP(L757,'Dados Funil'!A:A,'Dados Funil'!AM:AM,"")</f>
        <v/>
      </c>
      <c r="Q757" s="4" t="str">
        <f t="array" ref="Q757">XLOOKUP(L757,'Dados Funil'!A:A,'Dados Funil'!AN:AN,"")</f>
        <v/>
      </c>
      <c r="T757" s="7" t="str">
        <f t="shared" si="4"/>
        <v/>
      </c>
      <c r="U757" s="4" t="str">
        <f t="shared" si="12"/>
        <v/>
      </c>
      <c r="V757" s="4" t="str">
        <f t="array" ref="V757">XLOOKUP(R757,'Dados Funil'!$A:$A,'Dados Funil'!$K:$K,"")</f>
        <v/>
      </c>
      <c r="W757" s="4" t="str">
        <f t="array" ref="W757">XLOOKUP(R757,'Dados Funil'!$A:$A,'Dados Funil'!$L:$L,"")</f>
        <v/>
      </c>
      <c r="X757" s="4"/>
      <c r="Y757" s="4"/>
      <c r="Z757" s="7" t="str">
        <f t="shared" si="5"/>
        <v/>
      </c>
      <c r="AA757" s="4" t="str">
        <f t="shared" si="13"/>
        <v/>
      </c>
      <c r="AB757" s="4" t="str">
        <f t="array" ref="AB757">XLOOKUP(X757,'Dados Funil'!A:A,'Dados Funil'!O:O,"")</f>
        <v/>
      </c>
      <c r="AE757" s="7" t="str">
        <f t="shared" si="6"/>
        <v/>
      </c>
      <c r="AG757" s="4" t="str">
        <f t="array" ref="AG757">XLOOKUP(AC757,'Dados Funil'!A:A,'Dados Funil'!AM:AM,"")</f>
        <v/>
      </c>
      <c r="AH757" s="4" t="str">
        <f t="array" ref="AH757">XLOOKUP(AC757,'Dados Funil'!A:A,'Dados Funil'!AN:AN,"")</f>
        <v/>
      </c>
    </row>
    <row r="758">
      <c r="A758" s="4"/>
      <c r="B758" s="4"/>
      <c r="C758" s="7" t="str">
        <f t="shared" si="1"/>
        <v/>
      </c>
      <c r="D758" s="4" t="str">
        <f t="shared" si="9"/>
        <v/>
      </c>
      <c r="E758" s="4" t="str">
        <f t="array" ref="E758">XLOOKUP(A758,'Dados Funil'!$A:$A,'Dados Funil'!$K:$K,"")</f>
        <v/>
      </c>
      <c r="F758" s="4" t="str">
        <f t="array" ref="F758">XLOOKUP(A758,'Dados Funil'!$A:$A,'Dados Funil'!$L:$L,"")</f>
        <v/>
      </c>
      <c r="G758" s="4"/>
      <c r="H758" s="4"/>
      <c r="I758" s="7" t="str">
        <f t="shared" si="2"/>
        <v/>
      </c>
      <c r="J758" s="4" t="str">
        <f t="shared" si="10"/>
        <v/>
      </c>
      <c r="K758" s="4" t="str">
        <f t="array" ref="K758">XLOOKUP(G758,'Dados Funil'!A:A,'Dados Funil'!O:O,"")</f>
        <v/>
      </c>
      <c r="L758" s="4"/>
      <c r="M758" s="4"/>
      <c r="N758" s="7" t="str">
        <f t="shared" si="3"/>
        <v/>
      </c>
      <c r="O758" s="4" t="str">
        <f t="shared" si="11"/>
        <v/>
      </c>
      <c r="P758" s="4" t="str">
        <f t="array" ref="P758">XLOOKUP(L758,'Dados Funil'!A:A,'Dados Funil'!AM:AM,"")</f>
        <v/>
      </c>
      <c r="Q758" s="4" t="str">
        <f t="array" ref="Q758">XLOOKUP(L758,'Dados Funil'!A:A,'Dados Funil'!AN:AN,"")</f>
        <v/>
      </c>
      <c r="T758" s="7" t="str">
        <f t="shared" si="4"/>
        <v/>
      </c>
      <c r="U758" s="4" t="str">
        <f t="shared" si="12"/>
        <v/>
      </c>
      <c r="V758" s="4" t="str">
        <f t="array" ref="V758">XLOOKUP(R758,'Dados Funil'!$A:$A,'Dados Funil'!$K:$K,"")</f>
        <v/>
      </c>
      <c r="W758" s="4" t="str">
        <f t="array" ref="W758">XLOOKUP(R758,'Dados Funil'!$A:$A,'Dados Funil'!$L:$L,"")</f>
        <v/>
      </c>
      <c r="X758" s="4"/>
      <c r="Y758" s="4"/>
      <c r="Z758" s="7" t="str">
        <f t="shared" si="5"/>
        <v/>
      </c>
      <c r="AA758" s="4" t="str">
        <f t="shared" si="13"/>
        <v/>
      </c>
      <c r="AB758" s="4" t="str">
        <f t="array" ref="AB758">XLOOKUP(X758,'Dados Funil'!A:A,'Dados Funil'!O:O,"")</f>
        <v/>
      </c>
      <c r="AE758" s="7" t="str">
        <f t="shared" si="6"/>
        <v/>
      </c>
      <c r="AG758" s="4" t="str">
        <f t="array" ref="AG758">XLOOKUP(AC758,'Dados Funil'!A:A,'Dados Funil'!AM:AM,"")</f>
        <v/>
      </c>
      <c r="AH758" s="4" t="str">
        <f t="array" ref="AH758">XLOOKUP(AC758,'Dados Funil'!A:A,'Dados Funil'!AN:AN,"")</f>
        <v/>
      </c>
    </row>
    <row r="759">
      <c r="A759" s="4"/>
      <c r="B759" s="4"/>
      <c r="C759" s="7" t="str">
        <f t="shared" si="1"/>
        <v/>
      </c>
      <c r="D759" s="4" t="str">
        <f t="shared" si="9"/>
        <v/>
      </c>
      <c r="E759" s="4" t="str">
        <f t="array" ref="E759">XLOOKUP(A759,'Dados Funil'!$A:$A,'Dados Funil'!$K:$K,"")</f>
        <v/>
      </c>
      <c r="F759" s="4" t="str">
        <f t="array" ref="F759">XLOOKUP(A759,'Dados Funil'!$A:$A,'Dados Funil'!$L:$L,"")</f>
        <v/>
      </c>
      <c r="G759" s="4"/>
      <c r="H759" s="4"/>
      <c r="I759" s="7" t="str">
        <f t="shared" si="2"/>
        <v/>
      </c>
      <c r="J759" s="4" t="str">
        <f t="shared" si="10"/>
        <v/>
      </c>
      <c r="K759" s="4" t="str">
        <f t="array" ref="K759">XLOOKUP(G759,'Dados Funil'!A:A,'Dados Funil'!O:O,"")</f>
        <v/>
      </c>
      <c r="L759" s="4"/>
      <c r="M759" s="4"/>
      <c r="N759" s="7" t="str">
        <f t="shared" si="3"/>
        <v/>
      </c>
      <c r="O759" s="4" t="str">
        <f t="shared" si="11"/>
        <v/>
      </c>
      <c r="P759" s="4" t="str">
        <f t="array" ref="P759">XLOOKUP(L759,'Dados Funil'!A:A,'Dados Funil'!AM:AM,"")</f>
        <v/>
      </c>
      <c r="Q759" s="4" t="str">
        <f t="array" ref="Q759">XLOOKUP(L759,'Dados Funil'!A:A,'Dados Funil'!AN:AN,"")</f>
        <v/>
      </c>
      <c r="T759" s="7" t="str">
        <f t="shared" si="4"/>
        <v/>
      </c>
      <c r="U759" s="4" t="str">
        <f t="shared" si="12"/>
        <v/>
      </c>
      <c r="V759" s="4" t="str">
        <f t="array" ref="V759">XLOOKUP(R759,'Dados Funil'!$A:$A,'Dados Funil'!$K:$K,"")</f>
        <v/>
      </c>
      <c r="W759" s="4" t="str">
        <f t="array" ref="W759">XLOOKUP(R759,'Dados Funil'!$A:$A,'Dados Funil'!$L:$L,"")</f>
        <v/>
      </c>
      <c r="X759" s="4"/>
      <c r="Y759" s="4"/>
      <c r="Z759" s="7" t="str">
        <f t="shared" si="5"/>
        <v/>
      </c>
      <c r="AA759" s="4" t="str">
        <f t="shared" si="13"/>
        <v/>
      </c>
      <c r="AB759" s="4" t="str">
        <f t="array" ref="AB759">XLOOKUP(X759,'Dados Funil'!A:A,'Dados Funil'!O:O,"")</f>
        <v/>
      </c>
      <c r="AE759" s="7" t="str">
        <f t="shared" si="6"/>
        <v/>
      </c>
      <c r="AG759" s="4" t="str">
        <f t="array" ref="AG759">XLOOKUP(AC759,'Dados Funil'!A:A,'Dados Funil'!AM:AM,"")</f>
        <v/>
      </c>
      <c r="AH759" s="4" t="str">
        <f t="array" ref="AH759">XLOOKUP(AC759,'Dados Funil'!A:A,'Dados Funil'!AN:AN,"")</f>
        <v/>
      </c>
    </row>
    <row r="760">
      <c r="A760" s="4"/>
      <c r="B760" s="4"/>
      <c r="C760" s="7" t="str">
        <f t="shared" si="1"/>
        <v/>
      </c>
      <c r="D760" s="4" t="str">
        <f t="shared" si="9"/>
        <v/>
      </c>
      <c r="E760" s="4" t="str">
        <f t="array" ref="E760">XLOOKUP(A760,'Dados Funil'!$A:$A,'Dados Funil'!$K:$K,"")</f>
        <v/>
      </c>
      <c r="F760" s="4" t="str">
        <f t="array" ref="F760">XLOOKUP(A760,'Dados Funil'!$A:$A,'Dados Funil'!$L:$L,"")</f>
        <v/>
      </c>
      <c r="G760" s="4"/>
      <c r="H760" s="4"/>
      <c r="I760" s="7" t="str">
        <f t="shared" si="2"/>
        <v/>
      </c>
      <c r="J760" s="4" t="str">
        <f t="shared" si="10"/>
        <v/>
      </c>
      <c r="K760" s="4" t="str">
        <f t="array" ref="K760">XLOOKUP(G760,'Dados Funil'!A:A,'Dados Funil'!O:O,"")</f>
        <v/>
      </c>
      <c r="L760" s="4"/>
      <c r="M760" s="4"/>
      <c r="N760" s="7" t="str">
        <f t="shared" si="3"/>
        <v/>
      </c>
      <c r="O760" s="4" t="str">
        <f t="shared" si="11"/>
        <v/>
      </c>
      <c r="P760" s="4" t="str">
        <f t="array" ref="P760">XLOOKUP(L760,'Dados Funil'!A:A,'Dados Funil'!AM:AM,"")</f>
        <v/>
      </c>
      <c r="Q760" s="4" t="str">
        <f t="array" ref="Q760">XLOOKUP(L760,'Dados Funil'!A:A,'Dados Funil'!AN:AN,"")</f>
        <v/>
      </c>
      <c r="T760" s="7" t="str">
        <f t="shared" si="4"/>
        <v/>
      </c>
      <c r="U760" s="4" t="str">
        <f t="shared" si="12"/>
        <v/>
      </c>
      <c r="V760" s="4" t="str">
        <f t="array" ref="V760">XLOOKUP(R760,'Dados Funil'!$A:$A,'Dados Funil'!$K:$K,"")</f>
        <v/>
      </c>
      <c r="W760" s="4" t="str">
        <f t="array" ref="W760">XLOOKUP(R760,'Dados Funil'!$A:$A,'Dados Funil'!$L:$L,"")</f>
        <v/>
      </c>
      <c r="X760" s="4"/>
      <c r="Y760" s="4"/>
      <c r="Z760" s="7" t="str">
        <f t="shared" si="5"/>
        <v/>
      </c>
      <c r="AA760" s="4" t="str">
        <f t="shared" si="13"/>
        <v/>
      </c>
      <c r="AB760" s="4" t="str">
        <f t="array" ref="AB760">XLOOKUP(X760,'Dados Funil'!A:A,'Dados Funil'!O:O,"")</f>
        <v/>
      </c>
      <c r="AE760" s="7" t="str">
        <f t="shared" si="6"/>
        <v/>
      </c>
      <c r="AG760" s="4" t="str">
        <f t="array" ref="AG760">XLOOKUP(AC760,'Dados Funil'!A:A,'Dados Funil'!AM:AM,"")</f>
        <v/>
      </c>
      <c r="AH760" s="4" t="str">
        <f t="array" ref="AH760">XLOOKUP(AC760,'Dados Funil'!A:A,'Dados Funil'!AN:AN,"")</f>
        <v/>
      </c>
    </row>
    <row r="761">
      <c r="A761" s="4"/>
      <c r="B761" s="4"/>
      <c r="C761" s="7" t="str">
        <f t="shared" si="1"/>
        <v/>
      </c>
      <c r="D761" s="4" t="str">
        <f t="shared" si="9"/>
        <v/>
      </c>
      <c r="E761" s="4" t="str">
        <f t="array" ref="E761">XLOOKUP(A761,'Dados Funil'!$A:$A,'Dados Funil'!$K:$K,"")</f>
        <v/>
      </c>
      <c r="F761" s="4" t="str">
        <f t="array" ref="F761">XLOOKUP(A761,'Dados Funil'!$A:$A,'Dados Funil'!$L:$L,"")</f>
        <v/>
      </c>
      <c r="G761" s="4"/>
      <c r="H761" s="4"/>
      <c r="I761" s="7" t="str">
        <f t="shared" si="2"/>
        <v/>
      </c>
      <c r="J761" s="4" t="str">
        <f t="shared" si="10"/>
        <v/>
      </c>
      <c r="K761" s="4" t="str">
        <f t="array" ref="K761">XLOOKUP(G761,'Dados Funil'!A:A,'Dados Funil'!O:O,"")</f>
        <v/>
      </c>
      <c r="L761" s="4"/>
      <c r="M761" s="4"/>
      <c r="N761" s="7" t="str">
        <f t="shared" si="3"/>
        <v/>
      </c>
      <c r="O761" s="4" t="str">
        <f t="shared" si="11"/>
        <v/>
      </c>
      <c r="P761" s="4" t="str">
        <f t="array" ref="P761">XLOOKUP(L761,'Dados Funil'!A:A,'Dados Funil'!AM:AM,"")</f>
        <v/>
      </c>
      <c r="Q761" s="4" t="str">
        <f t="array" ref="Q761">XLOOKUP(L761,'Dados Funil'!A:A,'Dados Funil'!AN:AN,"")</f>
        <v/>
      </c>
      <c r="T761" s="7" t="str">
        <f t="shared" si="4"/>
        <v/>
      </c>
      <c r="U761" s="4" t="str">
        <f t="shared" si="12"/>
        <v/>
      </c>
      <c r="V761" s="4" t="str">
        <f t="array" ref="V761">XLOOKUP(R761,'Dados Funil'!$A:$A,'Dados Funil'!$K:$K,"")</f>
        <v/>
      </c>
      <c r="W761" s="4" t="str">
        <f t="array" ref="W761">XLOOKUP(R761,'Dados Funil'!$A:$A,'Dados Funil'!$L:$L,"")</f>
        <v/>
      </c>
      <c r="X761" s="4"/>
      <c r="Y761" s="4"/>
      <c r="Z761" s="7" t="str">
        <f t="shared" si="5"/>
        <v/>
      </c>
      <c r="AA761" s="4" t="str">
        <f t="shared" si="13"/>
        <v/>
      </c>
      <c r="AB761" s="4" t="str">
        <f t="array" ref="AB761">XLOOKUP(X761,'Dados Funil'!A:A,'Dados Funil'!O:O,"")</f>
        <v/>
      </c>
      <c r="AE761" s="7" t="str">
        <f t="shared" si="6"/>
        <v/>
      </c>
      <c r="AG761" s="4" t="str">
        <f t="array" ref="AG761">XLOOKUP(AC761,'Dados Funil'!A:A,'Dados Funil'!AM:AM,"")</f>
        <v/>
      </c>
      <c r="AH761" s="4" t="str">
        <f t="array" ref="AH761">XLOOKUP(AC761,'Dados Funil'!A:A,'Dados Funil'!AN:AN,"")</f>
        <v/>
      </c>
    </row>
    <row r="762">
      <c r="A762" s="4"/>
      <c r="B762" s="4"/>
      <c r="C762" s="7" t="str">
        <f t="shared" si="1"/>
        <v/>
      </c>
      <c r="D762" s="4" t="str">
        <f t="shared" si="9"/>
        <v/>
      </c>
      <c r="E762" s="4" t="str">
        <f t="array" ref="E762">XLOOKUP(A762,'Dados Funil'!$A:$A,'Dados Funil'!$K:$K,"")</f>
        <v/>
      </c>
      <c r="F762" s="4" t="str">
        <f t="array" ref="F762">XLOOKUP(A762,'Dados Funil'!$A:$A,'Dados Funil'!$L:$L,"")</f>
        <v/>
      </c>
      <c r="G762" s="4"/>
      <c r="H762" s="4"/>
      <c r="I762" s="7" t="str">
        <f t="shared" si="2"/>
        <v/>
      </c>
      <c r="J762" s="4" t="str">
        <f t="shared" si="10"/>
        <v/>
      </c>
      <c r="K762" s="4" t="str">
        <f t="array" ref="K762">XLOOKUP(G762,'Dados Funil'!A:A,'Dados Funil'!O:O,"")</f>
        <v/>
      </c>
      <c r="L762" s="4"/>
      <c r="M762" s="4"/>
      <c r="N762" s="7" t="str">
        <f t="shared" si="3"/>
        <v/>
      </c>
      <c r="O762" s="4" t="str">
        <f t="shared" si="11"/>
        <v/>
      </c>
      <c r="P762" s="4" t="str">
        <f t="array" ref="P762">XLOOKUP(L762,'Dados Funil'!A:A,'Dados Funil'!AM:AM,"")</f>
        <v/>
      </c>
      <c r="Q762" s="4" t="str">
        <f t="array" ref="Q762">XLOOKUP(L762,'Dados Funil'!A:A,'Dados Funil'!AN:AN,"")</f>
        <v/>
      </c>
      <c r="T762" s="7" t="str">
        <f t="shared" si="4"/>
        <v/>
      </c>
      <c r="U762" s="4" t="str">
        <f t="shared" si="12"/>
        <v/>
      </c>
      <c r="V762" s="4" t="str">
        <f t="array" ref="V762">XLOOKUP(R762,'Dados Funil'!$A:$A,'Dados Funil'!$K:$K,"")</f>
        <v/>
      </c>
      <c r="W762" s="4" t="str">
        <f t="array" ref="W762">XLOOKUP(R762,'Dados Funil'!$A:$A,'Dados Funil'!$L:$L,"")</f>
        <v/>
      </c>
      <c r="X762" s="4"/>
      <c r="Y762" s="4"/>
      <c r="Z762" s="7" t="str">
        <f t="shared" si="5"/>
        <v/>
      </c>
      <c r="AA762" s="4" t="str">
        <f t="shared" si="13"/>
        <v/>
      </c>
      <c r="AB762" s="4" t="str">
        <f t="array" ref="AB762">XLOOKUP(X762,'Dados Funil'!A:A,'Dados Funil'!O:O,"")</f>
        <v/>
      </c>
      <c r="AE762" s="7" t="str">
        <f t="shared" si="6"/>
        <v/>
      </c>
      <c r="AG762" s="4" t="str">
        <f t="array" ref="AG762">XLOOKUP(AC762,'Dados Funil'!A:A,'Dados Funil'!AM:AM,"")</f>
        <v/>
      </c>
      <c r="AH762" s="4" t="str">
        <f t="array" ref="AH762">XLOOKUP(AC762,'Dados Funil'!A:A,'Dados Funil'!AN:AN,"")</f>
        <v/>
      </c>
    </row>
    <row r="763">
      <c r="A763" s="4"/>
      <c r="B763" s="4"/>
      <c r="C763" s="7" t="str">
        <f t="shared" si="1"/>
        <v/>
      </c>
      <c r="D763" s="4" t="str">
        <f t="shared" si="9"/>
        <v/>
      </c>
      <c r="E763" s="4" t="str">
        <f t="array" ref="E763">XLOOKUP(A763,'Dados Funil'!$A:$A,'Dados Funil'!$K:$K,"")</f>
        <v/>
      </c>
      <c r="F763" s="4" t="str">
        <f t="array" ref="F763">XLOOKUP(A763,'Dados Funil'!$A:$A,'Dados Funil'!$L:$L,"")</f>
        <v/>
      </c>
      <c r="G763" s="4"/>
      <c r="H763" s="4"/>
      <c r="I763" s="7" t="str">
        <f t="shared" si="2"/>
        <v/>
      </c>
      <c r="J763" s="4" t="str">
        <f t="shared" si="10"/>
        <v/>
      </c>
      <c r="K763" s="4" t="str">
        <f t="array" ref="K763">XLOOKUP(G763,'Dados Funil'!A:A,'Dados Funil'!O:O,"")</f>
        <v/>
      </c>
      <c r="L763" s="4"/>
      <c r="M763" s="4"/>
      <c r="N763" s="7" t="str">
        <f t="shared" si="3"/>
        <v/>
      </c>
      <c r="O763" s="4" t="str">
        <f t="shared" si="11"/>
        <v/>
      </c>
      <c r="P763" s="4" t="str">
        <f t="array" ref="P763">XLOOKUP(L763,'Dados Funil'!A:A,'Dados Funil'!AM:AM,"")</f>
        <v/>
      </c>
      <c r="Q763" s="4" t="str">
        <f t="array" ref="Q763">XLOOKUP(L763,'Dados Funil'!A:A,'Dados Funil'!AN:AN,"")</f>
        <v/>
      </c>
      <c r="T763" s="7" t="str">
        <f t="shared" si="4"/>
        <v/>
      </c>
      <c r="U763" s="4" t="str">
        <f t="shared" si="12"/>
        <v/>
      </c>
      <c r="V763" s="4" t="str">
        <f t="array" ref="V763">XLOOKUP(R763,'Dados Funil'!$A:$A,'Dados Funil'!$K:$K,"")</f>
        <v/>
      </c>
      <c r="W763" s="4" t="str">
        <f t="array" ref="W763">XLOOKUP(R763,'Dados Funil'!$A:$A,'Dados Funil'!$L:$L,"")</f>
        <v/>
      </c>
      <c r="X763" s="4"/>
      <c r="Y763" s="4"/>
      <c r="Z763" s="7" t="str">
        <f t="shared" si="5"/>
        <v/>
      </c>
      <c r="AA763" s="4" t="str">
        <f t="shared" si="13"/>
        <v/>
      </c>
      <c r="AB763" s="4" t="str">
        <f t="array" ref="AB763">XLOOKUP(X763,'Dados Funil'!A:A,'Dados Funil'!O:O,"")</f>
        <v/>
      </c>
      <c r="AE763" s="7" t="str">
        <f t="shared" si="6"/>
        <v/>
      </c>
      <c r="AG763" s="4" t="str">
        <f t="array" ref="AG763">XLOOKUP(AC763,'Dados Funil'!A:A,'Dados Funil'!AM:AM,"")</f>
        <v/>
      </c>
      <c r="AH763" s="4" t="str">
        <f t="array" ref="AH763">XLOOKUP(AC763,'Dados Funil'!A:A,'Dados Funil'!AN:AN,"")</f>
        <v/>
      </c>
    </row>
    <row r="764">
      <c r="A764" s="4"/>
      <c r="B764" s="4"/>
      <c r="C764" s="7" t="str">
        <f t="shared" si="1"/>
        <v/>
      </c>
      <c r="D764" s="4" t="str">
        <f t="shared" si="9"/>
        <v/>
      </c>
      <c r="E764" s="4" t="str">
        <f t="array" ref="E764">XLOOKUP(A764,'Dados Funil'!$A:$A,'Dados Funil'!$K:$K,"")</f>
        <v/>
      </c>
      <c r="F764" s="4" t="str">
        <f t="array" ref="F764">XLOOKUP(A764,'Dados Funil'!$A:$A,'Dados Funil'!$L:$L,"")</f>
        <v/>
      </c>
      <c r="G764" s="4"/>
      <c r="H764" s="4"/>
      <c r="I764" s="7" t="str">
        <f t="shared" si="2"/>
        <v/>
      </c>
      <c r="J764" s="4" t="str">
        <f t="shared" si="10"/>
        <v/>
      </c>
      <c r="K764" s="4" t="str">
        <f t="array" ref="K764">XLOOKUP(G764,'Dados Funil'!A:A,'Dados Funil'!O:O,"")</f>
        <v/>
      </c>
      <c r="L764" s="4"/>
      <c r="M764" s="4"/>
      <c r="N764" s="7" t="str">
        <f t="shared" si="3"/>
        <v/>
      </c>
      <c r="O764" s="4" t="str">
        <f t="shared" si="11"/>
        <v/>
      </c>
      <c r="P764" s="4" t="str">
        <f t="array" ref="P764">XLOOKUP(L764,'Dados Funil'!A:A,'Dados Funil'!AM:AM,"")</f>
        <v/>
      </c>
      <c r="Q764" s="4" t="str">
        <f t="array" ref="Q764">XLOOKUP(L764,'Dados Funil'!A:A,'Dados Funil'!AN:AN,"")</f>
        <v/>
      </c>
      <c r="T764" s="7" t="str">
        <f t="shared" si="4"/>
        <v/>
      </c>
      <c r="U764" s="4" t="str">
        <f t="shared" si="12"/>
        <v/>
      </c>
      <c r="V764" s="4" t="str">
        <f t="array" ref="V764">XLOOKUP(R764,'Dados Funil'!$A:$A,'Dados Funil'!$K:$K,"")</f>
        <v/>
      </c>
      <c r="W764" s="4" t="str">
        <f t="array" ref="W764">XLOOKUP(R764,'Dados Funil'!$A:$A,'Dados Funil'!$L:$L,"")</f>
        <v/>
      </c>
      <c r="X764" s="4"/>
      <c r="Y764" s="4"/>
      <c r="Z764" s="7" t="str">
        <f t="shared" si="5"/>
        <v/>
      </c>
      <c r="AA764" s="4" t="str">
        <f t="shared" si="13"/>
        <v/>
      </c>
      <c r="AB764" s="4" t="str">
        <f t="array" ref="AB764">XLOOKUP(X764,'Dados Funil'!A:A,'Dados Funil'!O:O,"")</f>
        <v/>
      </c>
      <c r="AE764" s="7" t="str">
        <f t="shared" si="6"/>
        <v/>
      </c>
      <c r="AG764" s="4" t="str">
        <f t="array" ref="AG764">XLOOKUP(AC764,'Dados Funil'!A:A,'Dados Funil'!AM:AM,"")</f>
        <v/>
      </c>
      <c r="AH764" s="4" t="str">
        <f t="array" ref="AH764">XLOOKUP(AC764,'Dados Funil'!A:A,'Dados Funil'!AN:AN,"")</f>
        <v/>
      </c>
    </row>
    <row r="765">
      <c r="A765" s="4"/>
      <c r="B765" s="4"/>
      <c r="C765" s="7" t="str">
        <f t="shared" si="1"/>
        <v/>
      </c>
      <c r="D765" s="4" t="str">
        <f t="shared" si="9"/>
        <v/>
      </c>
      <c r="E765" s="4" t="str">
        <f t="array" ref="E765">XLOOKUP(A765,'Dados Funil'!$A:$A,'Dados Funil'!$K:$K,"")</f>
        <v/>
      </c>
      <c r="F765" s="4" t="str">
        <f t="array" ref="F765">XLOOKUP(A765,'Dados Funil'!$A:$A,'Dados Funil'!$L:$L,"")</f>
        <v/>
      </c>
      <c r="G765" s="4"/>
      <c r="H765" s="4"/>
      <c r="I765" s="7" t="str">
        <f t="shared" si="2"/>
        <v/>
      </c>
      <c r="J765" s="4" t="str">
        <f t="shared" si="10"/>
        <v/>
      </c>
      <c r="K765" s="4" t="str">
        <f t="array" ref="K765">XLOOKUP(G765,'Dados Funil'!A:A,'Dados Funil'!O:O,"")</f>
        <v/>
      </c>
      <c r="L765" s="4"/>
      <c r="M765" s="4"/>
      <c r="N765" s="7" t="str">
        <f t="shared" si="3"/>
        <v/>
      </c>
      <c r="O765" s="4" t="str">
        <f t="shared" si="11"/>
        <v/>
      </c>
      <c r="P765" s="4" t="str">
        <f t="array" ref="P765">XLOOKUP(L765,'Dados Funil'!A:A,'Dados Funil'!AM:AM,"")</f>
        <v/>
      </c>
      <c r="Q765" s="4" t="str">
        <f t="array" ref="Q765">XLOOKUP(L765,'Dados Funil'!A:A,'Dados Funil'!AN:AN,"")</f>
        <v/>
      </c>
      <c r="T765" s="7" t="str">
        <f t="shared" si="4"/>
        <v/>
      </c>
      <c r="U765" s="4" t="str">
        <f t="shared" si="12"/>
        <v/>
      </c>
      <c r="V765" s="4" t="str">
        <f t="array" ref="V765">XLOOKUP(R765,'Dados Funil'!$A:$A,'Dados Funil'!$K:$K,"")</f>
        <v/>
      </c>
      <c r="W765" s="4" t="str">
        <f t="array" ref="W765">XLOOKUP(R765,'Dados Funil'!$A:$A,'Dados Funil'!$L:$L,"")</f>
        <v/>
      </c>
      <c r="X765" s="4"/>
      <c r="Y765" s="4"/>
      <c r="Z765" s="7" t="str">
        <f t="shared" si="5"/>
        <v/>
      </c>
      <c r="AA765" s="4" t="str">
        <f t="shared" si="13"/>
        <v/>
      </c>
      <c r="AB765" s="4" t="str">
        <f t="array" ref="AB765">XLOOKUP(X765,'Dados Funil'!A:A,'Dados Funil'!O:O,"")</f>
        <v/>
      </c>
      <c r="AE765" s="7" t="str">
        <f t="shared" si="6"/>
        <v/>
      </c>
      <c r="AG765" s="4" t="str">
        <f t="array" ref="AG765">XLOOKUP(AC765,'Dados Funil'!A:A,'Dados Funil'!AM:AM,"")</f>
        <v/>
      </c>
      <c r="AH765" s="4" t="str">
        <f t="array" ref="AH765">XLOOKUP(AC765,'Dados Funil'!A:A,'Dados Funil'!AN:AN,"")</f>
        <v/>
      </c>
    </row>
    <row r="766">
      <c r="A766" s="4"/>
      <c r="B766" s="4"/>
      <c r="C766" s="7" t="str">
        <f t="shared" si="1"/>
        <v/>
      </c>
      <c r="D766" s="4" t="str">
        <f t="shared" si="9"/>
        <v/>
      </c>
      <c r="E766" s="4" t="str">
        <f t="array" ref="E766">XLOOKUP(A766,'Dados Funil'!$A:$A,'Dados Funil'!$K:$K,"")</f>
        <v/>
      </c>
      <c r="F766" s="4" t="str">
        <f t="array" ref="F766">XLOOKUP(A766,'Dados Funil'!$A:$A,'Dados Funil'!$L:$L,"")</f>
        <v/>
      </c>
      <c r="G766" s="4"/>
      <c r="H766" s="4"/>
      <c r="I766" s="7" t="str">
        <f t="shared" si="2"/>
        <v/>
      </c>
      <c r="J766" s="4" t="str">
        <f t="shared" si="10"/>
        <v/>
      </c>
      <c r="K766" s="4" t="str">
        <f t="array" ref="K766">XLOOKUP(G766,'Dados Funil'!A:A,'Dados Funil'!O:O,"")</f>
        <v/>
      </c>
      <c r="L766" s="4"/>
      <c r="M766" s="4"/>
      <c r="N766" s="7" t="str">
        <f t="shared" si="3"/>
        <v/>
      </c>
      <c r="O766" s="4" t="str">
        <f t="shared" si="11"/>
        <v/>
      </c>
      <c r="P766" s="4" t="str">
        <f t="array" ref="P766">XLOOKUP(L766,'Dados Funil'!A:A,'Dados Funil'!AM:AM,"")</f>
        <v/>
      </c>
      <c r="Q766" s="4" t="str">
        <f t="array" ref="Q766">XLOOKUP(L766,'Dados Funil'!A:A,'Dados Funil'!AN:AN,"")</f>
        <v/>
      </c>
      <c r="T766" s="7" t="str">
        <f t="shared" si="4"/>
        <v/>
      </c>
      <c r="U766" s="4" t="str">
        <f t="shared" si="12"/>
        <v/>
      </c>
      <c r="V766" s="4" t="str">
        <f t="array" ref="V766">XLOOKUP(R766,'Dados Funil'!$A:$A,'Dados Funil'!$K:$K,"")</f>
        <v/>
      </c>
      <c r="W766" s="4" t="str">
        <f t="array" ref="W766">XLOOKUP(R766,'Dados Funil'!$A:$A,'Dados Funil'!$L:$L,"")</f>
        <v/>
      </c>
      <c r="X766" s="4"/>
      <c r="Y766" s="4"/>
      <c r="Z766" s="7" t="str">
        <f t="shared" si="5"/>
        <v/>
      </c>
      <c r="AA766" s="4" t="str">
        <f t="shared" si="13"/>
        <v/>
      </c>
      <c r="AB766" s="4" t="str">
        <f t="array" ref="AB766">XLOOKUP(X766,'Dados Funil'!A:A,'Dados Funil'!O:O,"")</f>
        <v/>
      </c>
      <c r="AE766" s="7" t="str">
        <f t="shared" si="6"/>
        <v/>
      </c>
      <c r="AG766" s="4" t="str">
        <f t="array" ref="AG766">XLOOKUP(AC766,'Dados Funil'!A:A,'Dados Funil'!AM:AM,"")</f>
        <v/>
      </c>
      <c r="AH766" s="4" t="str">
        <f t="array" ref="AH766">XLOOKUP(AC766,'Dados Funil'!A:A,'Dados Funil'!AN:AN,"")</f>
        <v/>
      </c>
    </row>
    <row r="767">
      <c r="A767" s="4"/>
      <c r="B767" s="4"/>
      <c r="C767" s="7" t="str">
        <f t="shared" si="1"/>
        <v/>
      </c>
      <c r="D767" s="4" t="str">
        <f t="shared" si="9"/>
        <v/>
      </c>
      <c r="E767" s="4" t="str">
        <f t="array" ref="E767">XLOOKUP(A767,'Dados Funil'!$A:$A,'Dados Funil'!$K:$K,"")</f>
        <v/>
      </c>
      <c r="F767" s="4" t="str">
        <f t="array" ref="F767">XLOOKUP(A767,'Dados Funil'!$A:$A,'Dados Funil'!$L:$L,"")</f>
        <v/>
      </c>
      <c r="G767" s="4"/>
      <c r="H767" s="4"/>
      <c r="I767" s="7" t="str">
        <f t="shared" si="2"/>
        <v/>
      </c>
      <c r="J767" s="4" t="str">
        <f t="shared" si="10"/>
        <v/>
      </c>
      <c r="K767" s="4" t="str">
        <f t="array" ref="K767">XLOOKUP(G767,'Dados Funil'!A:A,'Dados Funil'!O:O,"")</f>
        <v/>
      </c>
      <c r="L767" s="4"/>
      <c r="M767" s="4"/>
      <c r="N767" s="7" t="str">
        <f t="shared" si="3"/>
        <v/>
      </c>
      <c r="O767" s="4" t="str">
        <f t="shared" si="11"/>
        <v/>
      </c>
      <c r="P767" s="4" t="str">
        <f t="array" ref="P767">XLOOKUP(L767,'Dados Funil'!A:A,'Dados Funil'!AM:AM,"")</f>
        <v/>
      </c>
      <c r="Q767" s="4" t="str">
        <f t="array" ref="Q767">XLOOKUP(L767,'Dados Funil'!A:A,'Dados Funil'!AN:AN,"")</f>
        <v/>
      </c>
      <c r="T767" s="7" t="str">
        <f t="shared" si="4"/>
        <v/>
      </c>
      <c r="U767" s="4" t="str">
        <f t="shared" si="12"/>
        <v/>
      </c>
      <c r="V767" s="4" t="str">
        <f t="array" ref="V767">XLOOKUP(R767,'Dados Funil'!$A:$A,'Dados Funil'!$K:$K,"")</f>
        <v/>
      </c>
      <c r="W767" s="4" t="str">
        <f t="array" ref="W767">XLOOKUP(R767,'Dados Funil'!$A:$A,'Dados Funil'!$L:$L,"")</f>
        <v/>
      </c>
      <c r="X767" s="4"/>
      <c r="Y767" s="4"/>
      <c r="Z767" s="7" t="str">
        <f t="shared" si="5"/>
        <v/>
      </c>
      <c r="AA767" s="4" t="str">
        <f t="shared" si="13"/>
        <v/>
      </c>
      <c r="AB767" s="4" t="str">
        <f t="array" ref="AB767">XLOOKUP(X767,'Dados Funil'!A:A,'Dados Funil'!O:O,"")</f>
        <v/>
      </c>
      <c r="AE767" s="7" t="str">
        <f t="shared" si="6"/>
        <v/>
      </c>
      <c r="AG767" s="4" t="str">
        <f t="array" ref="AG767">XLOOKUP(AC767,'Dados Funil'!A:A,'Dados Funil'!AM:AM,"")</f>
        <v/>
      </c>
      <c r="AH767" s="4" t="str">
        <f t="array" ref="AH767">XLOOKUP(AC767,'Dados Funil'!A:A,'Dados Funil'!AN:AN,"")</f>
        <v/>
      </c>
    </row>
    <row r="768">
      <c r="A768" s="4"/>
      <c r="B768" s="4"/>
      <c r="C768" s="7" t="str">
        <f t="shared" si="1"/>
        <v/>
      </c>
      <c r="D768" s="4" t="str">
        <f t="shared" si="9"/>
        <v/>
      </c>
      <c r="E768" s="4" t="str">
        <f t="array" ref="E768">XLOOKUP(A768,'Dados Funil'!$A:$A,'Dados Funil'!$K:$K,"")</f>
        <v/>
      </c>
      <c r="F768" s="4" t="str">
        <f t="array" ref="F768">XLOOKUP(A768,'Dados Funil'!$A:$A,'Dados Funil'!$L:$L,"")</f>
        <v/>
      </c>
      <c r="G768" s="4"/>
      <c r="H768" s="4"/>
      <c r="I768" s="7" t="str">
        <f t="shared" si="2"/>
        <v/>
      </c>
      <c r="J768" s="4" t="str">
        <f t="shared" si="10"/>
        <v/>
      </c>
      <c r="K768" s="4" t="str">
        <f t="array" ref="K768">XLOOKUP(G768,'Dados Funil'!A:A,'Dados Funil'!O:O,"")</f>
        <v/>
      </c>
      <c r="L768" s="4"/>
      <c r="M768" s="4"/>
      <c r="N768" s="7" t="str">
        <f t="shared" si="3"/>
        <v/>
      </c>
      <c r="O768" s="4" t="str">
        <f t="shared" si="11"/>
        <v/>
      </c>
      <c r="P768" s="4" t="str">
        <f t="array" ref="P768">XLOOKUP(L768,'Dados Funil'!A:A,'Dados Funil'!AM:AM,"")</f>
        <v/>
      </c>
      <c r="Q768" s="4" t="str">
        <f t="array" ref="Q768">XLOOKUP(L768,'Dados Funil'!A:A,'Dados Funil'!AN:AN,"")</f>
        <v/>
      </c>
      <c r="T768" s="7" t="str">
        <f t="shared" si="4"/>
        <v/>
      </c>
      <c r="U768" s="4" t="str">
        <f t="shared" si="12"/>
        <v/>
      </c>
      <c r="V768" s="4" t="str">
        <f t="array" ref="V768">XLOOKUP(R768,'Dados Funil'!$A:$A,'Dados Funil'!$K:$K,"")</f>
        <v/>
      </c>
      <c r="W768" s="4" t="str">
        <f t="array" ref="W768">XLOOKUP(R768,'Dados Funil'!$A:$A,'Dados Funil'!$L:$L,"")</f>
        <v/>
      </c>
      <c r="X768" s="4"/>
      <c r="Y768" s="4"/>
      <c r="Z768" s="7" t="str">
        <f t="shared" si="5"/>
        <v/>
      </c>
      <c r="AA768" s="4" t="str">
        <f t="shared" si="13"/>
        <v/>
      </c>
      <c r="AB768" s="4" t="str">
        <f t="array" ref="AB768">XLOOKUP(X768,'Dados Funil'!A:A,'Dados Funil'!O:O,"")</f>
        <v/>
      </c>
      <c r="AE768" s="7" t="str">
        <f t="shared" si="6"/>
        <v/>
      </c>
      <c r="AG768" s="4" t="str">
        <f t="array" ref="AG768">XLOOKUP(AC768,'Dados Funil'!A:A,'Dados Funil'!AM:AM,"")</f>
        <v/>
      </c>
      <c r="AH768" s="4" t="str">
        <f t="array" ref="AH768">XLOOKUP(AC768,'Dados Funil'!A:A,'Dados Funil'!AN:AN,"")</f>
        <v/>
      </c>
    </row>
    <row r="769">
      <c r="A769" s="4"/>
      <c r="B769" s="4"/>
      <c r="C769" s="7" t="str">
        <f t="shared" si="1"/>
        <v/>
      </c>
      <c r="D769" s="4" t="str">
        <f t="shared" si="9"/>
        <v/>
      </c>
      <c r="E769" s="4" t="str">
        <f t="array" ref="E769">XLOOKUP(A769,'Dados Funil'!$A:$A,'Dados Funil'!$K:$K,"")</f>
        <v/>
      </c>
      <c r="F769" s="4" t="str">
        <f t="array" ref="F769">XLOOKUP(A769,'Dados Funil'!$A:$A,'Dados Funil'!$L:$L,"")</f>
        <v/>
      </c>
      <c r="G769" s="4"/>
      <c r="H769" s="4"/>
      <c r="I769" s="7" t="str">
        <f t="shared" si="2"/>
        <v/>
      </c>
      <c r="J769" s="4" t="str">
        <f t="shared" si="10"/>
        <v/>
      </c>
      <c r="K769" s="4" t="str">
        <f t="array" ref="K769">XLOOKUP(G769,'Dados Funil'!A:A,'Dados Funil'!O:O,"")</f>
        <v/>
      </c>
      <c r="L769" s="4"/>
      <c r="M769" s="4"/>
      <c r="N769" s="7" t="str">
        <f t="shared" si="3"/>
        <v/>
      </c>
      <c r="O769" s="4" t="str">
        <f t="shared" si="11"/>
        <v/>
      </c>
      <c r="P769" s="4" t="str">
        <f t="array" ref="P769">XLOOKUP(L769,'Dados Funil'!A:A,'Dados Funil'!AM:AM,"")</f>
        <v/>
      </c>
      <c r="Q769" s="4" t="str">
        <f t="array" ref="Q769">XLOOKUP(L769,'Dados Funil'!A:A,'Dados Funil'!AN:AN,"")</f>
        <v/>
      </c>
      <c r="T769" s="7" t="str">
        <f t="shared" si="4"/>
        <v/>
      </c>
      <c r="U769" s="4" t="str">
        <f t="shared" si="12"/>
        <v/>
      </c>
      <c r="V769" s="4" t="str">
        <f t="array" ref="V769">XLOOKUP(R769,'Dados Funil'!$A:$A,'Dados Funil'!$K:$K,"")</f>
        <v/>
      </c>
      <c r="W769" s="4" t="str">
        <f t="array" ref="W769">XLOOKUP(R769,'Dados Funil'!$A:$A,'Dados Funil'!$L:$L,"")</f>
        <v/>
      </c>
      <c r="X769" s="4"/>
      <c r="Y769" s="4"/>
      <c r="Z769" s="7" t="str">
        <f t="shared" si="5"/>
        <v/>
      </c>
      <c r="AA769" s="4" t="str">
        <f t="shared" si="13"/>
        <v/>
      </c>
      <c r="AB769" s="4" t="str">
        <f t="array" ref="AB769">XLOOKUP(X769,'Dados Funil'!A:A,'Dados Funil'!O:O,"")</f>
        <v/>
      </c>
      <c r="AE769" s="7" t="str">
        <f t="shared" si="6"/>
        <v/>
      </c>
      <c r="AG769" s="4" t="str">
        <f t="array" ref="AG769">XLOOKUP(AC769,'Dados Funil'!A:A,'Dados Funil'!AM:AM,"")</f>
        <v/>
      </c>
      <c r="AH769" s="4" t="str">
        <f t="array" ref="AH769">XLOOKUP(AC769,'Dados Funil'!A:A,'Dados Funil'!AN:AN,"")</f>
        <v/>
      </c>
    </row>
    <row r="770">
      <c r="A770" s="4"/>
      <c r="B770" s="4"/>
      <c r="C770" s="7" t="str">
        <f t="shared" si="1"/>
        <v/>
      </c>
      <c r="D770" s="4" t="str">
        <f t="shared" si="9"/>
        <v/>
      </c>
      <c r="E770" s="4" t="str">
        <f t="array" ref="E770">XLOOKUP(A770,'Dados Funil'!$A:$A,'Dados Funil'!$K:$K,"")</f>
        <v/>
      </c>
      <c r="F770" s="4" t="str">
        <f t="array" ref="F770">XLOOKUP(A770,'Dados Funil'!$A:$A,'Dados Funil'!$L:$L,"")</f>
        <v/>
      </c>
      <c r="G770" s="4"/>
      <c r="H770" s="4"/>
      <c r="I770" s="7" t="str">
        <f t="shared" si="2"/>
        <v/>
      </c>
      <c r="J770" s="4" t="str">
        <f t="shared" si="10"/>
        <v/>
      </c>
      <c r="K770" s="4" t="str">
        <f t="array" ref="K770">XLOOKUP(G770,'Dados Funil'!A:A,'Dados Funil'!O:O,"")</f>
        <v/>
      </c>
      <c r="L770" s="4"/>
      <c r="M770" s="4"/>
      <c r="N770" s="7" t="str">
        <f t="shared" si="3"/>
        <v/>
      </c>
      <c r="O770" s="4" t="str">
        <f t="shared" si="11"/>
        <v/>
      </c>
      <c r="P770" s="4" t="str">
        <f t="array" ref="P770">XLOOKUP(L770,'Dados Funil'!A:A,'Dados Funil'!AM:AM,"")</f>
        <v/>
      </c>
      <c r="Q770" s="4" t="str">
        <f t="array" ref="Q770">XLOOKUP(L770,'Dados Funil'!A:A,'Dados Funil'!AN:AN,"")</f>
        <v/>
      </c>
      <c r="T770" s="7" t="str">
        <f t="shared" si="4"/>
        <v/>
      </c>
      <c r="U770" s="4" t="str">
        <f t="shared" si="12"/>
        <v/>
      </c>
      <c r="V770" s="4" t="str">
        <f t="array" ref="V770">XLOOKUP(R770,'Dados Funil'!$A:$A,'Dados Funil'!$K:$K,"")</f>
        <v/>
      </c>
      <c r="W770" s="4" t="str">
        <f t="array" ref="W770">XLOOKUP(R770,'Dados Funil'!$A:$A,'Dados Funil'!$L:$L,"")</f>
        <v/>
      </c>
      <c r="X770" s="4"/>
      <c r="Y770" s="4"/>
      <c r="Z770" s="7" t="str">
        <f t="shared" si="5"/>
        <v/>
      </c>
      <c r="AA770" s="4" t="str">
        <f t="shared" si="13"/>
        <v/>
      </c>
      <c r="AB770" s="4" t="str">
        <f t="array" ref="AB770">XLOOKUP(X770,'Dados Funil'!A:A,'Dados Funil'!O:O,"")</f>
        <v/>
      </c>
      <c r="AE770" s="7" t="str">
        <f t="shared" si="6"/>
        <v/>
      </c>
      <c r="AG770" s="4" t="str">
        <f t="array" ref="AG770">XLOOKUP(AC770,'Dados Funil'!A:A,'Dados Funil'!AM:AM,"")</f>
        <v/>
      </c>
      <c r="AH770" s="4" t="str">
        <f t="array" ref="AH770">XLOOKUP(AC770,'Dados Funil'!A:A,'Dados Funil'!AN:AN,"")</f>
        <v/>
      </c>
    </row>
    <row r="771">
      <c r="A771" s="4"/>
      <c r="B771" s="4"/>
      <c r="C771" s="7" t="str">
        <f t="shared" si="1"/>
        <v/>
      </c>
      <c r="D771" s="4" t="str">
        <f t="shared" si="9"/>
        <v/>
      </c>
      <c r="E771" s="4" t="str">
        <f t="array" ref="E771">XLOOKUP(A771,'Dados Funil'!$A:$A,'Dados Funil'!$K:$K,"")</f>
        <v/>
      </c>
      <c r="F771" s="4" t="str">
        <f t="array" ref="F771">XLOOKUP(A771,'Dados Funil'!$A:$A,'Dados Funil'!$L:$L,"")</f>
        <v/>
      </c>
      <c r="G771" s="4"/>
      <c r="H771" s="4"/>
      <c r="I771" s="7" t="str">
        <f t="shared" si="2"/>
        <v/>
      </c>
      <c r="J771" s="4" t="str">
        <f t="shared" si="10"/>
        <v/>
      </c>
      <c r="K771" s="4" t="str">
        <f t="array" ref="K771">XLOOKUP(G771,'Dados Funil'!A:A,'Dados Funil'!O:O,"")</f>
        <v/>
      </c>
      <c r="L771" s="4"/>
      <c r="M771" s="4"/>
      <c r="N771" s="7" t="str">
        <f t="shared" si="3"/>
        <v/>
      </c>
      <c r="O771" s="4" t="str">
        <f t="shared" si="11"/>
        <v/>
      </c>
      <c r="P771" s="4" t="str">
        <f t="array" ref="P771">XLOOKUP(L771,'Dados Funil'!A:A,'Dados Funil'!AM:AM,"")</f>
        <v/>
      </c>
      <c r="Q771" s="4" t="str">
        <f t="array" ref="Q771">XLOOKUP(L771,'Dados Funil'!A:A,'Dados Funil'!AN:AN,"")</f>
        <v/>
      </c>
      <c r="T771" s="7" t="str">
        <f t="shared" si="4"/>
        <v/>
      </c>
      <c r="U771" s="4" t="str">
        <f t="shared" si="12"/>
        <v/>
      </c>
      <c r="V771" s="4" t="str">
        <f t="array" ref="V771">XLOOKUP(R771,'Dados Funil'!$A:$A,'Dados Funil'!$K:$K,"")</f>
        <v/>
      </c>
      <c r="W771" s="4" t="str">
        <f t="array" ref="W771">XLOOKUP(R771,'Dados Funil'!$A:$A,'Dados Funil'!$L:$L,"")</f>
        <v/>
      </c>
      <c r="X771" s="4"/>
      <c r="Y771" s="4"/>
      <c r="Z771" s="7" t="str">
        <f t="shared" si="5"/>
        <v/>
      </c>
      <c r="AA771" s="4" t="str">
        <f t="shared" si="13"/>
        <v/>
      </c>
      <c r="AB771" s="4" t="str">
        <f t="array" ref="AB771">XLOOKUP(X771,'Dados Funil'!A:A,'Dados Funil'!O:O,"")</f>
        <v/>
      </c>
      <c r="AE771" s="7" t="str">
        <f t="shared" si="6"/>
        <v/>
      </c>
      <c r="AG771" s="4" t="str">
        <f t="array" ref="AG771">XLOOKUP(AC771,'Dados Funil'!A:A,'Dados Funil'!AM:AM,"")</f>
        <v/>
      </c>
      <c r="AH771" s="4" t="str">
        <f t="array" ref="AH771">XLOOKUP(AC771,'Dados Funil'!A:A,'Dados Funil'!AN:AN,"")</f>
        <v/>
      </c>
    </row>
    <row r="772">
      <c r="A772" s="4"/>
      <c r="B772" s="4"/>
      <c r="C772" s="7" t="str">
        <f t="shared" si="1"/>
        <v/>
      </c>
      <c r="D772" s="4" t="str">
        <f t="shared" si="9"/>
        <v/>
      </c>
      <c r="E772" s="4" t="str">
        <f t="array" ref="E772">XLOOKUP(A772,'Dados Funil'!$A:$A,'Dados Funil'!$K:$K,"")</f>
        <v/>
      </c>
      <c r="F772" s="4" t="str">
        <f t="array" ref="F772">XLOOKUP(A772,'Dados Funil'!$A:$A,'Dados Funil'!$L:$L,"")</f>
        <v/>
      </c>
      <c r="G772" s="4"/>
      <c r="H772" s="4"/>
      <c r="I772" s="7" t="str">
        <f t="shared" si="2"/>
        <v/>
      </c>
      <c r="J772" s="4" t="str">
        <f t="shared" si="10"/>
        <v/>
      </c>
      <c r="K772" s="4" t="str">
        <f t="array" ref="K772">XLOOKUP(G772,'Dados Funil'!A:A,'Dados Funil'!O:O,"")</f>
        <v/>
      </c>
      <c r="L772" s="4"/>
      <c r="M772" s="4"/>
      <c r="N772" s="7" t="str">
        <f t="shared" si="3"/>
        <v/>
      </c>
      <c r="O772" s="4" t="str">
        <f t="shared" si="11"/>
        <v/>
      </c>
      <c r="P772" s="4" t="str">
        <f t="array" ref="P772">XLOOKUP(L772,'Dados Funil'!A:A,'Dados Funil'!AM:AM,"")</f>
        <v/>
      </c>
      <c r="Q772" s="4" t="str">
        <f t="array" ref="Q772">XLOOKUP(L772,'Dados Funil'!A:A,'Dados Funil'!AN:AN,"")</f>
        <v/>
      </c>
      <c r="T772" s="7" t="str">
        <f t="shared" si="4"/>
        <v/>
      </c>
      <c r="U772" s="4" t="str">
        <f t="shared" si="12"/>
        <v/>
      </c>
      <c r="V772" s="4" t="str">
        <f t="array" ref="V772">XLOOKUP(R772,'Dados Funil'!$A:$A,'Dados Funil'!$K:$K,"")</f>
        <v/>
      </c>
      <c r="W772" s="4" t="str">
        <f t="array" ref="W772">XLOOKUP(R772,'Dados Funil'!$A:$A,'Dados Funil'!$L:$L,"")</f>
        <v/>
      </c>
      <c r="X772" s="4"/>
      <c r="Y772" s="4"/>
      <c r="Z772" s="7" t="str">
        <f t="shared" si="5"/>
        <v/>
      </c>
      <c r="AA772" s="4" t="str">
        <f t="shared" si="13"/>
        <v/>
      </c>
      <c r="AB772" s="4" t="str">
        <f t="array" ref="AB772">XLOOKUP(X772,'Dados Funil'!A:A,'Dados Funil'!O:O,"")</f>
        <v/>
      </c>
      <c r="AE772" s="7" t="str">
        <f t="shared" si="6"/>
        <v/>
      </c>
      <c r="AG772" s="4" t="str">
        <f t="array" ref="AG772">XLOOKUP(AC772,'Dados Funil'!A:A,'Dados Funil'!AM:AM,"")</f>
        <v/>
      </c>
      <c r="AH772" s="4" t="str">
        <f t="array" ref="AH772">XLOOKUP(AC772,'Dados Funil'!A:A,'Dados Funil'!AN:AN,"")</f>
        <v/>
      </c>
    </row>
    <row r="773">
      <c r="A773" s="4"/>
      <c r="B773" s="4"/>
      <c r="C773" s="7" t="str">
        <f t="shared" si="1"/>
        <v/>
      </c>
      <c r="D773" s="4" t="str">
        <f t="shared" si="9"/>
        <v/>
      </c>
      <c r="E773" s="4" t="str">
        <f t="array" ref="E773">XLOOKUP(A773,'Dados Funil'!$A:$A,'Dados Funil'!$K:$K,"")</f>
        <v/>
      </c>
      <c r="F773" s="4" t="str">
        <f t="array" ref="F773">XLOOKUP(A773,'Dados Funil'!$A:$A,'Dados Funil'!$L:$L,"")</f>
        <v/>
      </c>
      <c r="G773" s="4"/>
      <c r="H773" s="4"/>
      <c r="I773" s="7" t="str">
        <f t="shared" si="2"/>
        <v/>
      </c>
      <c r="J773" s="4" t="str">
        <f t="shared" si="10"/>
        <v/>
      </c>
      <c r="K773" s="4" t="str">
        <f t="array" ref="K773">XLOOKUP(G773,'Dados Funil'!A:A,'Dados Funil'!O:O,"")</f>
        <v/>
      </c>
      <c r="L773" s="4"/>
      <c r="M773" s="4"/>
      <c r="N773" s="7" t="str">
        <f t="shared" si="3"/>
        <v/>
      </c>
      <c r="O773" s="4" t="str">
        <f t="shared" si="11"/>
        <v/>
      </c>
      <c r="P773" s="4" t="str">
        <f t="array" ref="P773">XLOOKUP(L773,'Dados Funil'!A:A,'Dados Funil'!AM:AM,"")</f>
        <v/>
      </c>
      <c r="Q773" s="4" t="str">
        <f t="array" ref="Q773">XLOOKUP(L773,'Dados Funil'!A:A,'Dados Funil'!AN:AN,"")</f>
        <v/>
      </c>
      <c r="T773" s="7" t="str">
        <f t="shared" si="4"/>
        <v/>
      </c>
      <c r="U773" s="4" t="str">
        <f t="shared" si="12"/>
        <v/>
      </c>
      <c r="V773" s="4" t="str">
        <f t="array" ref="V773">XLOOKUP(R773,'Dados Funil'!$A:$A,'Dados Funil'!$K:$K,"")</f>
        <v/>
      </c>
      <c r="W773" s="4" t="str">
        <f t="array" ref="W773">XLOOKUP(R773,'Dados Funil'!$A:$A,'Dados Funil'!$L:$L,"")</f>
        <v/>
      </c>
      <c r="X773" s="4"/>
      <c r="Y773" s="4"/>
      <c r="Z773" s="7" t="str">
        <f t="shared" si="5"/>
        <v/>
      </c>
      <c r="AA773" s="4" t="str">
        <f t="shared" si="13"/>
        <v/>
      </c>
      <c r="AB773" s="4" t="str">
        <f t="array" ref="AB773">XLOOKUP(X773,'Dados Funil'!A:A,'Dados Funil'!O:O,"")</f>
        <v/>
      </c>
      <c r="AE773" s="7" t="str">
        <f t="shared" si="6"/>
        <v/>
      </c>
      <c r="AG773" s="4" t="str">
        <f t="array" ref="AG773">XLOOKUP(AC773,'Dados Funil'!A:A,'Dados Funil'!AM:AM,"")</f>
        <v/>
      </c>
      <c r="AH773" s="4" t="str">
        <f t="array" ref="AH773">XLOOKUP(AC773,'Dados Funil'!A:A,'Dados Funil'!AN:AN,"")</f>
        <v/>
      </c>
    </row>
    <row r="774">
      <c r="A774" s="4"/>
      <c r="B774" s="4"/>
      <c r="C774" s="7" t="str">
        <f t="shared" si="1"/>
        <v/>
      </c>
      <c r="D774" s="4" t="str">
        <f t="shared" si="9"/>
        <v/>
      </c>
      <c r="E774" s="4" t="str">
        <f t="array" ref="E774">XLOOKUP(A774,'Dados Funil'!$A:$A,'Dados Funil'!$K:$K,"")</f>
        <v/>
      </c>
      <c r="F774" s="4" t="str">
        <f t="array" ref="F774">XLOOKUP(A774,'Dados Funil'!$A:$A,'Dados Funil'!$L:$L,"")</f>
        <v/>
      </c>
      <c r="G774" s="4"/>
      <c r="H774" s="4"/>
      <c r="I774" s="7" t="str">
        <f t="shared" si="2"/>
        <v/>
      </c>
      <c r="J774" s="4" t="str">
        <f t="shared" si="10"/>
        <v/>
      </c>
      <c r="K774" s="4" t="str">
        <f t="array" ref="K774">XLOOKUP(G774,'Dados Funil'!A:A,'Dados Funil'!O:O,"")</f>
        <v/>
      </c>
      <c r="L774" s="4"/>
      <c r="M774" s="4"/>
      <c r="N774" s="7" t="str">
        <f t="shared" si="3"/>
        <v/>
      </c>
      <c r="O774" s="4" t="str">
        <f t="shared" si="11"/>
        <v/>
      </c>
      <c r="P774" s="4" t="str">
        <f t="array" ref="P774">XLOOKUP(L774,'Dados Funil'!A:A,'Dados Funil'!AM:AM,"")</f>
        <v/>
      </c>
      <c r="Q774" s="4" t="str">
        <f t="array" ref="Q774">XLOOKUP(L774,'Dados Funil'!A:A,'Dados Funil'!AN:AN,"")</f>
        <v/>
      </c>
      <c r="T774" s="7" t="str">
        <f t="shared" si="4"/>
        <v/>
      </c>
      <c r="U774" s="4" t="str">
        <f t="shared" si="12"/>
        <v/>
      </c>
      <c r="V774" s="4" t="str">
        <f t="array" ref="V774">XLOOKUP(R774,'Dados Funil'!$A:$A,'Dados Funil'!$K:$K,"")</f>
        <v/>
      </c>
      <c r="W774" s="4" t="str">
        <f t="array" ref="W774">XLOOKUP(R774,'Dados Funil'!$A:$A,'Dados Funil'!$L:$L,"")</f>
        <v/>
      </c>
      <c r="X774" s="4"/>
      <c r="Y774" s="4"/>
      <c r="Z774" s="7" t="str">
        <f t="shared" si="5"/>
        <v/>
      </c>
      <c r="AA774" s="4" t="str">
        <f t="shared" si="13"/>
        <v/>
      </c>
      <c r="AB774" s="4" t="str">
        <f t="array" ref="AB774">XLOOKUP(X774,'Dados Funil'!A:A,'Dados Funil'!O:O,"")</f>
        <v/>
      </c>
      <c r="AE774" s="7" t="str">
        <f t="shared" si="6"/>
        <v/>
      </c>
      <c r="AG774" s="4" t="str">
        <f t="array" ref="AG774">XLOOKUP(AC774,'Dados Funil'!A:A,'Dados Funil'!AM:AM,"")</f>
        <v/>
      </c>
      <c r="AH774" s="4" t="str">
        <f t="array" ref="AH774">XLOOKUP(AC774,'Dados Funil'!A:A,'Dados Funil'!AN:AN,"")</f>
        <v/>
      </c>
    </row>
    <row r="775">
      <c r="A775" s="4"/>
      <c r="B775" s="4"/>
      <c r="C775" s="7" t="str">
        <f t="shared" si="1"/>
        <v/>
      </c>
      <c r="D775" s="4" t="str">
        <f t="shared" si="9"/>
        <v/>
      </c>
      <c r="E775" s="4" t="str">
        <f t="array" ref="E775">XLOOKUP(A775,'Dados Funil'!$A:$A,'Dados Funil'!$K:$K,"")</f>
        <v/>
      </c>
      <c r="F775" s="4" t="str">
        <f t="array" ref="F775">XLOOKUP(A775,'Dados Funil'!$A:$A,'Dados Funil'!$L:$L,"")</f>
        <v/>
      </c>
      <c r="G775" s="4"/>
      <c r="H775" s="4"/>
      <c r="I775" s="7" t="str">
        <f t="shared" si="2"/>
        <v/>
      </c>
      <c r="J775" s="4" t="str">
        <f t="shared" si="10"/>
        <v/>
      </c>
      <c r="K775" s="4" t="str">
        <f t="array" ref="K775">XLOOKUP(G775,'Dados Funil'!A:A,'Dados Funil'!O:O,"")</f>
        <v/>
      </c>
      <c r="L775" s="4"/>
      <c r="M775" s="4"/>
      <c r="N775" s="7" t="str">
        <f t="shared" si="3"/>
        <v/>
      </c>
      <c r="O775" s="4" t="str">
        <f t="shared" si="11"/>
        <v/>
      </c>
      <c r="P775" s="4" t="str">
        <f t="array" ref="P775">XLOOKUP(L775,'Dados Funil'!A:A,'Dados Funil'!AM:AM,"")</f>
        <v/>
      </c>
      <c r="Q775" s="4" t="str">
        <f t="array" ref="Q775">XLOOKUP(L775,'Dados Funil'!A:A,'Dados Funil'!AN:AN,"")</f>
        <v/>
      </c>
      <c r="T775" s="7" t="str">
        <f t="shared" si="4"/>
        <v/>
      </c>
      <c r="U775" s="4" t="str">
        <f t="shared" si="12"/>
        <v/>
      </c>
      <c r="V775" s="4" t="str">
        <f t="array" ref="V775">XLOOKUP(R775,'Dados Funil'!$A:$A,'Dados Funil'!$K:$K,"")</f>
        <v/>
      </c>
      <c r="W775" s="4" t="str">
        <f t="array" ref="W775">XLOOKUP(R775,'Dados Funil'!$A:$A,'Dados Funil'!$L:$L,"")</f>
        <v/>
      </c>
      <c r="X775" s="4"/>
      <c r="Y775" s="4"/>
      <c r="Z775" s="7" t="str">
        <f t="shared" si="5"/>
        <v/>
      </c>
      <c r="AA775" s="4" t="str">
        <f t="shared" si="13"/>
        <v/>
      </c>
      <c r="AB775" s="4" t="str">
        <f t="array" ref="AB775">XLOOKUP(X775,'Dados Funil'!A:A,'Dados Funil'!O:O,"")</f>
        <v/>
      </c>
      <c r="AE775" s="7" t="str">
        <f t="shared" si="6"/>
        <v/>
      </c>
      <c r="AG775" s="4" t="str">
        <f t="array" ref="AG775">XLOOKUP(AC775,'Dados Funil'!A:A,'Dados Funil'!AM:AM,"")</f>
        <v/>
      </c>
      <c r="AH775" s="4" t="str">
        <f t="array" ref="AH775">XLOOKUP(AC775,'Dados Funil'!A:A,'Dados Funil'!AN:AN,"")</f>
        <v/>
      </c>
    </row>
    <row r="776">
      <c r="A776" s="4"/>
      <c r="B776" s="4"/>
      <c r="C776" s="7" t="str">
        <f t="shared" si="1"/>
        <v/>
      </c>
      <c r="D776" s="4" t="str">
        <f t="shared" si="9"/>
        <v/>
      </c>
      <c r="E776" s="4" t="str">
        <f t="array" ref="E776">XLOOKUP(A776,'Dados Funil'!$A:$A,'Dados Funil'!$K:$K,"")</f>
        <v/>
      </c>
      <c r="F776" s="4" t="str">
        <f t="array" ref="F776">XLOOKUP(A776,'Dados Funil'!$A:$A,'Dados Funil'!$L:$L,"")</f>
        <v/>
      </c>
      <c r="G776" s="4"/>
      <c r="H776" s="4"/>
      <c r="I776" s="7" t="str">
        <f t="shared" si="2"/>
        <v/>
      </c>
      <c r="J776" s="4" t="str">
        <f t="shared" si="10"/>
        <v/>
      </c>
      <c r="K776" s="4" t="str">
        <f t="array" ref="K776">XLOOKUP(G776,'Dados Funil'!A:A,'Dados Funil'!O:O,"")</f>
        <v/>
      </c>
      <c r="L776" s="4"/>
      <c r="M776" s="4"/>
      <c r="N776" s="7" t="str">
        <f t="shared" si="3"/>
        <v/>
      </c>
      <c r="O776" s="4" t="str">
        <f t="shared" si="11"/>
        <v/>
      </c>
      <c r="P776" s="4" t="str">
        <f t="array" ref="P776">XLOOKUP(L776,'Dados Funil'!A:A,'Dados Funil'!AM:AM,"")</f>
        <v/>
      </c>
      <c r="Q776" s="4" t="str">
        <f t="array" ref="Q776">XLOOKUP(L776,'Dados Funil'!A:A,'Dados Funil'!AN:AN,"")</f>
        <v/>
      </c>
      <c r="T776" s="7" t="str">
        <f t="shared" si="4"/>
        <v/>
      </c>
      <c r="U776" s="4" t="str">
        <f t="shared" si="12"/>
        <v/>
      </c>
      <c r="V776" s="4" t="str">
        <f t="array" ref="V776">XLOOKUP(R776,'Dados Funil'!$A:$A,'Dados Funil'!$K:$K,"")</f>
        <v/>
      </c>
      <c r="W776" s="4" t="str">
        <f t="array" ref="W776">XLOOKUP(R776,'Dados Funil'!$A:$A,'Dados Funil'!$L:$L,"")</f>
        <v/>
      </c>
      <c r="X776" s="4"/>
      <c r="Y776" s="4"/>
      <c r="Z776" s="7" t="str">
        <f t="shared" si="5"/>
        <v/>
      </c>
      <c r="AA776" s="4" t="str">
        <f t="shared" si="13"/>
        <v/>
      </c>
      <c r="AB776" s="4" t="str">
        <f t="array" ref="AB776">XLOOKUP(X776,'Dados Funil'!A:A,'Dados Funil'!O:O,"")</f>
        <v/>
      </c>
      <c r="AE776" s="7" t="str">
        <f t="shared" si="6"/>
        <v/>
      </c>
      <c r="AG776" s="4" t="str">
        <f t="array" ref="AG776">XLOOKUP(AC776,'Dados Funil'!A:A,'Dados Funil'!AM:AM,"")</f>
        <v/>
      </c>
      <c r="AH776" s="4" t="str">
        <f t="array" ref="AH776">XLOOKUP(AC776,'Dados Funil'!A:A,'Dados Funil'!AN:AN,"")</f>
        <v/>
      </c>
    </row>
    <row r="777">
      <c r="A777" s="4"/>
      <c r="B777" s="4"/>
      <c r="C777" s="7" t="str">
        <f t="shared" si="1"/>
        <v/>
      </c>
      <c r="D777" s="4" t="str">
        <f t="shared" si="9"/>
        <v/>
      </c>
      <c r="E777" s="4" t="str">
        <f t="array" ref="E777">XLOOKUP(A777,'Dados Funil'!$A:$A,'Dados Funil'!$K:$K,"")</f>
        <v/>
      </c>
      <c r="F777" s="4" t="str">
        <f t="array" ref="F777">XLOOKUP(A777,'Dados Funil'!$A:$A,'Dados Funil'!$L:$L,"")</f>
        <v/>
      </c>
      <c r="G777" s="4"/>
      <c r="H777" s="4"/>
      <c r="I777" s="7" t="str">
        <f t="shared" si="2"/>
        <v/>
      </c>
      <c r="J777" s="4" t="str">
        <f t="shared" si="10"/>
        <v/>
      </c>
      <c r="K777" s="4" t="str">
        <f t="array" ref="K777">XLOOKUP(G777,'Dados Funil'!A:A,'Dados Funil'!O:O,"")</f>
        <v/>
      </c>
      <c r="L777" s="4"/>
      <c r="M777" s="4"/>
      <c r="N777" s="7" t="str">
        <f t="shared" si="3"/>
        <v/>
      </c>
      <c r="O777" s="4" t="str">
        <f t="shared" si="11"/>
        <v/>
      </c>
      <c r="P777" s="4" t="str">
        <f t="array" ref="P777">XLOOKUP(L777,'Dados Funil'!A:A,'Dados Funil'!AM:AM,"")</f>
        <v/>
      </c>
      <c r="Q777" s="4" t="str">
        <f t="array" ref="Q777">XLOOKUP(L777,'Dados Funil'!A:A,'Dados Funil'!AN:AN,"")</f>
        <v/>
      </c>
      <c r="T777" s="7" t="str">
        <f t="shared" si="4"/>
        <v/>
      </c>
      <c r="U777" s="4" t="str">
        <f t="shared" si="12"/>
        <v/>
      </c>
      <c r="V777" s="4" t="str">
        <f t="array" ref="V777">XLOOKUP(R777,'Dados Funil'!$A:$A,'Dados Funil'!$K:$K,"")</f>
        <v/>
      </c>
      <c r="W777" s="4" t="str">
        <f t="array" ref="W777">XLOOKUP(R777,'Dados Funil'!$A:$A,'Dados Funil'!$L:$L,"")</f>
        <v/>
      </c>
      <c r="X777" s="4"/>
      <c r="Y777" s="4"/>
      <c r="Z777" s="7" t="str">
        <f t="shared" si="5"/>
        <v/>
      </c>
      <c r="AA777" s="4" t="str">
        <f t="shared" si="13"/>
        <v/>
      </c>
      <c r="AB777" s="4" t="str">
        <f t="array" ref="AB777">XLOOKUP(X777,'Dados Funil'!A:A,'Dados Funil'!O:O,"")</f>
        <v/>
      </c>
      <c r="AE777" s="7" t="str">
        <f t="shared" si="6"/>
        <v/>
      </c>
      <c r="AG777" s="4" t="str">
        <f t="array" ref="AG777">XLOOKUP(AC777,'Dados Funil'!A:A,'Dados Funil'!AM:AM,"")</f>
        <v/>
      </c>
      <c r="AH777" s="4" t="str">
        <f t="array" ref="AH777">XLOOKUP(AC777,'Dados Funil'!A:A,'Dados Funil'!AN:AN,"")</f>
        <v/>
      </c>
    </row>
    <row r="778">
      <c r="A778" s="4"/>
      <c r="B778" s="4"/>
      <c r="C778" s="7" t="str">
        <f t="shared" si="1"/>
        <v/>
      </c>
      <c r="D778" s="4" t="str">
        <f t="shared" si="9"/>
        <v/>
      </c>
      <c r="E778" s="4" t="str">
        <f t="array" ref="E778">XLOOKUP(A778,'Dados Funil'!$A:$A,'Dados Funil'!$K:$K,"")</f>
        <v/>
      </c>
      <c r="F778" s="4" t="str">
        <f t="array" ref="F778">XLOOKUP(A778,'Dados Funil'!$A:$A,'Dados Funil'!$L:$L,"")</f>
        <v/>
      </c>
      <c r="G778" s="4"/>
      <c r="H778" s="4"/>
      <c r="I778" s="7" t="str">
        <f t="shared" si="2"/>
        <v/>
      </c>
      <c r="J778" s="4" t="str">
        <f t="shared" si="10"/>
        <v/>
      </c>
      <c r="K778" s="4" t="str">
        <f t="array" ref="K778">XLOOKUP(G778,'Dados Funil'!A:A,'Dados Funil'!O:O,"")</f>
        <v/>
      </c>
      <c r="L778" s="4"/>
      <c r="M778" s="4"/>
      <c r="N778" s="7" t="str">
        <f t="shared" si="3"/>
        <v/>
      </c>
      <c r="O778" s="4" t="str">
        <f t="shared" si="11"/>
        <v/>
      </c>
      <c r="P778" s="4" t="str">
        <f t="array" ref="P778">XLOOKUP(L778,'Dados Funil'!A:A,'Dados Funil'!AM:AM,"")</f>
        <v/>
      </c>
      <c r="Q778" s="4" t="str">
        <f t="array" ref="Q778">XLOOKUP(L778,'Dados Funil'!A:A,'Dados Funil'!AN:AN,"")</f>
        <v/>
      </c>
      <c r="T778" s="7" t="str">
        <f t="shared" si="4"/>
        <v/>
      </c>
      <c r="U778" s="4" t="str">
        <f t="shared" si="12"/>
        <v/>
      </c>
      <c r="V778" s="4" t="str">
        <f t="array" ref="V778">XLOOKUP(R778,'Dados Funil'!$A:$A,'Dados Funil'!$K:$K,"")</f>
        <v/>
      </c>
      <c r="W778" s="4" t="str">
        <f t="array" ref="W778">XLOOKUP(R778,'Dados Funil'!$A:$A,'Dados Funil'!$L:$L,"")</f>
        <v/>
      </c>
      <c r="X778" s="4"/>
      <c r="Y778" s="4"/>
      <c r="Z778" s="7" t="str">
        <f t="shared" si="5"/>
        <v/>
      </c>
      <c r="AA778" s="4" t="str">
        <f t="shared" si="13"/>
        <v/>
      </c>
      <c r="AB778" s="4" t="str">
        <f t="array" ref="AB778">XLOOKUP(X778,'Dados Funil'!A:A,'Dados Funil'!O:O,"")</f>
        <v/>
      </c>
      <c r="AE778" s="7" t="str">
        <f t="shared" si="6"/>
        <v/>
      </c>
      <c r="AG778" s="4" t="str">
        <f t="array" ref="AG778">XLOOKUP(AC778,'Dados Funil'!A:A,'Dados Funil'!AM:AM,"")</f>
        <v/>
      </c>
      <c r="AH778" s="4" t="str">
        <f t="array" ref="AH778">XLOOKUP(AC778,'Dados Funil'!A:A,'Dados Funil'!AN:AN,"")</f>
        <v/>
      </c>
    </row>
    <row r="779">
      <c r="A779" s="4"/>
      <c r="B779" s="4"/>
      <c r="C779" s="7" t="str">
        <f t="shared" si="1"/>
        <v/>
      </c>
      <c r="D779" s="4" t="str">
        <f t="shared" si="9"/>
        <v/>
      </c>
      <c r="E779" s="4" t="str">
        <f t="array" ref="E779">XLOOKUP(A779,'Dados Funil'!$A:$A,'Dados Funil'!$K:$K,"")</f>
        <v/>
      </c>
      <c r="F779" s="4" t="str">
        <f t="array" ref="F779">XLOOKUP(A779,'Dados Funil'!$A:$A,'Dados Funil'!$L:$L,"")</f>
        <v/>
      </c>
      <c r="G779" s="4"/>
      <c r="H779" s="4"/>
      <c r="I779" s="7" t="str">
        <f t="shared" si="2"/>
        <v/>
      </c>
      <c r="J779" s="4" t="str">
        <f t="shared" si="10"/>
        <v/>
      </c>
      <c r="K779" s="4" t="str">
        <f t="array" ref="K779">XLOOKUP(G779,'Dados Funil'!A:A,'Dados Funil'!O:O,"")</f>
        <v/>
      </c>
      <c r="L779" s="4"/>
      <c r="M779" s="4"/>
      <c r="N779" s="7" t="str">
        <f t="shared" si="3"/>
        <v/>
      </c>
      <c r="O779" s="4" t="str">
        <f t="shared" si="11"/>
        <v/>
      </c>
      <c r="P779" s="4" t="str">
        <f t="array" ref="P779">XLOOKUP(L779,'Dados Funil'!A:A,'Dados Funil'!AM:AM,"")</f>
        <v/>
      </c>
      <c r="Q779" s="4" t="str">
        <f t="array" ref="Q779">XLOOKUP(L779,'Dados Funil'!A:A,'Dados Funil'!AN:AN,"")</f>
        <v/>
      </c>
      <c r="T779" s="7" t="str">
        <f t="shared" si="4"/>
        <v/>
      </c>
      <c r="U779" s="4" t="str">
        <f t="shared" si="12"/>
        <v/>
      </c>
      <c r="V779" s="4" t="str">
        <f t="array" ref="V779">XLOOKUP(R779,'Dados Funil'!$A:$A,'Dados Funil'!$K:$K,"")</f>
        <v/>
      </c>
      <c r="W779" s="4" t="str">
        <f t="array" ref="W779">XLOOKUP(R779,'Dados Funil'!$A:$A,'Dados Funil'!$L:$L,"")</f>
        <v/>
      </c>
      <c r="X779" s="4"/>
      <c r="Y779" s="4"/>
      <c r="Z779" s="7" t="str">
        <f t="shared" si="5"/>
        <v/>
      </c>
      <c r="AA779" s="4" t="str">
        <f t="shared" si="13"/>
        <v/>
      </c>
      <c r="AB779" s="4" t="str">
        <f t="array" ref="AB779">XLOOKUP(X779,'Dados Funil'!A:A,'Dados Funil'!O:O,"")</f>
        <v/>
      </c>
      <c r="AE779" s="7" t="str">
        <f t="shared" si="6"/>
        <v/>
      </c>
      <c r="AG779" s="4" t="str">
        <f t="array" ref="AG779">XLOOKUP(AC779,'Dados Funil'!A:A,'Dados Funil'!AM:AM,"")</f>
        <v/>
      </c>
      <c r="AH779" s="4" t="str">
        <f t="array" ref="AH779">XLOOKUP(AC779,'Dados Funil'!A:A,'Dados Funil'!AN:AN,"")</f>
        <v/>
      </c>
    </row>
    <row r="780">
      <c r="A780" s="4"/>
      <c r="B780" s="4"/>
      <c r="C780" s="7" t="str">
        <f t="shared" si="1"/>
        <v/>
      </c>
      <c r="D780" s="4" t="str">
        <f t="shared" si="9"/>
        <v/>
      </c>
      <c r="E780" s="4" t="str">
        <f t="array" ref="E780">XLOOKUP(A780,'Dados Funil'!$A:$A,'Dados Funil'!$K:$K,"")</f>
        <v/>
      </c>
      <c r="F780" s="4" t="str">
        <f t="array" ref="F780">XLOOKUP(A780,'Dados Funil'!$A:$A,'Dados Funil'!$L:$L,"")</f>
        <v/>
      </c>
      <c r="G780" s="4"/>
      <c r="H780" s="4"/>
      <c r="I780" s="7" t="str">
        <f t="shared" si="2"/>
        <v/>
      </c>
      <c r="J780" s="4" t="str">
        <f t="shared" si="10"/>
        <v/>
      </c>
      <c r="K780" s="4" t="str">
        <f t="array" ref="K780">XLOOKUP(G780,'Dados Funil'!A:A,'Dados Funil'!O:O,"")</f>
        <v/>
      </c>
      <c r="L780" s="4"/>
      <c r="M780" s="4"/>
      <c r="N780" s="7" t="str">
        <f t="shared" si="3"/>
        <v/>
      </c>
      <c r="O780" s="4" t="str">
        <f t="shared" si="11"/>
        <v/>
      </c>
      <c r="P780" s="4" t="str">
        <f t="array" ref="P780">XLOOKUP(L780,'Dados Funil'!A:A,'Dados Funil'!AM:AM,"")</f>
        <v/>
      </c>
      <c r="Q780" s="4" t="str">
        <f t="array" ref="Q780">XLOOKUP(L780,'Dados Funil'!A:A,'Dados Funil'!AN:AN,"")</f>
        <v/>
      </c>
      <c r="T780" s="7" t="str">
        <f t="shared" si="4"/>
        <v/>
      </c>
      <c r="U780" s="4" t="str">
        <f t="shared" si="12"/>
        <v/>
      </c>
      <c r="V780" s="4" t="str">
        <f t="array" ref="V780">XLOOKUP(R780,'Dados Funil'!$A:$A,'Dados Funil'!$K:$K,"")</f>
        <v/>
      </c>
      <c r="W780" s="4" t="str">
        <f t="array" ref="W780">XLOOKUP(R780,'Dados Funil'!$A:$A,'Dados Funil'!$L:$L,"")</f>
        <v/>
      </c>
      <c r="X780" s="4"/>
      <c r="Y780" s="4"/>
      <c r="Z780" s="7" t="str">
        <f t="shared" si="5"/>
        <v/>
      </c>
      <c r="AA780" s="4" t="str">
        <f t="shared" si="13"/>
        <v/>
      </c>
      <c r="AB780" s="4" t="str">
        <f t="array" ref="AB780">XLOOKUP(X780,'Dados Funil'!A:A,'Dados Funil'!O:O,"")</f>
        <v/>
      </c>
      <c r="AE780" s="7" t="str">
        <f t="shared" si="6"/>
        <v/>
      </c>
      <c r="AG780" s="4" t="str">
        <f t="array" ref="AG780">XLOOKUP(AC780,'Dados Funil'!A:A,'Dados Funil'!AM:AM,"")</f>
        <v/>
      </c>
      <c r="AH780" s="4" t="str">
        <f t="array" ref="AH780">XLOOKUP(AC780,'Dados Funil'!A:A,'Dados Funil'!AN:AN,"")</f>
        <v/>
      </c>
    </row>
    <row r="781">
      <c r="A781" s="4"/>
      <c r="B781" s="4"/>
      <c r="C781" s="7" t="str">
        <f t="shared" si="1"/>
        <v/>
      </c>
      <c r="D781" s="4" t="str">
        <f t="shared" si="9"/>
        <v/>
      </c>
      <c r="E781" s="4" t="str">
        <f t="array" ref="E781">XLOOKUP(A781,'Dados Funil'!$A:$A,'Dados Funil'!$K:$K,"")</f>
        <v/>
      </c>
      <c r="F781" s="4" t="str">
        <f t="array" ref="F781">XLOOKUP(A781,'Dados Funil'!$A:$A,'Dados Funil'!$L:$L,"")</f>
        <v/>
      </c>
      <c r="G781" s="4"/>
      <c r="H781" s="4"/>
      <c r="I781" s="7" t="str">
        <f t="shared" si="2"/>
        <v/>
      </c>
      <c r="J781" s="4" t="str">
        <f t="shared" si="10"/>
        <v/>
      </c>
      <c r="K781" s="4" t="str">
        <f t="array" ref="K781">XLOOKUP(G781,'Dados Funil'!A:A,'Dados Funil'!O:O,"")</f>
        <v/>
      </c>
      <c r="L781" s="4"/>
      <c r="M781" s="4"/>
      <c r="N781" s="7" t="str">
        <f t="shared" si="3"/>
        <v/>
      </c>
      <c r="O781" s="4" t="str">
        <f t="shared" si="11"/>
        <v/>
      </c>
      <c r="P781" s="4" t="str">
        <f t="array" ref="P781">XLOOKUP(L781,'Dados Funil'!A:A,'Dados Funil'!AM:AM,"")</f>
        <v/>
      </c>
      <c r="Q781" s="4" t="str">
        <f t="array" ref="Q781">XLOOKUP(L781,'Dados Funil'!A:A,'Dados Funil'!AN:AN,"")</f>
        <v/>
      </c>
      <c r="T781" s="7" t="str">
        <f t="shared" si="4"/>
        <v/>
      </c>
      <c r="U781" s="4" t="str">
        <f t="shared" si="12"/>
        <v/>
      </c>
      <c r="V781" s="4" t="str">
        <f t="array" ref="V781">XLOOKUP(R781,'Dados Funil'!$A:$A,'Dados Funil'!$K:$K,"")</f>
        <v/>
      </c>
      <c r="W781" s="4" t="str">
        <f t="array" ref="W781">XLOOKUP(R781,'Dados Funil'!$A:$A,'Dados Funil'!$L:$L,"")</f>
        <v/>
      </c>
      <c r="X781" s="4"/>
      <c r="Y781" s="4"/>
      <c r="Z781" s="7" t="str">
        <f t="shared" si="5"/>
        <v/>
      </c>
      <c r="AA781" s="4" t="str">
        <f t="shared" si="13"/>
        <v/>
      </c>
      <c r="AB781" s="4" t="str">
        <f t="array" ref="AB781">XLOOKUP(X781,'Dados Funil'!A:A,'Dados Funil'!O:O,"")</f>
        <v/>
      </c>
      <c r="AE781" s="7" t="str">
        <f t="shared" si="6"/>
        <v/>
      </c>
      <c r="AG781" s="4" t="str">
        <f t="array" ref="AG781">XLOOKUP(AC781,'Dados Funil'!A:A,'Dados Funil'!AM:AM,"")</f>
        <v/>
      </c>
      <c r="AH781" s="4" t="str">
        <f t="array" ref="AH781">XLOOKUP(AC781,'Dados Funil'!A:A,'Dados Funil'!AN:AN,"")</f>
        <v/>
      </c>
    </row>
    <row r="782">
      <c r="A782" s="4"/>
      <c r="B782" s="4"/>
      <c r="C782" s="7" t="str">
        <f t="shared" si="1"/>
        <v/>
      </c>
      <c r="D782" s="4" t="str">
        <f t="shared" si="9"/>
        <v/>
      </c>
      <c r="E782" s="4" t="str">
        <f t="array" ref="E782">XLOOKUP(A782,'Dados Funil'!$A:$A,'Dados Funil'!$K:$K,"")</f>
        <v/>
      </c>
      <c r="F782" s="4" t="str">
        <f t="array" ref="F782">XLOOKUP(A782,'Dados Funil'!$A:$A,'Dados Funil'!$L:$L,"")</f>
        <v/>
      </c>
      <c r="G782" s="4"/>
      <c r="H782" s="4"/>
      <c r="I782" s="7" t="str">
        <f t="shared" si="2"/>
        <v/>
      </c>
      <c r="J782" s="4" t="str">
        <f t="shared" si="10"/>
        <v/>
      </c>
      <c r="K782" s="4" t="str">
        <f t="array" ref="K782">XLOOKUP(G782,'Dados Funil'!A:A,'Dados Funil'!O:O,"")</f>
        <v/>
      </c>
      <c r="L782" s="4"/>
      <c r="M782" s="4"/>
      <c r="N782" s="7" t="str">
        <f t="shared" si="3"/>
        <v/>
      </c>
      <c r="O782" s="4" t="str">
        <f t="shared" si="11"/>
        <v/>
      </c>
      <c r="P782" s="4" t="str">
        <f t="array" ref="P782">XLOOKUP(L782,'Dados Funil'!A:A,'Dados Funil'!AM:AM,"")</f>
        <v/>
      </c>
      <c r="Q782" s="4" t="str">
        <f t="array" ref="Q782">XLOOKUP(L782,'Dados Funil'!A:A,'Dados Funil'!AN:AN,"")</f>
        <v/>
      </c>
      <c r="T782" s="7" t="str">
        <f t="shared" si="4"/>
        <v/>
      </c>
      <c r="U782" s="4" t="str">
        <f t="shared" si="12"/>
        <v/>
      </c>
      <c r="V782" s="4" t="str">
        <f t="array" ref="V782">XLOOKUP(R782,'Dados Funil'!$A:$A,'Dados Funil'!$K:$K,"")</f>
        <v/>
      </c>
      <c r="W782" s="4" t="str">
        <f t="array" ref="W782">XLOOKUP(R782,'Dados Funil'!$A:$A,'Dados Funil'!$L:$L,"")</f>
        <v/>
      </c>
      <c r="X782" s="4"/>
      <c r="Y782" s="4"/>
      <c r="Z782" s="7" t="str">
        <f t="shared" si="5"/>
        <v/>
      </c>
      <c r="AA782" s="4" t="str">
        <f t="shared" si="13"/>
        <v/>
      </c>
      <c r="AB782" s="4" t="str">
        <f t="array" ref="AB782">XLOOKUP(X782,'Dados Funil'!A:A,'Dados Funil'!O:O,"")</f>
        <v/>
      </c>
      <c r="AE782" s="7" t="str">
        <f t="shared" si="6"/>
        <v/>
      </c>
      <c r="AG782" s="4" t="str">
        <f t="array" ref="AG782">XLOOKUP(AC782,'Dados Funil'!A:A,'Dados Funil'!AM:AM,"")</f>
        <v/>
      </c>
      <c r="AH782" s="4" t="str">
        <f t="array" ref="AH782">XLOOKUP(AC782,'Dados Funil'!A:A,'Dados Funil'!AN:AN,"")</f>
        <v/>
      </c>
    </row>
    <row r="783">
      <c r="A783" s="4"/>
      <c r="B783" s="4"/>
      <c r="C783" s="7" t="str">
        <f t="shared" si="1"/>
        <v/>
      </c>
      <c r="D783" s="4" t="str">
        <f t="shared" si="9"/>
        <v/>
      </c>
      <c r="E783" s="4" t="str">
        <f t="array" ref="E783">XLOOKUP(A783,'Dados Funil'!$A:$A,'Dados Funil'!$K:$K,"")</f>
        <v/>
      </c>
      <c r="F783" s="4" t="str">
        <f t="array" ref="F783">XLOOKUP(A783,'Dados Funil'!$A:$A,'Dados Funil'!$L:$L,"")</f>
        <v/>
      </c>
      <c r="G783" s="4"/>
      <c r="H783" s="4"/>
      <c r="I783" s="7" t="str">
        <f t="shared" si="2"/>
        <v/>
      </c>
      <c r="J783" s="4" t="str">
        <f t="shared" si="10"/>
        <v/>
      </c>
      <c r="K783" s="4" t="str">
        <f t="array" ref="K783">XLOOKUP(G783,'Dados Funil'!A:A,'Dados Funil'!O:O,"")</f>
        <v/>
      </c>
      <c r="L783" s="4"/>
      <c r="M783" s="4"/>
      <c r="N783" s="7" t="str">
        <f t="shared" si="3"/>
        <v/>
      </c>
      <c r="O783" s="4" t="str">
        <f t="shared" si="11"/>
        <v/>
      </c>
      <c r="P783" s="4" t="str">
        <f t="array" ref="P783">XLOOKUP(L783,'Dados Funil'!A:A,'Dados Funil'!AM:AM,"")</f>
        <v/>
      </c>
      <c r="Q783" s="4" t="str">
        <f t="array" ref="Q783">XLOOKUP(L783,'Dados Funil'!A:A,'Dados Funil'!AN:AN,"")</f>
        <v/>
      </c>
      <c r="T783" s="7" t="str">
        <f t="shared" si="4"/>
        <v/>
      </c>
      <c r="U783" s="4" t="str">
        <f t="shared" si="12"/>
        <v/>
      </c>
      <c r="V783" s="4" t="str">
        <f t="array" ref="V783">XLOOKUP(R783,'Dados Funil'!$A:$A,'Dados Funil'!$K:$K,"")</f>
        <v/>
      </c>
      <c r="W783" s="4" t="str">
        <f t="array" ref="W783">XLOOKUP(R783,'Dados Funil'!$A:$A,'Dados Funil'!$L:$L,"")</f>
        <v/>
      </c>
      <c r="X783" s="4"/>
      <c r="Y783" s="4"/>
      <c r="Z783" s="7" t="str">
        <f t="shared" si="5"/>
        <v/>
      </c>
      <c r="AA783" s="4" t="str">
        <f t="shared" si="13"/>
        <v/>
      </c>
      <c r="AB783" s="4" t="str">
        <f t="array" ref="AB783">XLOOKUP(X783,'Dados Funil'!A:A,'Dados Funil'!O:O,"")</f>
        <v/>
      </c>
      <c r="AE783" s="7" t="str">
        <f t="shared" si="6"/>
        <v/>
      </c>
      <c r="AG783" s="4" t="str">
        <f t="array" ref="AG783">XLOOKUP(AC783,'Dados Funil'!A:A,'Dados Funil'!AM:AM,"")</f>
        <v/>
      </c>
      <c r="AH783" s="4" t="str">
        <f t="array" ref="AH783">XLOOKUP(AC783,'Dados Funil'!A:A,'Dados Funil'!AN:AN,"")</f>
        <v/>
      </c>
    </row>
    <row r="784">
      <c r="A784" s="4"/>
      <c r="B784" s="4"/>
      <c r="C784" s="7" t="str">
        <f t="shared" si="1"/>
        <v/>
      </c>
      <c r="D784" s="4" t="str">
        <f t="shared" si="9"/>
        <v/>
      </c>
      <c r="E784" s="4" t="str">
        <f t="array" ref="E784">XLOOKUP(A784,'Dados Funil'!$A:$A,'Dados Funil'!$K:$K,"")</f>
        <v/>
      </c>
      <c r="F784" s="4" t="str">
        <f t="array" ref="F784">XLOOKUP(A784,'Dados Funil'!$A:$A,'Dados Funil'!$L:$L,"")</f>
        <v/>
      </c>
      <c r="G784" s="4"/>
      <c r="H784" s="4"/>
      <c r="I784" s="7" t="str">
        <f t="shared" si="2"/>
        <v/>
      </c>
      <c r="J784" s="4" t="str">
        <f t="shared" si="10"/>
        <v/>
      </c>
      <c r="K784" s="4" t="str">
        <f t="array" ref="K784">XLOOKUP(G784,'Dados Funil'!A:A,'Dados Funil'!O:O,"")</f>
        <v/>
      </c>
      <c r="L784" s="4"/>
      <c r="M784" s="4"/>
      <c r="N784" s="7" t="str">
        <f t="shared" si="3"/>
        <v/>
      </c>
      <c r="O784" s="4" t="str">
        <f t="shared" si="11"/>
        <v/>
      </c>
      <c r="P784" s="4" t="str">
        <f t="array" ref="P784">XLOOKUP(L784,'Dados Funil'!A:A,'Dados Funil'!AM:AM,"")</f>
        <v/>
      </c>
      <c r="Q784" s="4" t="str">
        <f t="array" ref="Q784">XLOOKUP(L784,'Dados Funil'!A:A,'Dados Funil'!AN:AN,"")</f>
        <v/>
      </c>
      <c r="T784" s="7" t="str">
        <f t="shared" si="4"/>
        <v/>
      </c>
      <c r="U784" s="4" t="str">
        <f t="shared" si="12"/>
        <v/>
      </c>
      <c r="V784" s="4" t="str">
        <f t="array" ref="V784">XLOOKUP(R784,'Dados Funil'!$A:$A,'Dados Funil'!$K:$K,"")</f>
        <v/>
      </c>
      <c r="W784" s="4" t="str">
        <f t="array" ref="W784">XLOOKUP(R784,'Dados Funil'!$A:$A,'Dados Funil'!$L:$L,"")</f>
        <v/>
      </c>
      <c r="X784" s="4"/>
      <c r="Y784" s="4"/>
      <c r="Z784" s="7" t="str">
        <f t="shared" si="5"/>
        <v/>
      </c>
      <c r="AA784" s="4" t="str">
        <f t="shared" si="13"/>
        <v/>
      </c>
      <c r="AB784" s="4" t="str">
        <f t="array" ref="AB784">XLOOKUP(X784,'Dados Funil'!A:A,'Dados Funil'!O:O,"")</f>
        <v/>
      </c>
      <c r="AE784" s="7" t="str">
        <f t="shared" si="6"/>
        <v/>
      </c>
      <c r="AG784" s="4" t="str">
        <f t="array" ref="AG784">XLOOKUP(AC784,'Dados Funil'!A:A,'Dados Funil'!AM:AM,"")</f>
        <v/>
      </c>
      <c r="AH784" s="4" t="str">
        <f t="array" ref="AH784">XLOOKUP(AC784,'Dados Funil'!A:A,'Dados Funil'!AN:AN,"")</f>
        <v/>
      </c>
    </row>
    <row r="785">
      <c r="A785" s="4"/>
      <c r="B785" s="4"/>
      <c r="C785" s="7" t="str">
        <f t="shared" si="1"/>
        <v/>
      </c>
      <c r="D785" s="4" t="str">
        <f t="shared" si="9"/>
        <v/>
      </c>
      <c r="E785" s="4" t="str">
        <f t="array" ref="E785">XLOOKUP(A785,'Dados Funil'!$A:$A,'Dados Funil'!$K:$K,"")</f>
        <v/>
      </c>
      <c r="F785" s="4" t="str">
        <f t="array" ref="F785">XLOOKUP(A785,'Dados Funil'!$A:$A,'Dados Funil'!$L:$L,"")</f>
        <v/>
      </c>
      <c r="G785" s="4"/>
      <c r="H785" s="4"/>
      <c r="I785" s="7" t="str">
        <f t="shared" si="2"/>
        <v/>
      </c>
      <c r="J785" s="4" t="str">
        <f t="shared" si="10"/>
        <v/>
      </c>
      <c r="K785" s="4" t="str">
        <f t="array" ref="K785">XLOOKUP(G785,'Dados Funil'!A:A,'Dados Funil'!O:O,"")</f>
        <v/>
      </c>
      <c r="L785" s="4"/>
      <c r="M785" s="4"/>
      <c r="N785" s="7" t="str">
        <f t="shared" si="3"/>
        <v/>
      </c>
      <c r="O785" s="4" t="str">
        <f t="shared" si="11"/>
        <v/>
      </c>
      <c r="P785" s="4" t="str">
        <f t="array" ref="P785">XLOOKUP(L785,'Dados Funil'!A:A,'Dados Funil'!AM:AM,"")</f>
        <v/>
      </c>
      <c r="Q785" s="4" t="str">
        <f t="array" ref="Q785">XLOOKUP(L785,'Dados Funil'!A:A,'Dados Funil'!AN:AN,"")</f>
        <v/>
      </c>
      <c r="T785" s="7" t="str">
        <f t="shared" si="4"/>
        <v/>
      </c>
      <c r="U785" s="4" t="str">
        <f t="shared" si="12"/>
        <v/>
      </c>
      <c r="V785" s="4" t="str">
        <f t="array" ref="V785">XLOOKUP(R785,'Dados Funil'!$A:$A,'Dados Funil'!$K:$K,"")</f>
        <v/>
      </c>
      <c r="W785" s="4" t="str">
        <f t="array" ref="W785">XLOOKUP(R785,'Dados Funil'!$A:$A,'Dados Funil'!$L:$L,"")</f>
        <v/>
      </c>
      <c r="X785" s="4"/>
      <c r="Y785" s="4"/>
      <c r="Z785" s="7" t="str">
        <f t="shared" si="5"/>
        <v/>
      </c>
      <c r="AA785" s="4" t="str">
        <f t="shared" si="13"/>
        <v/>
      </c>
      <c r="AB785" s="4" t="str">
        <f t="array" ref="AB785">XLOOKUP(X785,'Dados Funil'!A:A,'Dados Funil'!O:O,"")</f>
        <v/>
      </c>
      <c r="AE785" s="7" t="str">
        <f t="shared" si="6"/>
        <v/>
      </c>
      <c r="AG785" s="4" t="str">
        <f t="array" ref="AG785">XLOOKUP(AC785,'Dados Funil'!A:A,'Dados Funil'!AM:AM,"")</f>
        <v/>
      </c>
      <c r="AH785" s="4" t="str">
        <f t="array" ref="AH785">XLOOKUP(AC785,'Dados Funil'!A:A,'Dados Funil'!AN:AN,"")</f>
        <v/>
      </c>
    </row>
    <row r="786">
      <c r="A786" s="4"/>
      <c r="B786" s="4"/>
      <c r="C786" s="7" t="str">
        <f t="shared" si="1"/>
        <v/>
      </c>
      <c r="D786" s="4" t="str">
        <f t="shared" si="9"/>
        <v/>
      </c>
      <c r="E786" s="4" t="str">
        <f t="array" ref="E786">XLOOKUP(A786,'Dados Funil'!$A:$A,'Dados Funil'!$K:$K,"")</f>
        <v/>
      </c>
      <c r="F786" s="4" t="str">
        <f t="array" ref="F786">XLOOKUP(A786,'Dados Funil'!$A:$A,'Dados Funil'!$L:$L,"")</f>
        <v/>
      </c>
      <c r="G786" s="4"/>
      <c r="H786" s="4"/>
      <c r="I786" s="7" t="str">
        <f t="shared" si="2"/>
        <v/>
      </c>
      <c r="J786" s="4" t="str">
        <f t="shared" si="10"/>
        <v/>
      </c>
      <c r="K786" s="4" t="str">
        <f t="array" ref="K786">XLOOKUP(G786,'Dados Funil'!A:A,'Dados Funil'!O:O,"")</f>
        <v/>
      </c>
      <c r="L786" s="4"/>
      <c r="M786" s="4"/>
      <c r="N786" s="7" t="str">
        <f t="shared" si="3"/>
        <v/>
      </c>
      <c r="O786" s="4" t="str">
        <f t="shared" si="11"/>
        <v/>
      </c>
      <c r="P786" s="4" t="str">
        <f t="array" ref="P786">XLOOKUP(L786,'Dados Funil'!A:A,'Dados Funil'!AM:AM,"")</f>
        <v/>
      </c>
      <c r="Q786" s="4" t="str">
        <f t="array" ref="Q786">XLOOKUP(L786,'Dados Funil'!A:A,'Dados Funil'!AN:AN,"")</f>
        <v/>
      </c>
      <c r="T786" s="7" t="str">
        <f t="shared" si="4"/>
        <v/>
      </c>
      <c r="U786" s="4" t="str">
        <f t="shared" si="12"/>
        <v/>
      </c>
      <c r="V786" s="4" t="str">
        <f t="array" ref="V786">XLOOKUP(R786,'Dados Funil'!$A:$A,'Dados Funil'!$K:$K,"")</f>
        <v/>
      </c>
      <c r="W786" s="4" t="str">
        <f t="array" ref="W786">XLOOKUP(R786,'Dados Funil'!$A:$A,'Dados Funil'!$L:$L,"")</f>
        <v/>
      </c>
      <c r="X786" s="4"/>
      <c r="Y786" s="4"/>
      <c r="Z786" s="7" t="str">
        <f t="shared" si="5"/>
        <v/>
      </c>
      <c r="AA786" s="4" t="str">
        <f t="shared" si="13"/>
        <v/>
      </c>
      <c r="AB786" s="4" t="str">
        <f t="array" ref="AB786">XLOOKUP(X786,'Dados Funil'!A:A,'Dados Funil'!O:O,"")</f>
        <v/>
      </c>
      <c r="AE786" s="7" t="str">
        <f t="shared" si="6"/>
        <v/>
      </c>
      <c r="AG786" s="4" t="str">
        <f t="array" ref="AG786">XLOOKUP(AC786,'Dados Funil'!A:A,'Dados Funil'!AM:AM,"")</f>
        <v/>
      </c>
      <c r="AH786" s="4" t="str">
        <f t="array" ref="AH786">XLOOKUP(AC786,'Dados Funil'!A:A,'Dados Funil'!AN:AN,"")</f>
        <v/>
      </c>
    </row>
    <row r="787">
      <c r="A787" s="4"/>
      <c r="B787" s="4"/>
      <c r="C787" s="7" t="str">
        <f t="shared" si="1"/>
        <v/>
      </c>
      <c r="D787" s="4" t="str">
        <f t="shared" si="9"/>
        <v/>
      </c>
      <c r="E787" s="4" t="str">
        <f t="array" ref="E787">XLOOKUP(A787,'Dados Funil'!$A:$A,'Dados Funil'!$K:$K,"")</f>
        <v/>
      </c>
      <c r="F787" s="4" t="str">
        <f t="array" ref="F787">XLOOKUP(A787,'Dados Funil'!$A:$A,'Dados Funil'!$L:$L,"")</f>
        <v/>
      </c>
      <c r="G787" s="4"/>
      <c r="H787" s="4"/>
      <c r="I787" s="7" t="str">
        <f t="shared" si="2"/>
        <v/>
      </c>
      <c r="J787" s="4" t="str">
        <f t="shared" si="10"/>
        <v/>
      </c>
      <c r="K787" s="4" t="str">
        <f t="array" ref="K787">XLOOKUP(G787,'Dados Funil'!A:A,'Dados Funil'!O:O,"")</f>
        <v/>
      </c>
      <c r="L787" s="4"/>
      <c r="M787" s="4"/>
      <c r="N787" s="7" t="str">
        <f t="shared" si="3"/>
        <v/>
      </c>
      <c r="O787" s="4" t="str">
        <f t="shared" si="11"/>
        <v/>
      </c>
      <c r="P787" s="4" t="str">
        <f t="array" ref="P787">XLOOKUP(L787,'Dados Funil'!A:A,'Dados Funil'!AM:AM,"")</f>
        <v/>
      </c>
      <c r="Q787" s="4" t="str">
        <f t="array" ref="Q787">XLOOKUP(L787,'Dados Funil'!A:A,'Dados Funil'!AN:AN,"")</f>
        <v/>
      </c>
      <c r="T787" s="7" t="str">
        <f t="shared" si="4"/>
        <v/>
      </c>
      <c r="U787" s="4" t="str">
        <f t="shared" si="12"/>
        <v/>
      </c>
      <c r="V787" s="4" t="str">
        <f t="array" ref="V787">XLOOKUP(R787,'Dados Funil'!$A:$A,'Dados Funil'!$K:$K,"")</f>
        <v/>
      </c>
      <c r="W787" s="4" t="str">
        <f t="array" ref="W787">XLOOKUP(R787,'Dados Funil'!$A:$A,'Dados Funil'!$L:$L,"")</f>
        <v/>
      </c>
      <c r="X787" s="4"/>
      <c r="Y787" s="4"/>
      <c r="Z787" s="7" t="str">
        <f t="shared" si="5"/>
        <v/>
      </c>
      <c r="AA787" s="4" t="str">
        <f t="shared" si="13"/>
        <v/>
      </c>
      <c r="AB787" s="4" t="str">
        <f t="array" ref="AB787">XLOOKUP(X787,'Dados Funil'!A:A,'Dados Funil'!O:O,"")</f>
        <v/>
      </c>
      <c r="AE787" s="7" t="str">
        <f t="shared" si="6"/>
        <v/>
      </c>
      <c r="AG787" s="4" t="str">
        <f t="array" ref="AG787">XLOOKUP(AC787,'Dados Funil'!A:A,'Dados Funil'!AM:AM,"")</f>
        <v/>
      </c>
      <c r="AH787" s="4" t="str">
        <f t="array" ref="AH787">XLOOKUP(AC787,'Dados Funil'!A:A,'Dados Funil'!AN:AN,"")</f>
        <v/>
      </c>
    </row>
    <row r="788">
      <c r="A788" s="4"/>
      <c r="B788" s="4"/>
      <c r="C788" s="7" t="str">
        <f t="shared" si="1"/>
        <v/>
      </c>
      <c r="D788" s="4" t="str">
        <f t="shared" si="9"/>
        <v/>
      </c>
      <c r="E788" s="4" t="str">
        <f t="array" ref="E788">XLOOKUP(A788,'Dados Funil'!$A:$A,'Dados Funil'!$K:$K,"")</f>
        <v/>
      </c>
      <c r="F788" s="4" t="str">
        <f t="array" ref="F788">XLOOKUP(A788,'Dados Funil'!$A:$A,'Dados Funil'!$L:$L,"")</f>
        <v/>
      </c>
      <c r="G788" s="4"/>
      <c r="H788" s="4"/>
      <c r="I788" s="7" t="str">
        <f t="shared" si="2"/>
        <v/>
      </c>
      <c r="J788" s="4" t="str">
        <f t="shared" si="10"/>
        <v/>
      </c>
      <c r="K788" s="4" t="str">
        <f t="array" ref="K788">XLOOKUP(G788,'Dados Funil'!A:A,'Dados Funil'!O:O,"")</f>
        <v/>
      </c>
      <c r="L788" s="4"/>
      <c r="M788" s="4"/>
      <c r="N788" s="7" t="str">
        <f t="shared" si="3"/>
        <v/>
      </c>
      <c r="O788" s="4" t="str">
        <f t="shared" si="11"/>
        <v/>
      </c>
      <c r="P788" s="4" t="str">
        <f t="array" ref="P788">XLOOKUP(L788,'Dados Funil'!A:A,'Dados Funil'!AM:AM,"")</f>
        <v/>
      </c>
      <c r="Q788" s="4" t="str">
        <f t="array" ref="Q788">XLOOKUP(L788,'Dados Funil'!A:A,'Dados Funil'!AN:AN,"")</f>
        <v/>
      </c>
      <c r="T788" s="7" t="str">
        <f t="shared" si="4"/>
        <v/>
      </c>
      <c r="U788" s="4" t="str">
        <f t="shared" si="12"/>
        <v/>
      </c>
      <c r="V788" s="4" t="str">
        <f t="array" ref="V788">XLOOKUP(R788,'Dados Funil'!$A:$A,'Dados Funil'!$K:$K,"")</f>
        <v/>
      </c>
      <c r="W788" s="4" t="str">
        <f t="array" ref="W788">XLOOKUP(R788,'Dados Funil'!$A:$A,'Dados Funil'!$L:$L,"")</f>
        <v/>
      </c>
      <c r="X788" s="4"/>
      <c r="Y788" s="4"/>
      <c r="Z788" s="7" t="str">
        <f t="shared" si="5"/>
        <v/>
      </c>
      <c r="AA788" s="4" t="str">
        <f t="shared" si="13"/>
        <v/>
      </c>
      <c r="AB788" s="4" t="str">
        <f t="array" ref="AB788">XLOOKUP(X788,'Dados Funil'!A:A,'Dados Funil'!O:O,"")</f>
        <v/>
      </c>
      <c r="AE788" s="7" t="str">
        <f t="shared" si="6"/>
        <v/>
      </c>
      <c r="AG788" s="4" t="str">
        <f t="array" ref="AG788">XLOOKUP(AC788,'Dados Funil'!A:A,'Dados Funil'!AM:AM,"")</f>
        <v/>
      </c>
      <c r="AH788" s="4" t="str">
        <f t="array" ref="AH788">XLOOKUP(AC788,'Dados Funil'!A:A,'Dados Funil'!AN:AN,"")</f>
        <v/>
      </c>
    </row>
    <row r="789">
      <c r="A789" s="4"/>
      <c r="B789" s="4"/>
      <c r="C789" s="7" t="str">
        <f t="shared" si="1"/>
        <v/>
      </c>
      <c r="D789" s="4" t="str">
        <f t="shared" si="9"/>
        <v/>
      </c>
      <c r="E789" s="4" t="str">
        <f t="array" ref="E789">XLOOKUP(A789,'Dados Funil'!$A:$A,'Dados Funil'!$K:$K,"")</f>
        <v/>
      </c>
      <c r="F789" s="4" t="str">
        <f t="array" ref="F789">XLOOKUP(A789,'Dados Funil'!$A:$A,'Dados Funil'!$L:$L,"")</f>
        <v/>
      </c>
      <c r="G789" s="4"/>
      <c r="H789" s="4"/>
      <c r="I789" s="7" t="str">
        <f t="shared" si="2"/>
        <v/>
      </c>
      <c r="J789" s="4" t="str">
        <f t="shared" si="10"/>
        <v/>
      </c>
      <c r="K789" s="4" t="str">
        <f t="array" ref="K789">XLOOKUP(G789,'Dados Funil'!A:A,'Dados Funil'!O:O,"")</f>
        <v/>
      </c>
      <c r="L789" s="4"/>
      <c r="M789" s="4"/>
      <c r="N789" s="7" t="str">
        <f t="shared" si="3"/>
        <v/>
      </c>
      <c r="O789" s="4" t="str">
        <f t="shared" si="11"/>
        <v/>
      </c>
      <c r="P789" s="4" t="str">
        <f t="array" ref="P789">XLOOKUP(L789,'Dados Funil'!A:A,'Dados Funil'!AM:AM,"")</f>
        <v/>
      </c>
      <c r="Q789" s="4" t="str">
        <f t="array" ref="Q789">XLOOKUP(L789,'Dados Funil'!A:A,'Dados Funil'!AN:AN,"")</f>
        <v/>
      </c>
      <c r="T789" s="7" t="str">
        <f t="shared" si="4"/>
        <v/>
      </c>
      <c r="U789" s="4" t="str">
        <f t="shared" si="12"/>
        <v/>
      </c>
      <c r="V789" s="4" t="str">
        <f t="array" ref="V789">XLOOKUP(R789,'Dados Funil'!$A:$A,'Dados Funil'!$K:$K,"")</f>
        <v/>
      </c>
      <c r="W789" s="4" t="str">
        <f t="array" ref="W789">XLOOKUP(R789,'Dados Funil'!$A:$A,'Dados Funil'!$L:$L,"")</f>
        <v/>
      </c>
      <c r="X789" s="4"/>
      <c r="Y789" s="4"/>
      <c r="Z789" s="7" t="str">
        <f t="shared" si="5"/>
        <v/>
      </c>
      <c r="AA789" s="4" t="str">
        <f t="shared" si="13"/>
        <v/>
      </c>
      <c r="AB789" s="4" t="str">
        <f t="array" ref="AB789">XLOOKUP(X789,'Dados Funil'!A:A,'Dados Funil'!O:O,"")</f>
        <v/>
      </c>
      <c r="AE789" s="7" t="str">
        <f t="shared" si="6"/>
        <v/>
      </c>
      <c r="AG789" s="4" t="str">
        <f t="array" ref="AG789">XLOOKUP(AC789,'Dados Funil'!A:A,'Dados Funil'!AM:AM,"")</f>
        <v/>
      </c>
      <c r="AH789" s="4" t="str">
        <f t="array" ref="AH789">XLOOKUP(AC789,'Dados Funil'!A:A,'Dados Funil'!AN:AN,"")</f>
        <v/>
      </c>
    </row>
    <row r="790">
      <c r="A790" s="4"/>
      <c r="B790" s="4"/>
      <c r="C790" s="7" t="str">
        <f t="shared" si="1"/>
        <v/>
      </c>
      <c r="D790" s="4" t="str">
        <f t="shared" si="9"/>
        <v/>
      </c>
      <c r="E790" s="4" t="str">
        <f t="array" ref="E790">XLOOKUP(A790,'Dados Funil'!$A:$A,'Dados Funil'!$K:$K,"")</f>
        <v/>
      </c>
      <c r="F790" s="4" t="str">
        <f t="array" ref="F790">XLOOKUP(A790,'Dados Funil'!$A:$A,'Dados Funil'!$L:$L,"")</f>
        <v/>
      </c>
      <c r="G790" s="4"/>
      <c r="H790" s="4"/>
      <c r="I790" s="7" t="str">
        <f t="shared" si="2"/>
        <v/>
      </c>
      <c r="J790" s="4" t="str">
        <f t="shared" si="10"/>
        <v/>
      </c>
      <c r="K790" s="4" t="str">
        <f t="array" ref="K790">XLOOKUP(G790,'Dados Funil'!A:A,'Dados Funil'!O:O,"")</f>
        <v/>
      </c>
      <c r="L790" s="4"/>
      <c r="M790" s="4"/>
      <c r="N790" s="7" t="str">
        <f t="shared" si="3"/>
        <v/>
      </c>
      <c r="O790" s="4" t="str">
        <f t="shared" si="11"/>
        <v/>
      </c>
      <c r="P790" s="4" t="str">
        <f t="array" ref="P790">XLOOKUP(L790,'Dados Funil'!A:A,'Dados Funil'!AM:AM,"")</f>
        <v/>
      </c>
      <c r="Q790" s="4" t="str">
        <f t="array" ref="Q790">XLOOKUP(L790,'Dados Funil'!A:A,'Dados Funil'!AN:AN,"")</f>
        <v/>
      </c>
      <c r="T790" s="7" t="str">
        <f t="shared" si="4"/>
        <v/>
      </c>
      <c r="U790" s="4" t="str">
        <f t="shared" si="12"/>
        <v/>
      </c>
      <c r="V790" s="4" t="str">
        <f t="array" ref="V790">XLOOKUP(R790,'Dados Funil'!$A:$A,'Dados Funil'!$K:$K,"")</f>
        <v/>
      </c>
      <c r="W790" s="4" t="str">
        <f t="array" ref="W790">XLOOKUP(R790,'Dados Funil'!$A:$A,'Dados Funil'!$L:$L,"")</f>
        <v/>
      </c>
      <c r="X790" s="4"/>
      <c r="Y790" s="4"/>
      <c r="Z790" s="7" t="str">
        <f t="shared" si="5"/>
        <v/>
      </c>
      <c r="AA790" s="4" t="str">
        <f t="shared" si="13"/>
        <v/>
      </c>
      <c r="AB790" s="4" t="str">
        <f t="array" ref="AB790">XLOOKUP(X790,'Dados Funil'!A:A,'Dados Funil'!O:O,"")</f>
        <v/>
      </c>
      <c r="AE790" s="7" t="str">
        <f t="shared" si="6"/>
        <v/>
      </c>
      <c r="AG790" s="4" t="str">
        <f t="array" ref="AG790">XLOOKUP(AC790,'Dados Funil'!A:A,'Dados Funil'!AM:AM,"")</f>
        <v/>
      </c>
      <c r="AH790" s="4" t="str">
        <f t="array" ref="AH790">XLOOKUP(AC790,'Dados Funil'!A:A,'Dados Funil'!AN:AN,"")</f>
        <v/>
      </c>
    </row>
    <row r="791">
      <c r="A791" s="4"/>
      <c r="B791" s="4"/>
      <c r="C791" s="7" t="str">
        <f t="shared" si="1"/>
        <v/>
      </c>
      <c r="D791" s="4" t="str">
        <f t="shared" si="9"/>
        <v/>
      </c>
      <c r="E791" s="4" t="str">
        <f t="array" ref="E791">XLOOKUP(A791,'Dados Funil'!$A:$A,'Dados Funil'!$K:$K,"")</f>
        <v/>
      </c>
      <c r="F791" s="4" t="str">
        <f t="array" ref="F791">XLOOKUP(A791,'Dados Funil'!$A:$A,'Dados Funil'!$L:$L,"")</f>
        <v/>
      </c>
      <c r="G791" s="4"/>
      <c r="H791" s="4"/>
      <c r="I791" s="7" t="str">
        <f t="shared" si="2"/>
        <v/>
      </c>
      <c r="J791" s="4" t="str">
        <f t="shared" si="10"/>
        <v/>
      </c>
      <c r="K791" s="4" t="str">
        <f t="array" ref="K791">XLOOKUP(G791,'Dados Funil'!A:A,'Dados Funil'!O:O,"")</f>
        <v/>
      </c>
      <c r="L791" s="4"/>
      <c r="M791" s="4"/>
      <c r="N791" s="7" t="str">
        <f t="shared" si="3"/>
        <v/>
      </c>
      <c r="O791" s="4" t="str">
        <f t="shared" si="11"/>
        <v/>
      </c>
      <c r="P791" s="4" t="str">
        <f t="array" ref="P791">XLOOKUP(L791,'Dados Funil'!A:A,'Dados Funil'!AM:AM,"")</f>
        <v/>
      </c>
      <c r="Q791" s="4" t="str">
        <f t="array" ref="Q791">XLOOKUP(L791,'Dados Funil'!A:A,'Dados Funil'!AN:AN,"")</f>
        <v/>
      </c>
      <c r="T791" s="7" t="str">
        <f t="shared" si="4"/>
        <v/>
      </c>
      <c r="U791" s="4" t="str">
        <f t="shared" si="12"/>
        <v/>
      </c>
      <c r="V791" s="4" t="str">
        <f t="array" ref="V791">XLOOKUP(R791,'Dados Funil'!$A:$A,'Dados Funil'!$K:$K,"")</f>
        <v/>
      </c>
      <c r="W791" s="4" t="str">
        <f t="array" ref="W791">XLOOKUP(R791,'Dados Funil'!$A:$A,'Dados Funil'!$L:$L,"")</f>
        <v/>
      </c>
      <c r="X791" s="4"/>
      <c r="Y791" s="4"/>
      <c r="Z791" s="7" t="str">
        <f t="shared" si="5"/>
        <v/>
      </c>
      <c r="AA791" s="4" t="str">
        <f t="shared" si="13"/>
        <v/>
      </c>
      <c r="AB791" s="4" t="str">
        <f t="array" ref="AB791">XLOOKUP(X791,'Dados Funil'!A:A,'Dados Funil'!O:O,"")</f>
        <v/>
      </c>
      <c r="AE791" s="7" t="str">
        <f t="shared" si="6"/>
        <v/>
      </c>
      <c r="AG791" s="4" t="str">
        <f t="array" ref="AG791">XLOOKUP(AC791,'Dados Funil'!A:A,'Dados Funil'!AM:AM,"")</f>
        <v/>
      </c>
      <c r="AH791" s="4" t="str">
        <f t="array" ref="AH791">XLOOKUP(AC791,'Dados Funil'!A:A,'Dados Funil'!AN:AN,"")</f>
        <v/>
      </c>
    </row>
    <row r="792">
      <c r="A792" s="4"/>
      <c r="B792" s="4"/>
      <c r="C792" s="7" t="str">
        <f t="shared" si="1"/>
        <v/>
      </c>
      <c r="D792" s="4" t="str">
        <f t="shared" si="9"/>
        <v/>
      </c>
      <c r="E792" s="4" t="str">
        <f t="array" ref="E792">XLOOKUP(A792,'Dados Funil'!$A:$A,'Dados Funil'!$K:$K,"")</f>
        <v/>
      </c>
      <c r="F792" s="4" t="str">
        <f t="array" ref="F792">XLOOKUP(A792,'Dados Funil'!$A:$A,'Dados Funil'!$L:$L,"")</f>
        <v/>
      </c>
      <c r="G792" s="4"/>
      <c r="H792" s="4"/>
      <c r="I792" s="7" t="str">
        <f t="shared" si="2"/>
        <v/>
      </c>
      <c r="J792" s="4" t="str">
        <f t="shared" si="10"/>
        <v/>
      </c>
      <c r="K792" s="4" t="str">
        <f t="array" ref="K792">XLOOKUP(G792,'Dados Funil'!A:A,'Dados Funil'!O:O,"")</f>
        <v/>
      </c>
      <c r="L792" s="4"/>
      <c r="M792" s="4"/>
      <c r="N792" s="7" t="str">
        <f t="shared" si="3"/>
        <v/>
      </c>
      <c r="O792" s="4" t="str">
        <f t="shared" si="11"/>
        <v/>
      </c>
      <c r="P792" s="4" t="str">
        <f t="array" ref="P792">XLOOKUP(L792,'Dados Funil'!A:A,'Dados Funil'!AM:AM,"")</f>
        <v/>
      </c>
      <c r="Q792" s="4" t="str">
        <f t="array" ref="Q792">XLOOKUP(L792,'Dados Funil'!A:A,'Dados Funil'!AN:AN,"")</f>
        <v/>
      </c>
      <c r="T792" s="7" t="str">
        <f t="shared" si="4"/>
        <v/>
      </c>
      <c r="U792" s="4" t="str">
        <f t="shared" si="12"/>
        <v/>
      </c>
      <c r="V792" s="4" t="str">
        <f t="array" ref="V792">XLOOKUP(R792,'Dados Funil'!$A:$A,'Dados Funil'!$K:$K,"")</f>
        <v/>
      </c>
      <c r="W792" s="4" t="str">
        <f t="array" ref="W792">XLOOKUP(R792,'Dados Funil'!$A:$A,'Dados Funil'!$L:$L,"")</f>
        <v/>
      </c>
      <c r="X792" s="4"/>
      <c r="Y792" s="4"/>
      <c r="Z792" s="7" t="str">
        <f t="shared" si="5"/>
        <v/>
      </c>
      <c r="AA792" s="4" t="str">
        <f t="shared" si="13"/>
        <v/>
      </c>
      <c r="AB792" s="4" t="str">
        <f t="array" ref="AB792">XLOOKUP(X792,'Dados Funil'!A:A,'Dados Funil'!O:O,"")</f>
        <v/>
      </c>
      <c r="AE792" s="7" t="str">
        <f t="shared" si="6"/>
        <v/>
      </c>
      <c r="AG792" s="4" t="str">
        <f t="array" ref="AG792">XLOOKUP(AC792,'Dados Funil'!A:A,'Dados Funil'!AM:AM,"")</f>
        <v/>
      </c>
      <c r="AH792" s="4" t="str">
        <f t="array" ref="AH792">XLOOKUP(AC792,'Dados Funil'!A:A,'Dados Funil'!AN:AN,"")</f>
        <v/>
      </c>
    </row>
    <row r="793">
      <c r="A793" s="4"/>
      <c r="B793" s="4"/>
      <c r="C793" s="7" t="str">
        <f t="shared" si="1"/>
        <v/>
      </c>
      <c r="D793" s="4" t="str">
        <f t="shared" si="9"/>
        <v/>
      </c>
      <c r="E793" s="4" t="str">
        <f t="array" ref="E793">XLOOKUP(A793,'Dados Funil'!$A:$A,'Dados Funil'!$K:$K,"")</f>
        <v/>
      </c>
      <c r="F793" s="4" t="str">
        <f t="array" ref="F793">XLOOKUP(A793,'Dados Funil'!$A:$A,'Dados Funil'!$L:$L,"")</f>
        <v/>
      </c>
      <c r="G793" s="4"/>
      <c r="H793" s="4"/>
      <c r="I793" s="7" t="str">
        <f t="shared" si="2"/>
        <v/>
      </c>
      <c r="J793" s="4" t="str">
        <f t="shared" si="10"/>
        <v/>
      </c>
      <c r="K793" s="4" t="str">
        <f t="array" ref="K793">XLOOKUP(G793,'Dados Funil'!A:A,'Dados Funil'!O:O,"")</f>
        <v/>
      </c>
      <c r="L793" s="4"/>
      <c r="M793" s="4"/>
      <c r="N793" s="7" t="str">
        <f t="shared" si="3"/>
        <v/>
      </c>
      <c r="O793" s="4" t="str">
        <f t="shared" si="11"/>
        <v/>
      </c>
      <c r="P793" s="4" t="str">
        <f t="array" ref="P793">XLOOKUP(L793,'Dados Funil'!A:A,'Dados Funil'!AM:AM,"")</f>
        <v/>
      </c>
      <c r="Q793" s="4" t="str">
        <f t="array" ref="Q793">XLOOKUP(L793,'Dados Funil'!A:A,'Dados Funil'!AN:AN,"")</f>
        <v/>
      </c>
      <c r="T793" s="7" t="str">
        <f t="shared" si="4"/>
        <v/>
      </c>
      <c r="U793" s="4" t="str">
        <f t="shared" si="12"/>
        <v/>
      </c>
      <c r="V793" s="4" t="str">
        <f t="array" ref="V793">XLOOKUP(R793,'Dados Funil'!$A:$A,'Dados Funil'!$K:$K,"")</f>
        <v/>
      </c>
      <c r="W793" s="4" t="str">
        <f t="array" ref="W793">XLOOKUP(R793,'Dados Funil'!$A:$A,'Dados Funil'!$L:$L,"")</f>
        <v/>
      </c>
      <c r="X793" s="4"/>
      <c r="Y793" s="4"/>
      <c r="Z793" s="7" t="str">
        <f t="shared" si="5"/>
        <v/>
      </c>
      <c r="AA793" s="4" t="str">
        <f t="shared" si="13"/>
        <v/>
      </c>
      <c r="AB793" s="4" t="str">
        <f t="array" ref="AB793">XLOOKUP(X793,'Dados Funil'!A:A,'Dados Funil'!O:O,"")</f>
        <v/>
      </c>
      <c r="AE793" s="7" t="str">
        <f t="shared" si="6"/>
        <v/>
      </c>
      <c r="AG793" s="4" t="str">
        <f t="array" ref="AG793">XLOOKUP(AC793,'Dados Funil'!A:A,'Dados Funil'!AM:AM,"")</f>
        <v/>
      </c>
      <c r="AH793" s="4" t="str">
        <f t="array" ref="AH793">XLOOKUP(AC793,'Dados Funil'!A:A,'Dados Funil'!AN:AN,"")</f>
        <v/>
      </c>
    </row>
    <row r="794">
      <c r="A794" s="4"/>
      <c r="B794" s="4"/>
      <c r="C794" s="7" t="str">
        <f t="shared" si="1"/>
        <v/>
      </c>
      <c r="D794" s="4" t="str">
        <f t="shared" si="9"/>
        <v/>
      </c>
      <c r="E794" s="4" t="str">
        <f t="array" ref="E794">XLOOKUP(A794,'Dados Funil'!$A:$A,'Dados Funil'!$K:$K,"")</f>
        <v/>
      </c>
      <c r="F794" s="4" t="str">
        <f t="array" ref="F794">XLOOKUP(A794,'Dados Funil'!$A:$A,'Dados Funil'!$L:$L,"")</f>
        <v/>
      </c>
      <c r="G794" s="4"/>
      <c r="H794" s="4"/>
      <c r="I794" s="7" t="str">
        <f t="shared" si="2"/>
        <v/>
      </c>
      <c r="J794" s="4" t="str">
        <f t="shared" si="10"/>
        <v/>
      </c>
      <c r="K794" s="4" t="str">
        <f t="array" ref="K794">XLOOKUP(G794,'Dados Funil'!A:A,'Dados Funil'!O:O,"")</f>
        <v/>
      </c>
      <c r="L794" s="4"/>
      <c r="M794" s="4"/>
      <c r="N794" s="7" t="str">
        <f t="shared" si="3"/>
        <v/>
      </c>
      <c r="O794" s="4" t="str">
        <f t="shared" si="11"/>
        <v/>
      </c>
      <c r="P794" s="4" t="str">
        <f t="array" ref="P794">XLOOKUP(L794,'Dados Funil'!A:A,'Dados Funil'!AM:AM,"")</f>
        <v/>
      </c>
      <c r="Q794" s="4" t="str">
        <f t="array" ref="Q794">XLOOKUP(L794,'Dados Funil'!A:A,'Dados Funil'!AN:AN,"")</f>
        <v/>
      </c>
      <c r="T794" s="7" t="str">
        <f t="shared" si="4"/>
        <v/>
      </c>
      <c r="U794" s="4" t="str">
        <f t="shared" si="12"/>
        <v/>
      </c>
      <c r="V794" s="4" t="str">
        <f t="array" ref="V794">XLOOKUP(R794,'Dados Funil'!$A:$A,'Dados Funil'!$K:$K,"")</f>
        <v/>
      </c>
      <c r="W794" s="4" t="str">
        <f t="array" ref="W794">XLOOKUP(R794,'Dados Funil'!$A:$A,'Dados Funil'!$L:$L,"")</f>
        <v/>
      </c>
      <c r="X794" s="4"/>
      <c r="Y794" s="4"/>
      <c r="Z794" s="7" t="str">
        <f t="shared" si="5"/>
        <v/>
      </c>
      <c r="AA794" s="4" t="str">
        <f t="shared" si="13"/>
        <v/>
      </c>
      <c r="AB794" s="4" t="str">
        <f t="array" ref="AB794">XLOOKUP(X794,'Dados Funil'!A:A,'Dados Funil'!O:O,"")</f>
        <v/>
      </c>
      <c r="AE794" s="7" t="str">
        <f t="shared" si="6"/>
        <v/>
      </c>
      <c r="AG794" s="4" t="str">
        <f t="array" ref="AG794">XLOOKUP(AC794,'Dados Funil'!A:A,'Dados Funil'!AM:AM,"")</f>
        <v/>
      </c>
      <c r="AH794" s="4" t="str">
        <f t="array" ref="AH794">XLOOKUP(AC794,'Dados Funil'!A:A,'Dados Funil'!AN:AN,"")</f>
        <v/>
      </c>
    </row>
    <row r="795">
      <c r="A795" s="4"/>
      <c r="B795" s="4"/>
      <c r="C795" s="7" t="str">
        <f t="shared" si="1"/>
        <v/>
      </c>
      <c r="D795" s="4" t="str">
        <f t="shared" si="9"/>
        <v/>
      </c>
      <c r="E795" s="4" t="str">
        <f t="array" ref="E795">XLOOKUP(A795,'Dados Funil'!$A:$A,'Dados Funil'!$K:$K,"")</f>
        <v/>
      </c>
      <c r="F795" s="4" t="str">
        <f t="array" ref="F795">XLOOKUP(A795,'Dados Funil'!$A:$A,'Dados Funil'!$L:$L,"")</f>
        <v/>
      </c>
      <c r="G795" s="4"/>
      <c r="H795" s="4"/>
      <c r="I795" s="7" t="str">
        <f t="shared" si="2"/>
        <v/>
      </c>
      <c r="J795" s="4" t="str">
        <f t="shared" si="10"/>
        <v/>
      </c>
      <c r="K795" s="4" t="str">
        <f t="array" ref="K795">XLOOKUP(G795,'Dados Funil'!A:A,'Dados Funil'!O:O,"")</f>
        <v/>
      </c>
      <c r="L795" s="4"/>
      <c r="M795" s="4"/>
      <c r="N795" s="7" t="str">
        <f t="shared" si="3"/>
        <v/>
      </c>
      <c r="O795" s="4" t="str">
        <f t="shared" si="11"/>
        <v/>
      </c>
      <c r="P795" s="4" t="str">
        <f t="array" ref="P795">XLOOKUP(L795,'Dados Funil'!A:A,'Dados Funil'!AM:AM,"")</f>
        <v/>
      </c>
      <c r="Q795" s="4" t="str">
        <f t="array" ref="Q795">XLOOKUP(L795,'Dados Funil'!A:A,'Dados Funil'!AN:AN,"")</f>
        <v/>
      </c>
      <c r="T795" s="7" t="str">
        <f t="shared" si="4"/>
        <v/>
      </c>
      <c r="U795" s="4" t="str">
        <f t="shared" si="12"/>
        <v/>
      </c>
      <c r="V795" s="4" t="str">
        <f t="array" ref="V795">XLOOKUP(R795,'Dados Funil'!$A:$A,'Dados Funil'!$K:$K,"")</f>
        <v/>
      </c>
      <c r="W795" s="4" t="str">
        <f t="array" ref="W795">XLOOKUP(R795,'Dados Funil'!$A:$A,'Dados Funil'!$L:$L,"")</f>
        <v/>
      </c>
      <c r="X795" s="4"/>
      <c r="Y795" s="4"/>
      <c r="Z795" s="7" t="str">
        <f t="shared" si="5"/>
        <v/>
      </c>
      <c r="AA795" s="4" t="str">
        <f t="shared" si="13"/>
        <v/>
      </c>
      <c r="AB795" s="4" t="str">
        <f t="array" ref="AB795">XLOOKUP(X795,'Dados Funil'!A:A,'Dados Funil'!O:O,"")</f>
        <v/>
      </c>
      <c r="AE795" s="7" t="str">
        <f t="shared" si="6"/>
        <v/>
      </c>
      <c r="AG795" s="4" t="str">
        <f t="array" ref="AG795">XLOOKUP(AC795,'Dados Funil'!A:A,'Dados Funil'!AM:AM,"")</f>
        <v/>
      </c>
      <c r="AH795" s="4" t="str">
        <f t="array" ref="AH795">XLOOKUP(AC795,'Dados Funil'!A:A,'Dados Funil'!AN:AN,"")</f>
        <v/>
      </c>
    </row>
    <row r="796">
      <c r="A796" s="4"/>
      <c r="B796" s="4"/>
      <c r="C796" s="7" t="str">
        <f t="shared" si="1"/>
        <v/>
      </c>
      <c r="D796" s="4" t="str">
        <f t="shared" si="9"/>
        <v/>
      </c>
      <c r="E796" s="4" t="str">
        <f t="array" ref="E796">XLOOKUP(A796,'Dados Funil'!$A:$A,'Dados Funil'!$K:$K,"")</f>
        <v/>
      </c>
      <c r="F796" s="4" t="str">
        <f t="array" ref="F796">XLOOKUP(A796,'Dados Funil'!$A:$A,'Dados Funil'!$L:$L,"")</f>
        <v/>
      </c>
      <c r="G796" s="4"/>
      <c r="H796" s="4"/>
      <c r="I796" s="7" t="str">
        <f t="shared" si="2"/>
        <v/>
      </c>
      <c r="J796" s="4" t="str">
        <f t="shared" si="10"/>
        <v/>
      </c>
      <c r="K796" s="4" t="str">
        <f t="array" ref="K796">XLOOKUP(G796,'Dados Funil'!A:A,'Dados Funil'!O:O,"")</f>
        <v/>
      </c>
      <c r="L796" s="4"/>
      <c r="M796" s="4"/>
      <c r="N796" s="7" t="str">
        <f t="shared" si="3"/>
        <v/>
      </c>
      <c r="O796" s="4" t="str">
        <f t="shared" si="11"/>
        <v/>
      </c>
      <c r="P796" s="4" t="str">
        <f t="array" ref="P796">XLOOKUP(L796,'Dados Funil'!A:A,'Dados Funil'!AM:AM,"")</f>
        <v/>
      </c>
      <c r="Q796" s="4" t="str">
        <f t="array" ref="Q796">XLOOKUP(L796,'Dados Funil'!A:A,'Dados Funil'!AN:AN,"")</f>
        <v/>
      </c>
      <c r="T796" s="7" t="str">
        <f t="shared" si="4"/>
        <v/>
      </c>
      <c r="U796" s="4" t="str">
        <f t="shared" si="12"/>
        <v/>
      </c>
      <c r="V796" s="4" t="str">
        <f t="array" ref="V796">XLOOKUP(R796,'Dados Funil'!$A:$A,'Dados Funil'!$K:$K,"")</f>
        <v/>
      </c>
      <c r="W796" s="4" t="str">
        <f t="array" ref="W796">XLOOKUP(R796,'Dados Funil'!$A:$A,'Dados Funil'!$L:$L,"")</f>
        <v/>
      </c>
      <c r="X796" s="4"/>
      <c r="Y796" s="4"/>
      <c r="Z796" s="7" t="str">
        <f t="shared" si="5"/>
        <v/>
      </c>
      <c r="AA796" s="4" t="str">
        <f t="shared" si="13"/>
        <v/>
      </c>
      <c r="AB796" s="4" t="str">
        <f t="array" ref="AB796">XLOOKUP(X796,'Dados Funil'!A:A,'Dados Funil'!O:O,"")</f>
        <v/>
      </c>
      <c r="AE796" s="7" t="str">
        <f t="shared" si="6"/>
        <v/>
      </c>
      <c r="AG796" s="4" t="str">
        <f t="array" ref="AG796">XLOOKUP(AC796,'Dados Funil'!A:A,'Dados Funil'!AM:AM,"")</f>
        <v/>
      </c>
      <c r="AH796" s="4" t="str">
        <f t="array" ref="AH796">XLOOKUP(AC796,'Dados Funil'!A:A,'Dados Funil'!AN:AN,"")</f>
        <v/>
      </c>
    </row>
    <row r="797">
      <c r="A797" s="4"/>
      <c r="B797" s="4"/>
      <c r="C797" s="7" t="str">
        <f t="shared" si="1"/>
        <v/>
      </c>
      <c r="D797" s="4" t="str">
        <f t="shared" si="9"/>
        <v/>
      </c>
      <c r="E797" s="4" t="str">
        <f t="array" ref="E797">XLOOKUP(A797,'Dados Funil'!$A:$A,'Dados Funil'!$K:$K,"")</f>
        <v/>
      </c>
      <c r="F797" s="4" t="str">
        <f t="array" ref="F797">XLOOKUP(A797,'Dados Funil'!$A:$A,'Dados Funil'!$L:$L,"")</f>
        <v/>
      </c>
      <c r="G797" s="4"/>
      <c r="H797" s="4"/>
      <c r="I797" s="7" t="str">
        <f t="shared" si="2"/>
        <v/>
      </c>
      <c r="J797" s="4" t="str">
        <f t="shared" si="10"/>
        <v/>
      </c>
      <c r="K797" s="4" t="str">
        <f t="array" ref="K797">XLOOKUP(G797,'Dados Funil'!A:A,'Dados Funil'!O:O,"")</f>
        <v/>
      </c>
      <c r="L797" s="4"/>
      <c r="M797" s="4"/>
      <c r="N797" s="7" t="str">
        <f t="shared" si="3"/>
        <v/>
      </c>
      <c r="O797" s="4" t="str">
        <f t="shared" si="11"/>
        <v/>
      </c>
      <c r="P797" s="4" t="str">
        <f t="array" ref="P797">XLOOKUP(L797,'Dados Funil'!A:A,'Dados Funil'!AM:AM,"")</f>
        <v/>
      </c>
      <c r="Q797" s="4" t="str">
        <f t="array" ref="Q797">XLOOKUP(L797,'Dados Funil'!A:A,'Dados Funil'!AN:AN,"")</f>
        <v/>
      </c>
      <c r="T797" s="7" t="str">
        <f t="shared" si="4"/>
        <v/>
      </c>
      <c r="U797" s="4" t="str">
        <f t="shared" si="12"/>
        <v/>
      </c>
      <c r="V797" s="4" t="str">
        <f t="array" ref="V797">XLOOKUP(R797,'Dados Funil'!$A:$A,'Dados Funil'!$K:$K,"")</f>
        <v/>
      </c>
      <c r="W797" s="4" t="str">
        <f t="array" ref="W797">XLOOKUP(R797,'Dados Funil'!$A:$A,'Dados Funil'!$L:$L,"")</f>
        <v/>
      </c>
      <c r="X797" s="4"/>
      <c r="Y797" s="4"/>
      <c r="Z797" s="7" t="str">
        <f t="shared" si="5"/>
        <v/>
      </c>
      <c r="AA797" s="4" t="str">
        <f t="shared" si="13"/>
        <v/>
      </c>
      <c r="AB797" s="4" t="str">
        <f t="array" ref="AB797">XLOOKUP(X797,'Dados Funil'!A:A,'Dados Funil'!O:O,"")</f>
        <v/>
      </c>
      <c r="AE797" s="7" t="str">
        <f t="shared" si="6"/>
        <v/>
      </c>
      <c r="AG797" s="4" t="str">
        <f t="array" ref="AG797">XLOOKUP(AC797,'Dados Funil'!A:A,'Dados Funil'!AM:AM,"")</f>
        <v/>
      </c>
      <c r="AH797" s="4" t="str">
        <f t="array" ref="AH797">XLOOKUP(AC797,'Dados Funil'!A:A,'Dados Funil'!AN:AN,"")</f>
        <v/>
      </c>
    </row>
    <row r="798">
      <c r="A798" s="4"/>
      <c r="B798" s="4"/>
      <c r="C798" s="7" t="str">
        <f t="shared" si="1"/>
        <v/>
      </c>
      <c r="D798" s="4" t="str">
        <f t="shared" si="9"/>
        <v/>
      </c>
      <c r="E798" s="4" t="str">
        <f t="array" ref="E798">XLOOKUP(A798,'Dados Funil'!$A:$A,'Dados Funil'!$K:$K,"")</f>
        <v/>
      </c>
      <c r="F798" s="4" t="str">
        <f t="array" ref="F798">XLOOKUP(A798,'Dados Funil'!$A:$A,'Dados Funil'!$L:$L,"")</f>
        <v/>
      </c>
      <c r="G798" s="4"/>
      <c r="H798" s="4"/>
      <c r="I798" s="7" t="str">
        <f t="shared" si="2"/>
        <v/>
      </c>
      <c r="J798" s="4" t="str">
        <f t="shared" si="10"/>
        <v/>
      </c>
      <c r="K798" s="4" t="str">
        <f t="array" ref="K798">XLOOKUP(G798,'Dados Funil'!A:A,'Dados Funil'!O:O,"")</f>
        <v/>
      </c>
      <c r="L798" s="4"/>
      <c r="M798" s="4"/>
      <c r="N798" s="7" t="str">
        <f t="shared" si="3"/>
        <v/>
      </c>
      <c r="O798" s="4" t="str">
        <f t="shared" si="11"/>
        <v/>
      </c>
      <c r="P798" s="4" t="str">
        <f t="array" ref="P798">XLOOKUP(L798,'Dados Funil'!A:A,'Dados Funil'!AM:AM,"")</f>
        <v/>
      </c>
      <c r="Q798" s="4" t="str">
        <f t="array" ref="Q798">XLOOKUP(L798,'Dados Funil'!A:A,'Dados Funil'!AN:AN,"")</f>
        <v/>
      </c>
      <c r="T798" s="7" t="str">
        <f t="shared" si="4"/>
        <v/>
      </c>
      <c r="U798" s="4" t="str">
        <f t="shared" si="12"/>
        <v/>
      </c>
      <c r="V798" s="4" t="str">
        <f t="array" ref="V798">XLOOKUP(R798,'Dados Funil'!$A:$A,'Dados Funil'!$K:$K,"")</f>
        <v/>
      </c>
      <c r="W798" s="4" t="str">
        <f t="array" ref="W798">XLOOKUP(R798,'Dados Funil'!$A:$A,'Dados Funil'!$L:$L,"")</f>
        <v/>
      </c>
      <c r="X798" s="4"/>
      <c r="Y798" s="4"/>
      <c r="Z798" s="7" t="str">
        <f t="shared" si="5"/>
        <v/>
      </c>
      <c r="AA798" s="4" t="str">
        <f t="shared" si="13"/>
        <v/>
      </c>
      <c r="AB798" s="4" t="str">
        <f t="array" ref="AB798">XLOOKUP(X798,'Dados Funil'!A:A,'Dados Funil'!O:O,"")</f>
        <v/>
      </c>
      <c r="AE798" s="7" t="str">
        <f t="shared" si="6"/>
        <v/>
      </c>
      <c r="AG798" s="4" t="str">
        <f t="array" ref="AG798">XLOOKUP(AC798,'Dados Funil'!A:A,'Dados Funil'!AM:AM,"")</f>
        <v/>
      </c>
      <c r="AH798" s="4" t="str">
        <f t="array" ref="AH798">XLOOKUP(AC798,'Dados Funil'!A:A,'Dados Funil'!AN:AN,"")</f>
        <v/>
      </c>
    </row>
    <row r="799">
      <c r="A799" s="4"/>
      <c r="B799" s="4"/>
      <c r="C799" s="7" t="str">
        <f t="shared" si="1"/>
        <v/>
      </c>
      <c r="D799" s="4" t="str">
        <f t="shared" si="9"/>
        <v/>
      </c>
      <c r="E799" s="4" t="str">
        <f t="array" ref="E799">XLOOKUP(A799,'Dados Funil'!$A:$A,'Dados Funil'!$K:$K,"")</f>
        <v/>
      </c>
      <c r="F799" s="4" t="str">
        <f t="array" ref="F799">XLOOKUP(A799,'Dados Funil'!$A:$A,'Dados Funil'!$L:$L,"")</f>
        <v/>
      </c>
      <c r="G799" s="4"/>
      <c r="H799" s="4"/>
      <c r="I799" s="7" t="str">
        <f t="shared" si="2"/>
        <v/>
      </c>
      <c r="J799" s="4" t="str">
        <f t="shared" si="10"/>
        <v/>
      </c>
      <c r="K799" s="4" t="str">
        <f t="array" ref="K799">XLOOKUP(G799,'Dados Funil'!A:A,'Dados Funil'!O:O,"")</f>
        <v/>
      </c>
      <c r="L799" s="4"/>
      <c r="M799" s="4"/>
      <c r="N799" s="7" t="str">
        <f t="shared" si="3"/>
        <v/>
      </c>
      <c r="O799" s="4" t="str">
        <f t="shared" si="11"/>
        <v/>
      </c>
      <c r="P799" s="4" t="str">
        <f t="array" ref="P799">XLOOKUP(L799,'Dados Funil'!A:A,'Dados Funil'!AM:AM,"")</f>
        <v/>
      </c>
      <c r="Q799" s="4" t="str">
        <f t="array" ref="Q799">XLOOKUP(L799,'Dados Funil'!A:A,'Dados Funil'!AN:AN,"")</f>
        <v/>
      </c>
      <c r="T799" s="7" t="str">
        <f t="shared" si="4"/>
        <v/>
      </c>
      <c r="U799" s="4" t="str">
        <f t="shared" si="12"/>
        <v/>
      </c>
      <c r="V799" s="4" t="str">
        <f t="array" ref="V799">XLOOKUP(R799,'Dados Funil'!$A:$A,'Dados Funil'!$K:$K,"")</f>
        <v/>
      </c>
      <c r="W799" s="4" t="str">
        <f t="array" ref="W799">XLOOKUP(R799,'Dados Funil'!$A:$A,'Dados Funil'!$L:$L,"")</f>
        <v/>
      </c>
      <c r="X799" s="4"/>
      <c r="Y799" s="4"/>
      <c r="Z799" s="7" t="str">
        <f t="shared" si="5"/>
        <v/>
      </c>
      <c r="AA799" s="4" t="str">
        <f t="shared" si="13"/>
        <v/>
      </c>
      <c r="AB799" s="4" t="str">
        <f t="array" ref="AB799">XLOOKUP(X799,'Dados Funil'!A:A,'Dados Funil'!O:O,"")</f>
        <v/>
      </c>
      <c r="AE799" s="7" t="str">
        <f t="shared" si="6"/>
        <v/>
      </c>
      <c r="AG799" s="4" t="str">
        <f t="array" ref="AG799">XLOOKUP(AC799,'Dados Funil'!A:A,'Dados Funil'!AM:AM,"")</f>
        <v/>
      </c>
      <c r="AH799" s="4" t="str">
        <f t="array" ref="AH799">XLOOKUP(AC799,'Dados Funil'!A:A,'Dados Funil'!AN:AN,"")</f>
        <v/>
      </c>
    </row>
    <row r="800">
      <c r="A800" s="4"/>
      <c r="B800" s="4"/>
      <c r="C800" s="7" t="str">
        <f t="shared" si="1"/>
        <v/>
      </c>
      <c r="D800" s="4" t="str">
        <f t="shared" si="9"/>
        <v/>
      </c>
      <c r="E800" s="4" t="str">
        <f t="array" ref="E800">XLOOKUP(A800,'Dados Funil'!$A:$A,'Dados Funil'!$K:$K,"")</f>
        <v/>
      </c>
      <c r="F800" s="4" t="str">
        <f t="array" ref="F800">XLOOKUP(A800,'Dados Funil'!$A:$A,'Dados Funil'!$L:$L,"")</f>
        <v/>
      </c>
      <c r="G800" s="4"/>
      <c r="H800" s="4"/>
      <c r="I800" s="7" t="str">
        <f t="shared" si="2"/>
        <v/>
      </c>
      <c r="J800" s="4" t="str">
        <f t="shared" si="10"/>
        <v/>
      </c>
      <c r="K800" s="4" t="str">
        <f t="array" ref="K800">XLOOKUP(G800,'Dados Funil'!A:A,'Dados Funil'!O:O,"")</f>
        <v/>
      </c>
      <c r="L800" s="4"/>
      <c r="M800" s="4"/>
      <c r="N800" s="7" t="str">
        <f t="shared" si="3"/>
        <v/>
      </c>
      <c r="O800" s="4" t="str">
        <f t="shared" si="11"/>
        <v/>
      </c>
      <c r="P800" s="4" t="str">
        <f t="array" ref="P800">XLOOKUP(L800,'Dados Funil'!A:A,'Dados Funil'!AM:AM,"")</f>
        <v/>
      </c>
      <c r="Q800" s="4" t="str">
        <f t="array" ref="Q800">XLOOKUP(L800,'Dados Funil'!A:A,'Dados Funil'!AN:AN,"")</f>
        <v/>
      </c>
      <c r="T800" s="7" t="str">
        <f t="shared" si="4"/>
        <v/>
      </c>
      <c r="U800" s="4" t="str">
        <f t="shared" si="12"/>
        <v/>
      </c>
      <c r="V800" s="4" t="str">
        <f t="array" ref="V800">XLOOKUP(R800,'Dados Funil'!$A:$A,'Dados Funil'!$K:$K,"")</f>
        <v/>
      </c>
      <c r="W800" s="4" t="str">
        <f t="array" ref="W800">XLOOKUP(R800,'Dados Funil'!$A:$A,'Dados Funil'!$L:$L,"")</f>
        <v/>
      </c>
      <c r="X800" s="4"/>
      <c r="Y800" s="4"/>
      <c r="Z800" s="7" t="str">
        <f t="shared" si="5"/>
        <v/>
      </c>
      <c r="AA800" s="4" t="str">
        <f t="shared" si="13"/>
        <v/>
      </c>
      <c r="AB800" s="4" t="str">
        <f t="array" ref="AB800">XLOOKUP(X800,'Dados Funil'!A:A,'Dados Funil'!O:O,"")</f>
        <v/>
      </c>
      <c r="AE800" s="7" t="str">
        <f t="shared" si="6"/>
        <v/>
      </c>
      <c r="AG800" s="4" t="str">
        <f t="array" ref="AG800">XLOOKUP(AC800,'Dados Funil'!A:A,'Dados Funil'!AM:AM,"")</f>
        <v/>
      </c>
      <c r="AH800" s="4" t="str">
        <f t="array" ref="AH800">XLOOKUP(AC800,'Dados Funil'!A:A,'Dados Funil'!AN:AN,"")</f>
        <v/>
      </c>
    </row>
    <row r="801">
      <c r="A801" s="4"/>
      <c r="B801" s="4"/>
      <c r="C801" s="7" t="str">
        <f t="shared" si="1"/>
        <v/>
      </c>
      <c r="D801" s="4" t="str">
        <f t="shared" si="9"/>
        <v/>
      </c>
      <c r="E801" s="4" t="str">
        <f t="array" ref="E801">XLOOKUP(A801,'Dados Funil'!$A:$A,'Dados Funil'!$K:$K,"")</f>
        <v/>
      </c>
      <c r="F801" s="4" t="str">
        <f t="array" ref="F801">XLOOKUP(A801,'Dados Funil'!$A:$A,'Dados Funil'!$L:$L,"")</f>
        <v/>
      </c>
      <c r="G801" s="4"/>
      <c r="H801" s="4"/>
      <c r="I801" s="7" t="str">
        <f t="shared" si="2"/>
        <v/>
      </c>
      <c r="J801" s="4" t="str">
        <f t="shared" si="10"/>
        <v/>
      </c>
      <c r="K801" s="4" t="str">
        <f t="array" ref="K801">XLOOKUP(G801,'Dados Funil'!A:A,'Dados Funil'!O:O,"")</f>
        <v/>
      </c>
      <c r="L801" s="4"/>
      <c r="M801" s="4"/>
      <c r="N801" s="7" t="str">
        <f t="shared" si="3"/>
        <v/>
      </c>
      <c r="O801" s="4" t="str">
        <f t="shared" si="11"/>
        <v/>
      </c>
      <c r="P801" s="4" t="str">
        <f t="array" ref="P801">XLOOKUP(L801,'Dados Funil'!A:A,'Dados Funil'!AM:AM,"")</f>
        <v/>
      </c>
      <c r="Q801" s="4" t="str">
        <f t="array" ref="Q801">XLOOKUP(L801,'Dados Funil'!A:A,'Dados Funil'!AN:AN,"")</f>
        <v/>
      </c>
      <c r="T801" s="7" t="str">
        <f t="shared" si="4"/>
        <v/>
      </c>
      <c r="U801" s="4" t="str">
        <f t="shared" si="12"/>
        <v/>
      </c>
      <c r="V801" s="4" t="str">
        <f t="array" ref="V801">XLOOKUP(R801,'Dados Funil'!$A:$A,'Dados Funil'!$K:$K,"")</f>
        <v/>
      </c>
      <c r="W801" s="4" t="str">
        <f t="array" ref="W801">XLOOKUP(R801,'Dados Funil'!$A:$A,'Dados Funil'!$L:$L,"")</f>
        <v/>
      </c>
      <c r="X801" s="4"/>
      <c r="Y801" s="4"/>
      <c r="Z801" s="7" t="str">
        <f t="shared" si="5"/>
        <v/>
      </c>
      <c r="AA801" s="4" t="str">
        <f t="shared" si="13"/>
        <v/>
      </c>
      <c r="AB801" s="4" t="str">
        <f t="array" ref="AB801">XLOOKUP(X801,'Dados Funil'!A:A,'Dados Funil'!O:O,"")</f>
        <v/>
      </c>
      <c r="AE801" s="7" t="str">
        <f t="shared" si="6"/>
        <v/>
      </c>
      <c r="AG801" s="4" t="str">
        <f t="array" ref="AG801">XLOOKUP(AC801,'Dados Funil'!A:A,'Dados Funil'!AM:AM,"")</f>
        <v/>
      </c>
      <c r="AH801" s="4" t="str">
        <f t="array" ref="AH801">XLOOKUP(AC801,'Dados Funil'!A:A,'Dados Funil'!AN:AN,"")</f>
        <v/>
      </c>
    </row>
    <row r="802">
      <c r="A802" s="4"/>
      <c r="B802" s="4"/>
      <c r="C802" s="7" t="str">
        <f t="shared" si="1"/>
        <v/>
      </c>
      <c r="D802" s="4" t="str">
        <f t="shared" si="9"/>
        <v/>
      </c>
      <c r="E802" s="4" t="str">
        <f t="array" ref="E802">XLOOKUP(A802,'Dados Funil'!$A:$A,'Dados Funil'!$K:$K,"")</f>
        <v/>
      </c>
      <c r="F802" s="4" t="str">
        <f t="array" ref="F802">XLOOKUP(A802,'Dados Funil'!$A:$A,'Dados Funil'!$L:$L,"")</f>
        <v/>
      </c>
      <c r="G802" s="4"/>
      <c r="H802" s="4"/>
      <c r="I802" s="7" t="str">
        <f t="shared" si="2"/>
        <v/>
      </c>
      <c r="J802" s="4" t="str">
        <f t="shared" si="10"/>
        <v/>
      </c>
      <c r="K802" s="4" t="str">
        <f t="array" ref="K802">XLOOKUP(G802,'Dados Funil'!A:A,'Dados Funil'!O:O,"")</f>
        <v/>
      </c>
      <c r="L802" s="4"/>
      <c r="M802" s="4"/>
      <c r="N802" s="7" t="str">
        <f t="shared" si="3"/>
        <v/>
      </c>
      <c r="O802" s="4" t="str">
        <f t="shared" si="11"/>
        <v/>
      </c>
      <c r="P802" s="4" t="str">
        <f t="array" ref="P802">XLOOKUP(L802,'Dados Funil'!A:A,'Dados Funil'!AM:AM,"")</f>
        <v/>
      </c>
      <c r="Q802" s="4" t="str">
        <f t="array" ref="Q802">XLOOKUP(L802,'Dados Funil'!A:A,'Dados Funil'!AN:AN,"")</f>
        <v/>
      </c>
      <c r="T802" s="7" t="str">
        <f t="shared" si="4"/>
        <v/>
      </c>
      <c r="U802" s="4" t="str">
        <f t="shared" si="12"/>
        <v/>
      </c>
      <c r="V802" s="4" t="str">
        <f t="array" ref="V802">XLOOKUP(R802,'Dados Funil'!$A:$A,'Dados Funil'!$K:$K,"")</f>
        <v/>
      </c>
      <c r="W802" s="4" t="str">
        <f t="array" ref="W802">XLOOKUP(R802,'Dados Funil'!$A:$A,'Dados Funil'!$L:$L,"")</f>
        <v/>
      </c>
      <c r="X802" s="4"/>
      <c r="Y802" s="4"/>
      <c r="Z802" s="7" t="str">
        <f t="shared" si="5"/>
        <v/>
      </c>
      <c r="AA802" s="4" t="str">
        <f t="shared" si="13"/>
        <v/>
      </c>
      <c r="AB802" s="4" t="str">
        <f t="array" ref="AB802">XLOOKUP(X802,'Dados Funil'!A:A,'Dados Funil'!O:O,"")</f>
        <v/>
      </c>
      <c r="AE802" s="7" t="str">
        <f t="shared" si="6"/>
        <v/>
      </c>
      <c r="AG802" s="4" t="str">
        <f t="array" ref="AG802">XLOOKUP(AC802,'Dados Funil'!A:A,'Dados Funil'!AM:AM,"")</f>
        <v/>
      </c>
      <c r="AH802" s="4" t="str">
        <f t="array" ref="AH802">XLOOKUP(AC802,'Dados Funil'!A:A,'Dados Funil'!AN:AN,"")</f>
        <v/>
      </c>
    </row>
    <row r="803">
      <c r="A803" s="4"/>
      <c r="B803" s="4"/>
      <c r="C803" s="7" t="str">
        <f t="shared" si="1"/>
        <v/>
      </c>
      <c r="D803" s="4" t="str">
        <f t="shared" si="9"/>
        <v/>
      </c>
      <c r="E803" s="4" t="str">
        <f t="array" ref="E803">XLOOKUP(A803,'Dados Funil'!$A:$A,'Dados Funil'!$K:$K,"")</f>
        <v/>
      </c>
      <c r="F803" s="4" t="str">
        <f t="array" ref="F803">XLOOKUP(A803,'Dados Funil'!$A:$A,'Dados Funil'!$L:$L,"")</f>
        <v/>
      </c>
      <c r="G803" s="4"/>
      <c r="H803" s="4"/>
      <c r="I803" s="7" t="str">
        <f t="shared" si="2"/>
        <v/>
      </c>
      <c r="J803" s="4" t="str">
        <f t="shared" si="10"/>
        <v/>
      </c>
      <c r="K803" s="4" t="str">
        <f t="array" ref="K803">XLOOKUP(G803,'Dados Funil'!A:A,'Dados Funil'!O:O,"")</f>
        <v/>
      </c>
      <c r="L803" s="4"/>
      <c r="M803" s="4"/>
      <c r="N803" s="7" t="str">
        <f t="shared" si="3"/>
        <v/>
      </c>
      <c r="O803" s="4" t="str">
        <f t="shared" si="11"/>
        <v/>
      </c>
      <c r="P803" s="4" t="str">
        <f t="array" ref="P803">XLOOKUP(L803,'Dados Funil'!A:A,'Dados Funil'!AM:AM,"")</f>
        <v/>
      </c>
      <c r="Q803" s="4" t="str">
        <f t="array" ref="Q803">XLOOKUP(L803,'Dados Funil'!A:A,'Dados Funil'!AN:AN,"")</f>
        <v/>
      </c>
      <c r="T803" s="7" t="str">
        <f t="shared" si="4"/>
        <v/>
      </c>
      <c r="U803" s="4" t="str">
        <f t="shared" si="12"/>
        <v/>
      </c>
      <c r="V803" s="4" t="str">
        <f t="array" ref="V803">XLOOKUP(R803,'Dados Funil'!$A:$A,'Dados Funil'!$K:$K,"")</f>
        <v/>
      </c>
      <c r="W803" s="4" t="str">
        <f t="array" ref="W803">XLOOKUP(R803,'Dados Funil'!$A:$A,'Dados Funil'!$L:$L,"")</f>
        <v/>
      </c>
      <c r="X803" s="4"/>
      <c r="Y803" s="4"/>
      <c r="Z803" s="7" t="str">
        <f t="shared" si="5"/>
        <v/>
      </c>
      <c r="AA803" s="4" t="str">
        <f t="shared" si="13"/>
        <v/>
      </c>
      <c r="AB803" s="4" t="str">
        <f t="array" ref="AB803">XLOOKUP(X803,'Dados Funil'!A:A,'Dados Funil'!O:O,"")</f>
        <v/>
      </c>
      <c r="AE803" s="7" t="str">
        <f t="shared" si="6"/>
        <v/>
      </c>
      <c r="AG803" s="4" t="str">
        <f t="array" ref="AG803">XLOOKUP(AC803,'Dados Funil'!A:A,'Dados Funil'!AM:AM,"")</f>
        <v/>
      </c>
      <c r="AH803" s="4" t="str">
        <f t="array" ref="AH803">XLOOKUP(AC803,'Dados Funil'!A:A,'Dados Funil'!AN:AN,"")</f>
        <v/>
      </c>
    </row>
    <row r="804">
      <c r="A804" s="4"/>
      <c r="B804" s="4"/>
      <c r="C804" s="7" t="str">
        <f t="shared" si="1"/>
        <v/>
      </c>
      <c r="D804" s="4" t="str">
        <f t="shared" si="9"/>
        <v/>
      </c>
      <c r="E804" s="4" t="str">
        <f t="array" ref="E804">XLOOKUP(A804,'Dados Funil'!$A:$A,'Dados Funil'!$K:$K,"")</f>
        <v/>
      </c>
      <c r="F804" s="4" t="str">
        <f t="array" ref="F804">XLOOKUP(A804,'Dados Funil'!$A:$A,'Dados Funil'!$L:$L,"")</f>
        <v/>
      </c>
      <c r="G804" s="4"/>
      <c r="H804" s="4"/>
      <c r="I804" s="7" t="str">
        <f t="shared" si="2"/>
        <v/>
      </c>
      <c r="J804" s="4" t="str">
        <f t="shared" si="10"/>
        <v/>
      </c>
      <c r="K804" s="4" t="str">
        <f t="array" ref="K804">XLOOKUP(G804,'Dados Funil'!A:A,'Dados Funil'!O:O,"")</f>
        <v/>
      </c>
      <c r="L804" s="4"/>
      <c r="M804" s="4"/>
      <c r="N804" s="7" t="str">
        <f t="shared" si="3"/>
        <v/>
      </c>
      <c r="O804" s="4" t="str">
        <f t="shared" si="11"/>
        <v/>
      </c>
      <c r="P804" s="4" t="str">
        <f t="array" ref="P804">XLOOKUP(L804,'Dados Funil'!A:A,'Dados Funil'!AM:AM,"")</f>
        <v/>
      </c>
      <c r="Q804" s="4" t="str">
        <f t="array" ref="Q804">XLOOKUP(L804,'Dados Funil'!A:A,'Dados Funil'!AN:AN,"")</f>
        <v/>
      </c>
      <c r="T804" s="7" t="str">
        <f t="shared" si="4"/>
        <v/>
      </c>
      <c r="U804" s="4" t="str">
        <f t="shared" si="12"/>
        <v/>
      </c>
      <c r="V804" s="4" t="str">
        <f t="array" ref="V804">XLOOKUP(R804,'Dados Funil'!$A:$A,'Dados Funil'!$K:$K,"")</f>
        <v/>
      </c>
      <c r="W804" s="4" t="str">
        <f t="array" ref="W804">XLOOKUP(R804,'Dados Funil'!$A:$A,'Dados Funil'!$L:$L,"")</f>
        <v/>
      </c>
      <c r="X804" s="4"/>
      <c r="Y804" s="4"/>
      <c r="Z804" s="7" t="str">
        <f t="shared" si="5"/>
        <v/>
      </c>
      <c r="AA804" s="4" t="str">
        <f t="shared" si="13"/>
        <v/>
      </c>
      <c r="AB804" s="4" t="str">
        <f t="array" ref="AB804">XLOOKUP(X804,'Dados Funil'!A:A,'Dados Funil'!O:O,"")</f>
        <v/>
      </c>
      <c r="AE804" s="7" t="str">
        <f t="shared" si="6"/>
        <v/>
      </c>
      <c r="AG804" s="4" t="str">
        <f t="array" ref="AG804">XLOOKUP(AC804,'Dados Funil'!A:A,'Dados Funil'!AM:AM,"")</f>
        <v/>
      </c>
      <c r="AH804" s="4" t="str">
        <f t="array" ref="AH804">XLOOKUP(AC804,'Dados Funil'!A:A,'Dados Funil'!AN:AN,"")</f>
        <v/>
      </c>
    </row>
    <row r="805">
      <c r="A805" s="4"/>
      <c r="B805" s="4"/>
      <c r="C805" s="7" t="str">
        <f t="shared" si="1"/>
        <v/>
      </c>
      <c r="D805" s="4" t="str">
        <f t="shared" si="9"/>
        <v/>
      </c>
      <c r="E805" s="4" t="str">
        <f t="array" ref="E805">XLOOKUP(A805,'Dados Funil'!$A:$A,'Dados Funil'!$K:$K,"")</f>
        <v/>
      </c>
      <c r="F805" s="4" t="str">
        <f t="array" ref="F805">XLOOKUP(A805,'Dados Funil'!$A:$A,'Dados Funil'!$L:$L,"")</f>
        <v/>
      </c>
      <c r="G805" s="4"/>
      <c r="H805" s="4"/>
      <c r="I805" s="7" t="str">
        <f t="shared" si="2"/>
        <v/>
      </c>
      <c r="J805" s="4" t="str">
        <f t="shared" si="10"/>
        <v/>
      </c>
      <c r="K805" s="4" t="str">
        <f t="array" ref="K805">XLOOKUP(G805,'Dados Funil'!A:A,'Dados Funil'!O:O,"")</f>
        <v/>
      </c>
      <c r="L805" s="4"/>
      <c r="M805" s="4"/>
      <c r="N805" s="7" t="str">
        <f t="shared" si="3"/>
        <v/>
      </c>
      <c r="O805" s="4" t="str">
        <f t="shared" si="11"/>
        <v/>
      </c>
      <c r="P805" s="4" t="str">
        <f t="array" ref="P805">XLOOKUP(L805,'Dados Funil'!A:A,'Dados Funil'!AM:AM,"")</f>
        <v/>
      </c>
      <c r="Q805" s="4" t="str">
        <f t="array" ref="Q805">XLOOKUP(L805,'Dados Funil'!A:A,'Dados Funil'!AN:AN,"")</f>
        <v/>
      </c>
      <c r="T805" s="7" t="str">
        <f t="shared" si="4"/>
        <v/>
      </c>
      <c r="U805" s="4" t="str">
        <f t="shared" si="12"/>
        <v/>
      </c>
      <c r="V805" s="4" t="str">
        <f t="array" ref="V805">XLOOKUP(R805,'Dados Funil'!$A:$A,'Dados Funil'!$K:$K,"")</f>
        <v/>
      </c>
      <c r="W805" s="4" t="str">
        <f t="array" ref="W805">XLOOKUP(R805,'Dados Funil'!$A:$A,'Dados Funil'!$L:$L,"")</f>
        <v/>
      </c>
      <c r="X805" s="4"/>
      <c r="Y805" s="4"/>
      <c r="Z805" s="7" t="str">
        <f t="shared" si="5"/>
        <v/>
      </c>
      <c r="AA805" s="4" t="str">
        <f t="shared" si="13"/>
        <v/>
      </c>
      <c r="AB805" s="4" t="str">
        <f t="array" ref="AB805">XLOOKUP(X805,'Dados Funil'!A:A,'Dados Funil'!O:O,"")</f>
        <v/>
      </c>
      <c r="AE805" s="7" t="str">
        <f t="shared" si="6"/>
        <v/>
      </c>
      <c r="AG805" s="4" t="str">
        <f t="array" ref="AG805">XLOOKUP(AC805,'Dados Funil'!A:A,'Dados Funil'!AM:AM,"")</f>
        <v/>
      </c>
      <c r="AH805" s="4" t="str">
        <f t="array" ref="AH805">XLOOKUP(AC805,'Dados Funil'!A:A,'Dados Funil'!AN:AN,"")</f>
        <v/>
      </c>
    </row>
    <row r="806">
      <c r="A806" s="4"/>
      <c r="B806" s="4"/>
      <c r="C806" s="7" t="str">
        <f t="shared" si="1"/>
        <v/>
      </c>
      <c r="D806" s="4" t="str">
        <f t="shared" si="9"/>
        <v/>
      </c>
      <c r="E806" s="4" t="str">
        <f t="array" ref="E806">XLOOKUP(A806,'Dados Funil'!$A:$A,'Dados Funil'!$K:$K,"")</f>
        <v/>
      </c>
      <c r="F806" s="4" t="str">
        <f t="array" ref="F806">XLOOKUP(A806,'Dados Funil'!$A:$A,'Dados Funil'!$L:$L,"")</f>
        <v/>
      </c>
      <c r="G806" s="4"/>
      <c r="H806" s="4"/>
      <c r="I806" s="7" t="str">
        <f t="shared" si="2"/>
        <v/>
      </c>
      <c r="J806" s="4" t="str">
        <f t="shared" si="10"/>
        <v/>
      </c>
      <c r="K806" s="4" t="str">
        <f t="array" ref="K806">XLOOKUP(G806,'Dados Funil'!A:A,'Dados Funil'!O:O,"")</f>
        <v/>
      </c>
      <c r="L806" s="4"/>
      <c r="M806" s="4"/>
      <c r="N806" s="7" t="str">
        <f t="shared" si="3"/>
        <v/>
      </c>
      <c r="O806" s="4" t="str">
        <f t="shared" si="11"/>
        <v/>
      </c>
      <c r="P806" s="4" t="str">
        <f t="array" ref="P806">XLOOKUP(L806,'Dados Funil'!A:A,'Dados Funil'!AM:AM,"")</f>
        <v/>
      </c>
      <c r="Q806" s="4" t="str">
        <f t="array" ref="Q806">XLOOKUP(L806,'Dados Funil'!A:A,'Dados Funil'!AN:AN,"")</f>
        <v/>
      </c>
      <c r="T806" s="7" t="str">
        <f t="shared" si="4"/>
        <v/>
      </c>
      <c r="U806" s="4" t="str">
        <f t="shared" si="12"/>
        <v/>
      </c>
      <c r="V806" s="4" t="str">
        <f t="array" ref="V806">XLOOKUP(R806,'Dados Funil'!$A:$A,'Dados Funil'!$K:$K,"")</f>
        <v/>
      </c>
      <c r="W806" s="4" t="str">
        <f t="array" ref="W806">XLOOKUP(R806,'Dados Funil'!$A:$A,'Dados Funil'!$L:$L,"")</f>
        <v/>
      </c>
      <c r="X806" s="4"/>
      <c r="Y806" s="4"/>
      <c r="Z806" s="7" t="str">
        <f t="shared" si="5"/>
        <v/>
      </c>
      <c r="AA806" s="4" t="str">
        <f t="shared" si="13"/>
        <v/>
      </c>
      <c r="AB806" s="4" t="str">
        <f t="array" ref="AB806">XLOOKUP(X806,'Dados Funil'!A:A,'Dados Funil'!O:O,"")</f>
        <v/>
      </c>
      <c r="AE806" s="7" t="str">
        <f t="shared" si="6"/>
        <v/>
      </c>
      <c r="AG806" s="4" t="str">
        <f t="array" ref="AG806">XLOOKUP(AC806,'Dados Funil'!A:A,'Dados Funil'!AM:AM,"")</f>
        <v/>
      </c>
      <c r="AH806" s="4" t="str">
        <f t="array" ref="AH806">XLOOKUP(AC806,'Dados Funil'!A:A,'Dados Funil'!AN:AN,"")</f>
        <v/>
      </c>
    </row>
    <row r="807">
      <c r="A807" s="4"/>
      <c r="B807" s="4"/>
      <c r="C807" s="7" t="str">
        <f t="shared" si="1"/>
        <v/>
      </c>
      <c r="D807" s="4" t="str">
        <f t="shared" si="9"/>
        <v/>
      </c>
      <c r="E807" s="4" t="str">
        <f t="array" ref="E807">XLOOKUP(A807,'Dados Funil'!$A:$A,'Dados Funil'!$K:$K,"")</f>
        <v/>
      </c>
      <c r="F807" s="4" t="str">
        <f t="array" ref="F807">XLOOKUP(A807,'Dados Funil'!$A:$A,'Dados Funil'!$L:$L,"")</f>
        <v/>
      </c>
      <c r="G807" s="4"/>
      <c r="H807" s="4"/>
      <c r="I807" s="7" t="str">
        <f t="shared" si="2"/>
        <v/>
      </c>
      <c r="J807" s="4" t="str">
        <f t="shared" si="10"/>
        <v/>
      </c>
      <c r="K807" s="4" t="str">
        <f t="array" ref="K807">XLOOKUP(G807,'Dados Funil'!A:A,'Dados Funil'!O:O,"")</f>
        <v/>
      </c>
      <c r="L807" s="4"/>
      <c r="M807" s="4"/>
      <c r="N807" s="7" t="str">
        <f t="shared" si="3"/>
        <v/>
      </c>
      <c r="O807" s="4" t="str">
        <f t="shared" si="11"/>
        <v/>
      </c>
      <c r="P807" s="4" t="str">
        <f t="array" ref="P807">XLOOKUP(L807,'Dados Funil'!A:A,'Dados Funil'!AM:AM,"")</f>
        <v/>
      </c>
      <c r="Q807" s="4" t="str">
        <f t="array" ref="Q807">XLOOKUP(L807,'Dados Funil'!A:A,'Dados Funil'!AN:AN,"")</f>
        <v/>
      </c>
      <c r="T807" s="7" t="str">
        <f t="shared" si="4"/>
        <v/>
      </c>
      <c r="U807" s="4" t="str">
        <f t="shared" si="12"/>
        <v/>
      </c>
      <c r="V807" s="4" t="str">
        <f t="array" ref="V807">XLOOKUP(R807,'Dados Funil'!$A:$A,'Dados Funil'!$K:$K,"")</f>
        <v/>
      </c>
      <c r="W807" s="4" t="str">
        <f t="array" ref="W807">XLOOKUP(R807,'Dados Funil'!$A:$A,'Dados Funil'!$L:$L,"")</f>
        <v/>
      </c>
      <c r="X807" s="4"/>
      <c r="Y807" s="4"/>
      <c r="Z807" s="7" t="str">
        <f t="shared" si="5"/>
        <v/>
      </c>
      <c r="AA807" s="4" t="str">
        <f t="shared" si="13"/>
        <v/>
      </c>
      <c r="AB807" s="4" t="str">
        <f t="array" ref="AB807">XLOOKUP(X807,'Dados Funil'!A:A,'Dados Funil'!O:O,"")</f>
        <v/>
      </c>
      <c r="AE807" s="7" t="str">
        <f t="shared" si="6"/>
        <v/>
      </c>
      <c r="AG807" s="4" t="str">
        <f t="array" ref="AG807">XLOOKUP(AC807,'Dados Funil'!A:A,'Dados Funil'!AM:AM,"")</f>
        <v/>
      </c>
      <c r="AH807" s="4" t="str">
        <f t="array" ref="AH807">XLOOKUP(AC807,'Dados Funil'!A:A,'Dados Funil'!AN:AN,"")</f>
        <v/>
      </c>
    </row>
    <row r="808">
      <c r="A808" s="4"/>
      <c r="B808" s="4"/>
      <c r="C808" s="7" t="str">
        <f t="shared" si="1"/>
        <v/>
      </c>
      <c r="D808" s="4" t="str">
        <f t="shared" si="9"/>
        <v/>
      </c>
      <c r="E808" s="4" t="str">
        <f t="array" ref="E808">XLOOKUP(A808,'Dados Funil'!$A:$A,'Dados Funil'!$K:$K,"")</f>
        <v/>
      </c>
      <c r="F808" s="4" t="str">
        <f t="array" ref="F808">XLOOKUP(A808,'Dados Funil'!$A:$A,'Dados Funil'!$L:$L,"")</f>
        <v/>
      </c>
      <c r="G808" s="4"/>
      <c r="H808" s="4"/>
      <c r="I808" s="7" t="str">
        <f t="shared" si="2"/>
        <v/>
      </c>
      <c r="J808" s="4" t="str">
        <f t="shared" si="10"/>
        <v/>
      </c>
      <c r="K808" s="4" t="str">
        <f t="array" ref="K808">XLOOKUP(G808,'Dados Funil'!A:A,'Dados Funil'!O:O,"")</f>
        <v/>
      </c>
      <c r="L808" s="4"/>
      <c r="M808" s="4"/>
      <c r="N808" s="7" t="str">
        <f t="shared" si="3"/>
        <v/>
      </c>
      <c r="O808" s="4" t="str">
        <f t="shared" si="11"/>
        <v/>
      </c>
      <c r="P808" s="4" t="str">
        <f t="array" ref="P808">XLOOKUP(L808,'Dados Funil'!A:A,'Dados Funil'!AM:AM,"")</f>
        <v/>
      </c>
      <c r="Q808" s="4" t="str">
        <f t="array" ref="Q808">XLOOKUP(L808,'Dados Funil'!A:A,'Dados Funil'!AN:AN,"")</f>
        <v/>
      </c>
      <c r="T808" s="7" t="str">
        <f t="shared" si="4"/>
        <v/>
      </c>
      <c r="U808" s="4" t="str">
        <f t="shared" si="12"/>
        <v/>
      </c>
      <c r="V808" s="4" t="str">
        <f t="array" ref="V808">XLOOKUP(R808,'Dados Funil'!$A:$A,'Dados Funil'!$K:$K,"")</f>
        <v/>
      </c>
      <c r="W808" s="4" t="str">
        <f t="array" ref="W808">XLOOKUP(R808,'Dados Funil'!$A:$A,'Dados Funil'!$L:$L,"")</f>
        <v/>
      </c>
      <c r="X808" s="4"/>
      <c r="Y808" s="4"/>
      <c r="Z808" s="7" t="str">
        <f t="shared" si="5"/>
        <v/>
      </c>
      <c r="AA808" s="4" t="str">
        <f t="shared" si="13"/>
        <v/>
      </c>
      <c r="AB808" s="4" t="str">
        <f t="array" ref="AB808">XLOOKUP(X808,'Dados Funil'!A:A,'Dados Funil'!O:O,"")</f>
        <v/>
      </c>
      <c r="AE808" s="7" t="str">
        <f t="shared" si="6"/>
        <v/>
      </c>
      <c r="AG808" s="4" t="str">
        <f t="array" ref="AG808">XLOOKUP(AC808,'Dados Funil'!A:A,'Dados Funil'!AM:AM,"")</f>
        <v/>
      </c>
      <c r="AH808" s="4" t="str">
        <f t="array" ref="AH808">XLOOKUP(AC808,'Dados Funil'!A:A,'Dados Funil'!AN:AN,"")</f>
        <v/>
      </c>
    </row>
    <row r="809">
      <c r="A809" s="4"/>
      <c r="B809" s="4"/>
      <c r="C809" s="7" t="str">
        <f t="shared" si="1"/>
        <v/>
      </c>
      <c r="D809" s="4" t="str">
        <f t="shared" si="9"/>
        <v/>
      </c>
      <c r="E809" s="4" t="str">
        <f t="array" ref="E809">XLOOKUP(A809,'Dados Funil'!$A:$A,'Dados Funil'!$K:$K,"")</f>
        <v/>
      </c>
      <c r="F809" s="4" t="str">
        <f t="array" ref="F809">XLOOKUP(A809,'Dados Funil'!$A:$A,'Dados Funil'!$L:$L,"")</f>
        <v/>
      </c>
      <c r="G809" s="4"/>
      <c r="H809" s="4"/>
      <c r="I809" s="7" t="str">
        <f t="shared" si="2"/>
        <v/>
      </c>
      <c r="J809" s="4" t="str">
        <f t="shared" si="10"/>
        <v/>
      </c>
      <c r="K809" s="4" t="str">
        <f t="array" ref="K809">XLOOKUP(G809,'Dados Funil'!A:A,'Dados Funil'!O:O,"")</f>
        <v/>
      </c>
      <c r="L809" s="4"/>
      <c r="M809" s="4"/>
      <c r="N809" s="7" t="str">
        <f t="shared" si="3"/>
        <v/>
      </c>
      <c r="O809" s="4" t="str">
        <f t="shared" si="11"/>
        <v/>
      </c>
      <c r="P809" s="4" t="str">
        <f t="array" ref="P809">XLOOKUP(L809,'Dados Funil'!A:A,'Dados Funil'!AM:AM,"")</f>
        <v/>
      </c>
      <c r="Q809" s="4" t="str">
        <f t="array" ref="Q809">XLOOKUP(L809,'Dados Funil'!A:A,'Dados Funil'!AN:AN,"")</f>
        <v/>
      </c>
      <c r="T809" s="7" t="str">
        <f t="shared" si="4"/>
        <v/>
      </c>
      <c r="U809" s="4" t="str">
        <f t="shared" si="12"/>
        <v/>
      </c>
      <c r="V809" s="4" t="str">
        <f t="array" ref="V809">XLOOKUP(R809,'Dados Funil'!$A:$A,'Dados Funil'!$K:$K,"")</f>
        <v/>
      </c>
      <c r="W809" s="4" t="str">
        <f t="array" ref="W809">XLOOKUP(R809,'Dados Funil'!$A:$A,'Dados Funil'!$L:$L,"")</f>
        <v/>
      </c>
      <c r="X809" s="4"/>
      <c r="Y809" s="4"/>
      <c r="Z809" s="7" t="str">
        <f t="shared" si="5"/>
        <v/>
      </c>
      <c r="AA809" s="4" t="str">
        <f t="shared" si="13"/>
        <v/>
      </c>
      <c r="AB809" s="4" t="str">
        <f t="array" ref="AB809">XLOOKUP(X809,'Dados Funil'!A:A,'Dados Funil'!O:O,"")</f>
        <v/>
      </c>
      <c r="AE809" s="7" t="str">
        <f t="shared" si="6"/>
        <v/>
      </c>
      <c r="AG809" s="4" t="str">
        <f t="array" ref="AG809">XLOOKUP(AC809,'Dados Funil'!A:A,'Dados Funil'!AM:AM,"")</f>
        <v/>
      </c>
      <c r="AH809" s="4" t="str">
        <f t="array" ref="AH809">XLOOKUP(AC809,'Dados Funil'!A:A,'Dados Funil'!AN:AN,"")</f>
        <v/>
      </c>
    </row>
    <row r="810">
      <c r="A810" s="4"/>
      <c r="B810" s="4"/>
      <c r="C810" s="7" t="str">
        <f t="shared" si="1"/>
        <v/>
      </c>
      <c r="D810" s="4" t="str">
        <f t="shared" si="9"/>
        <v/>
      </c>
      <c r="E810" s="4" t="str">
        <f t="array" ref="E810">XLOOKUP(A810,'Dados Funil'!$A:$A,'Dados Funil'!$K:$K,"")</f>
        <v/>
      </c>
      <c r="F810" s="4" t="str">
        <f t="array" ref="F810">XLOOKUP(A810,'Dados Funil'!$A:$A,'Dados Funil'!$L:$L,"")</f>
        <v/>
      </c>
      <c r="G810" s="4"/>
      <c r="H810" s="4"/>
      <c r="I810" s="7" t="str">
        <f t="shared" si="2"/>
        <v/>
      </c>
      <c r="J810" s="4" t="str">
        <f t="shared" si="10"/>
        <v/>
      </c>
      <c r="K810" s="4" t="str">
        <f t="array" ref="K810">XLOOKUP(G810,'Dados Funil'!A:A,'Dados Funil'!O:O,"")</f>
        <v/>
      </c>
      <c r="L810" s="4"/>
      <c r="M810" s="4"/>
      <c r="N810" s="7" t="str">
        <f t="shared" si="3"/>
        <v/>
      </c>
      <c r="O810" s="4" t="str">
        <f t="shared" si="11"/>
        <v/>
      </c>
      <c r="P810" s="4" t="str">
        <f t="array" ref="P810">XLOOKUP(L810,'Dados Funil'!A:A,'Dados Funil'!AM:AM,"")</f>
        <v/>
      </c>
      <c r="Q810" s="4" t="str">
        <f t="array" ref="Q810">XLOOKUP(L810,'Dados Funil'!A:A,'Dados Funil'!AN:AN,"")</f>
        <v/>
      </c>
      <c r="T810" s="7" t="str">
        <f t="shared" si="4"/>
        <v/>
      </c>
      <c r="U810" s="4" t="str">
        <f t="shared" si="12"/>
        <v/>
      </c>
      <c r="V810" s="4" t="str">
        <f t="array" ref="V810">XLOOKUP(R810,'Dados Funil'!$A:$A,'Dados Funil'!$K:$K,"")</f>
        <v/>
      </c>
      <c r="W810" s="4" t="str">
        <f t="array" ref="W810">XLOOKUP(R810,'Dados Funil'!$A:$A,'Dados Funil'!$L:$L,"")</f>
        <v/>
      </c>
      <c r="X810" s="4"/>
      <c r="Y810" s="4"/>
      <c r="Z810" s="7" t="str">
        <f t="shared" si="5"/>
        <v/>
      </c>
      <c r="AA810" s="4" t="str">
        <f t="shared" si="13"/>
        <v/>
      </c>
      <c r="AB810" s="4" t="str">
        <f t="array" ref="AB810">XLOOKUP(X810,'Dados Funil'!A:A,'Dados Funil'!O:O,"")</f>
        <v/>
      </c>
      <c r="AE810" s="7" t="str">
        <f t="shared" si="6"/>
        <v/>
      </c>
      <c r="AG810" s="4" t="str">
        <f t="array" ref="AG810">XLOOKUP(AC810,'Dados Funil'!A:A,'Dados Funil'!AM:AM,"")</f>
        <v/>
      </c>
      <c r="AH810" s="4" t="str">
        <f t="array" ref="AH810">XLOOKUP(AC810,'Dados Funil'!A:A,'Dados Funil'!AN:AN,"")</f>
        <v/>
      </c>
    </row>
    <row r="811">
      <c r="A811" s="4"/>
      <c r="B811" s="4"/>
      <c r="C811" s="7" t="str">
        <f t="shared" si="1"/>
        <v/>
      </c>
      <c r="D811" s="4" t="str">
        <f t="shared" si="9"/>
        <v/>
      </c>
      <c r="E811" s="4" t="str">
        <f t="array" ref="E811">XLOOKUP(A811,'Dados Funil'!$A:$A,'Dados Funil'!$K:$K,"")</f>
        <v/>
      </c>
      <c r="F811" s="4" t="str">
        <f t="array" ref="F811">XLOOKUP(A811,'Dados Funil'!$A:$A,'Dados Funil'!$L:$L,"")</f>
        <v/>
      </c>
      <c r="G811" s="4"/>
      <c r="H811" s="4"/>
      <c r="I811" s="7" t="str">
        <f t="shared" si="2"/>
        <v/>
      </c>
      <c r="J811" s="4" t="str">
        <f t="shared" si="10"/>
        <v/>
      </c>
      <c r="K811" s="4" t="str">
        <f t="array" ref="K811">XLOOKUP(G811,'Dados Funil'!A:A,'Dados Funil'!O:O,"")</f>
        <v/>
      </c>
      <c r="L811" s="4"/>
      <c r="M811" s="4"/>
      <c r="N811" s="7" t="str">
        <f t="shared" si="3"/>
        <v/>
      </c>
      <c r="O811" s="4" t="str">
        <f t="shared" si="11"/>
        <v/>
      </c>
      <c r="P811" s="4" t="str">
        <f t="array" ref="P811">XLOOKUP(L811,'Dados Funil'!A:A,'Dados Funil'!AM:AM,"")</f>
        <v/>
      </c>
      <c r="Q811" s="4" t="str">
        <f t="array" ref="Q811">XLOOKUP(L811,'Dados Funil'!A:A,'Dados Funil'!AN:AN,"")</f>
        <v/>
      </c>
      <c r="T811" s="7" t="str">
        <f t="shared" si="4"/>
        <v/>
      </c>
      <c r="U811" s="4" t="str">
        <f t="shared" si="12"/>
        <v/>
      </c>
      <c r="V811" s="4" t="str">
        <f t="array" ref="V811">XLOOKUP(R811,'Dados Funil'!$A:$A,'Dados Funil'!$K:$K,"")</f>
        <v/>
      </c>
      <c r="W811" s="4" t="str">
        <f t="array" ref="W811">XLOOKUP(R811,'Dados Funil'!$A:$A,'Dados Funil'!$L:$L,"")</f>
        <v/>
      </c>
      <c r="X811" s="4"/>
      <c r="Y811" s="4"/>
      <c r="Z811" s="7" t="str">
        <f t="shared" si="5"/>
        <v/>
      </c>
      <c r="AA811" s="4" t="str">
        <f t="shared" si="13"/>
        <v/>
      </c>
      <c r="AB811" s="4" t="str">
        <f t="array" ref="AB811">XLOOKUP(X811,'Dados Funil'!A:A,'Dados Funil'!O:O,"")</f>
        <v/>
      </c>
      <c r="AE811" s="7" t="str">
        <f t="shared" si="6"/>
        <v/>
      </c>
      <c r="AG811" s="4" t="str">
        <f t="array" ref="AG811">XLOOKUP(AC811,'Dados Funil'!A:A,'Dados Funil'!AM:AM,"")</f>
        <v/>
      </c>
      <c r="AH811" s="4" t="str">
        <f t="array" ref="AH811">XLOOKUP(AC811,'Dados Funil'!A:A,'Dados Funil'!AN:AN,"")</f>
        <v/>
      </c>
    </row>
    <row r="812">
      <c r="A812" s="4"/>
      <c r="B812" s="4"/>
      <c r="C812" s="7" t="str">
        <f t="shared" si="1"/>
        <v/>
      </c>
      <c r="D812" s="4" t="str">
        <f t="shared" si="9"/>
        <v/>
      </c>
      <c r="E812" s="4" t="str">
        <f t="array" ref="E812">XLOOKUP(A812,'Dados Funil'!$A:$A,'Dados Funil'!$K:$K,"")</f>
        <v/>
      </c>
      <c r="F812" s="4" t="str">
        <f t="array" ref="F812">XLOOKUP(A812,'Dados Funil'!$A:$A,'Dados Funil'!$L:$L,"")</f>
        <v/>
      </c>
      <c r="G812" s="4"/>
      <c r="H812" s="4"/>
      <c r="I812" s="7" t="str">
        <f t="shared" si="2"/>
        <v/>
      </c>
      <c r="J812" s="4" t="str">
        <f t="shared" si="10"/>
        <v/>
      </c>
      <c r="K812" s="4" t="str">
        <f t="array" ref="K812">XLOOKUP(G812,'Dados Funil'!A:A,'Dados Funil'!O:O,"")</f>
        <v/>
      </c>
      <c r="L812" s="4"/>
      <c r="M812" s="4"/>
      <c r="N812" s="7" t="str">
        <f t="shared" si="3"/>
        <v/>
      </c>
      <c r="O812" s="4" t="str">
        <f t="shared" si="11"/>
        <v/>
      </c>
      <c r="P812" s="4" t="str">
        <f t="array" ref="P812">XLOOKUP(L812,'Dados Funil'!A:A,'Dados Funil'!AM:AM,"")</f>
        <v/>
      </c>
      <c r="Q812" s="4" t="str">
        <f t="array" ref="Q812">XLOOKUP(L812,'Dados Funil'!A:A,'Dados Funil'!AN:AN,"")</f>
        <v/>
      </c>
      <c r="T812" s="7" t="str">
        <f t="shared" si="4"/>
        <v/>
      </c>
      <c r="U812" s="4" t="str">
        <f t="shared" si="12"/>
        <v/>
      </c>
      <c r="V812" s="4" t="str">
        <f t="array" ref="V812">XLOOKUP(R812,'Dados Funil'!$A:$A,'Dados Funil'!$K:$K,"")</f>
        <v/>
      </c>
      <c r="W812" s="4" t="str">
        <f t="array" ref="W812">XLOOKUP(R812,'Dados Funil'!$A:$A,'Dados Funil'!$L:$L,"")</f>
        <v/>
      </c>
      <c r="X812" s="4"/>
      <c r="Y812" s="4"/>
      <c r="Z812" s="7" t="str">
        <f t="shared" si="5"/>
        <v/>
      </c>
      <c r="AA812" s="4" t="str">
        <f t="shared" si="13"/>
        <v/>
      </c>
      <c r="AB812" s="4" t="str">
        <f t="array" ref="AB812">XLOOKUP(X812,'Dados Funil'!A:A,'Dados Funil'!O:O,"")</f>
        <v/>
      </c>
      <c r="AE812" s="7" t="str">
        <f t="shared" si="6"/>
        <v/>
      </c>
      <c r="AG812" s="4" t="str">
        <f t="array" ref="AG812">XLOOKUP(AC812,'Dados Funil'!A:A,'Dados Funil'!AM:AM,"")</f>
        <v/>
      </c>
      <c r="AH812" s="4" t="str">
        <f t="array" ref="AH812">XLOOKUP(AC812,'Dados Funil'!A:A,'Dados Funil'!AN:AN,"")</f>
        <v/>
      </c>
    </row>
    <row r="813">
      <c r="A813" s="4"/>
      <c r="B813" s="4"/>
      <c r="C813" s="7" t="str">
        <f t="shared" si="1"/>
        <v/>
      </c>
      <c r="D813" s="4" t="str">
        <f t="shared" si="9"/>
        <v/>
      </c>
      <c r="E813" s="4" t="str">
        <f t="array" ref="E813">XLOOKUP(A813,'Dados Funil'!$A:$A,'Dados Funil'!$K:$K,"")</f>
        <v/>
      </c>
      <c r="F813" s="4" t="str">
        <f t="array" ref="F813">XLOOKUP(A813,'Dados Funil'!$A:$A,'Dados Funil'!$L:$L,"")</f>
        <v/>
      </c>
      <c r="G813" s="4"/>
      <c r="H813" s="4"/>
      <c r="I813" s="7" t="str">
        <f t="shared" si="2"/>
        <v/>
      </c>
      <c r="J813" s="4" t="str">
        <f t="shared" si="10"/>
        <v/>
      </c>
      <c r="K813" s="4" t="str">
        <f t="array" ref="K813">XLOOKUP(G813,'Dados Funil'!A:A,'Dados Funil'!O:O,"")</f>
        <v/>
      </c>
      <c r="L813" s="4"/>
      <c r="M813" s="4"/>
      <c r="N813" s="7" t="str">
        <f t="shared" si="3"/>
        <v/>
      </c>
      <c r="O813" s="4" t="str">
        <f t="shared" si="11"/>
        <v/>
      </c>
      <c r="P813" s="4" t="str">
        <f t="array" ref="P813">XLOOKUP(L813,'Dados Funil'!A:A,'Dados Funil'!AM:AM,"")</f>
        <v/>
      </c>
      <c r="Q813" s="4" t="str">
        <f t="array" ref="Q813">XLOOKUP(L813,'Dados Funil'!A:A,'Dados Funil'!AN:AN,"")</f>
        <v/>
      </c>
      <c r="T813" s="7" t="str">
        <f t="shared" si="4"/>
        <v/>
      </c>
      <c r="U813" s="4" t="str">
        <f t="shared" si="12"/>
        <v/>
      </c>
      <c r="V813" s="4" t="str">
        <f t="array" ref="V813">XLOOKUP(R813,'Dados Funil'!$A:$A,'Dados Funil'!$K:$K,"")</f>
        <v/>
      </c>
      <c r="W813" s="4" t="str">
        <f t="array" ref="W813">XLOOKUP(R813,'Dados Funil'!$A:$A,'Dados Funil'!$L:$L,"")</f>
        <v/>
      </c>
      <c r="X813" s="4"/>
      <c r="Y813" s="4"/>
      <c r="Z813" s="7" t="str">
        <f t="shared" si="5"/>
        <v/>
      </c>
      <c r="AA813" s="4" t="str">
        <f t="shared" si="13"/>
        <v/>
      </c>
      <c r="AB813" s="4" t="str">
        <f t="array" ref="AB813">XLOOKUP(X813,'Dados Funil'!A:A,'Dados Funil'!O:O,"")</f>
        <v/>
      </c>
      <c r="AE813" s="7" t="str">
        <f t="shared" si="6"/>
        <v/>
      </c>
      <c r="AG813" s="4" t="str">
        <f t="array" ref="AG813">XLOOKUP(AC813,'Dados Funil'!A:A,'Dados Funil'!AM:AM,"")</f>
        <v/>
      </c>
      <c r="AH813" s="4" t="str">
        <f t="array" ref="AH813">XLOOKUP(AC813,'Dados Funil'!A:A,'Dados Funil'!AN:AN,"")</f>
        <v/>
      </c>
    </row>
    <row r="814">
      <c r="A814" s="4"/>
      <c r="B814" s="4"/>
      <c r="C814" s="7" t="str">
        <f t="shared" si="1"/>
        <v/>
      </c>
      <c r="D814" s="4" t="str">
        <f t="shared" si="9"/>
        <v/>
      </c>
      <c r="E814" s="4" t="str">
        <f t="array" ref="E814">XLOOKUP(A814,'Dados Funil'!$A:$A,'Dados Funil'!$K:$K,"")</f>
        <v/>
      </c>
      <c r="F814" s="4" t="str">
        <f t="array" ref="F814">XLOOKUP(A814,'Dados Funil'!$A:$A,'Dados Funil'!$L:$L,"")</f>
        <v/>
      </c>
      <c r="G814" s="4"/>
      <c r="H814" s="4"/>
      <c r="I814" s="7" t="str">
        <f t="shared" si="2"/>
        <v/>
      </c>
      <c r="J814" s="4" t="str">
        <f t="shared" si="10"/>
        <v/>
      </c>
      <c r="K814" s="4" t="str">
        <f t="array" ref="K814">XLOOKUP(G814,'Dados Funil'!A:A,'Dados Funil'!O:O,"")</f>
        <v/>
      </c>
      <c r="L814" s="4"/>
      <c r="M814" s="4"/>
      <c r="N814" s="7" t="str">
        <f t="shared" si="3"/>
        <v/>
      </c>
      <c r="O814" s="4" t="str">
        <f t="shared" si="11"/>
        <v/>
      </c>
      <c r="P814" s="4" t="str">
        <f t="array" ref="P814">XLOOKUP(L814,'Dados Funil'!A:A,'Dados Funil'!AM:AM,"")</f>
        <v/>
      </c>
      <c r="Q814" s="4" t="str">
        <f t="array" ref="Q814">XLOOKUP(L814,'Dados Funil'!A:A,'Dados Funil'!AN:AN,"")</f>
        <v/>
      </c>
      <c r="T814" s="7" t="str">
        <f t="shared" si="4"/>
        <v/>
      </c>
      <c r="U814" s="4" t="str">
        <f t="shared" si="12"/>
        <v/>
      </c>
      <c r="V814" s="4" t="str">
        <f t="array" ref="V814">XLOOKUP(R814,'Dados Funil'!$A:$A,'Dados Funil'!$K:$K,"")</f>
        <v/>
      </c>
      <c r="W814" s="4" t="str">
        <f t="array" ref="W814">XLOOKUP(R814,'Dados Funil'!$A:$A,'Dados Funil'!$L:$L,"")</f>
        <v/>
      </c>
      <c r="X814" s="4"/>
      <c r="Y814" s="4"/>
      <c r="Z814" s="7" t="str">
        <f t="shared" si="5"/>
        <v/>
      </c>
      <c r="AA814" s="4" t="str">
        <f t="shared" si="13"/>
        <v/>
      </c>
      <c r="AB814" s="4" t="str">
        <f t="array" ref="AB814">XLOOKUP(X814,'Dados Funil'!A:A,'Dados Funil'!O:O,"")</f>
        <v/>
      </c>
      <c r="AE814" s="7" t="str">
        <f t="shared" si="6"/>
        <v/>
      </c>
      <c r="AG814" s="4" t="str">
        <f t="array" ref="AG814">XLOOKUP(AC814,'Dados Funil'!A:A,'Dados Funil'!AM:AM,"")</f>
        <v/>
      </c>
      <c r="AH814" s="4" t="str">
        <f t="array" ref="AH814">XLOOKUP(AC814,'Dados Funil'!A:A,'Dados Funil'!AN:AN,"")</f>
        <v/>
      </c>
    </row>
    <row r="815">
      <c r="A815" s="4"/>
      <c r="B815" s="4"/>
      <c r="C815" s="7" t="str">
        <f t="shared" si="1"/>
        <v/>
      </c>
      <c r="D815" s="4" t="str">
        <f t="shared" si="9"/>
        <v/>
      </c>
      <c r="E815" s="4" t="str">
        <f t="array" ref="E815">XLOOKUP(A815,'Dados Funil'!$A:$A,'Dados Funil'!$K:$K,"")</f>
        <v/>
      </c>
      <c r="F815" s="4" t="str">
        <f t="array" ref="F815">XLOOKUP(A815,'Dados Funil'!$A:$A,'Dados Funil'!$L:$L,"")</f>
        <v/>
      </c>
      <c r="G815" s="4"/>
      <c r="H815" s="4"/>
      <c r="I815" s="7" t="str">
        <f t="shared" si="2"/>
        <v/>
      </c>
      <c r="J815" s="4" t="str">
        <f t="shared" si="10"/>
        <v/>
      </c>
      <c r="K815" s="4" t="str">
        <f t="array" ref="K815">XLOOKUP(G815,'Dados Funil'!A:A,'Dados Funil'!O:O,"")</f>
        <v/>
      </c>
      <c r="L815" s="4"/>
      <c r="M815" s="4"/>
      <c r="N815" s="7" t="str">
        <f t="shared" si="3"/>
        <v/>
      </c>
      <c r="O815" s="4" t="str">
        <f t="shared" si="11"/>
        <v/>
      </c>
      <c r="P815" s="4" t="str">
        <f t="array" ref="P815">XLOOKUP(L815,'Dados Funil'!A:A,'Dados Funil'!AM:AM,"")</f>
        <v/>
      </c>
      <c r="Q815" s="4" t="str">
        <f t="array" ref="Q815">XLOOKUP(L815,'Dados Funil'!A:A,'Dados Funil'!AN:AN,"")</f>
        <v/>
      </c>
      <c r="T815" s="7" t="str">
        <f t="shared" si="4"/>
        <v/>
      </c>
      <c r="U815" s="4" t="str">
        <f t="shared" si="12"/>
        <v/>
      </c>
      <c r="V815" s="4" t="str">
        <f t="array" ref="V815">XLOOKUP(R815,'Dados Funil'!$A:$A,'Dados Funil'!$K:$K,"")</f>
        <v/>
      </c>
      <c r="W815" s="4" t="str">
        <f t="array" ref="W815">XLOOKUP(R815,'Dados Funil'!$A:$A,'Dados Funil'!$L:$L,"")</f>
        <v/>
      </c>
      <c r="X815" s="4"/>
      <c r="Y815" s="4"/>
      <c r="Z815" s="7" t="str">
        <f t="shared" si="5"/>
        <v/>
      </c>
      <c r="AA815" s="4" t="str">
        <f t="shared" si="13"/>
        <v/>
      </c>
      <c r="AB815" s="4" t="str">
        <f t="array" ref="AB815">XLOOKUP(X815,'Dados Funil'!A:A,'Dados Funil'!O:O,"")</f>
        <v/>
      </c>
      <c r="AE815" s="7" t="str">
        <f t="shared" si="6"/>
        <v/>
      </c>
      <c r="AG815" s="4" t="str">
        <f t="array" ref="AG815">XLOOKUP(AC815,'Dados Funil'!A:A,'Dados Funil'!AM:AM,"")</f>
        <v/>
      </c>
      <c r="AH815" s="4" t="str">
        <f t="array" ref="AH815">XLOOKUP(AC815,'Dados Funil'!A:A,'Dados Funil'!AN:AN,"")</f>
        <v/>
      </c>
    </row>
    <row r="816">
      <c r="A816" s="4"/>
      <c r="B816" s="4"/>
      <c r="C816" s="7" t="str">
        <f t="shared" si="1"/>
        <v/>
      </c>
      <c r="D816" s="4" t="str">
        <f t="shared" si="9"/>
        <v/>
      </c>
      <c r="E816" s="4" t="str">
        <f t="array" ref="E816">XLOOKUP(A816,'Dados Funil'!$A:$A,'Dados Funil'!$K:$K,"")</f>
        <v/>
      </c>
      <c r="F816" s="4" t="str">
        <f t="array" ref="F816">XLOOKUP(A816,'Dados Funil'!$A:$A,'Dados Funil'!$L:$L,"")</f>
        <v/>
      </c>
      <c r="G816" s="4"/>
      <c r="H816" s="4"/>
      <c r="I816" s="7" t="str">
        <f t="shared" si="2"/>
        <v/>
      </c>
      <c r="J816" s="4" t="str">
        <f t="shared" si="10"/>
        <v/>
      </c>
      <c r="K816" s="4" t="str">
        <f t="array" ref="K816">XLOOKUP(G816,'Dados Funil'!A:A,'Dados Funil'!O:O,"")</f>
        <v/>
      </c>
      <c r="L816" s="4"/>
      <c r="M816" s="4"/>
      <c r="N816" s="7" t="str">
        <f t="shared" si="3"/>
        <v/>
      </c>
      <c r="O816" s="4" t="str">
        <f t="shared" si="11"/>
        <v/>
      </c>
      <c r="P816" s="4" t="str">
        <f t="array" ref="P816">XLOOKUP(L816,'Dados Funil'!A:A,'Dados Funil'!AM:AM,"")</f>
        <v/>
      </c>
      <c r="Q816" s="4" t="str">
        <f t="array" ref="Q816">XLOOKUP(L816,'Dados Funil'!A:A,'Dados Funil'!AN:AN,"")</f>
        <v/>
      </c>
      <c r="T816" s="7" t="str">
        <f t="shared" si="4"/>
        <v/>
      </c>
      <c r="U816" s="4" t="str">
        <f t="shared" si="12"/>
        <v/>
      </c>
      <c r="V816" s="4" t="str">
        <f t="array" ref="V816">XLOOKUP(R816,'Dados Funil'!$A:$A,'Dados Funil'!$K:$K,"")</f>
        <v/>
      </c>
      <c r="W816" s="4" t="str">
        <f t="array" ref="W816">XLOOKUP(R816,'Dados Funil'!$A:$A,'Dados Funil'!$L:$L,"")</f>
        <v/>
      </c>
      <c r="X816" s="4"/>
      <c r="Y816" s="4"/>
      <c r="Z816" s="7" t="str">
        <f t="shared" si="5"/>
        <v/>
      </c>
      <c r="AA816" s="4" t="str">
        <f t="shared" si="13"/>
        <v/>
      </c>
      <c r="AB816" s="4" t="str">
        <f t="array" ref="AB816">XLOOKUP(X816,'Dados Funil'!A:A,'Dados Funil'!O:O,"")</f>
        <v/>
      </c>
      <c r="AE816" s="7" t="str">
        <f t="shared" si="6"/>
        <v/>
      </c>
      <c r="AG816" s="4" t="str">
        <f t="array" ref="AG816">XLOOKUP(AC816,'Dados Funil'!A:A,'Dados Funil'!AM:AM,"")</f>
        <v/>
      </c>
      <c r="AH816" s="4" t="str">
        <f t="array" ref="AH816">XLOOKUP(AC816,'Dados Funil'!A:A,'Dados Funil'!AN:AN,"")</f>
        <v/>
      </c>
    </row>
    <row r="817">
      <c r="A817" s="4"/>
      <c r="B817" s="4"/>
      <c r="C817" s="7" t="str">
        <f t="shared" si="1"/>
        <v/>
      </c>
      <c r="D817" s="4" t="str">
        <f t="shared" si="9"/>
        <v/>
      </c>
      <c r="E817" s="4" t="str">
        <f t="array" ref="E817">XLOOKUP(A817,'Dados Funil'!$A:$A,'Dados Funil'!$K:$K,"")</f>
        <v/>
      </c>
      <c r="F817" s="4" t="str">
        <f t="array" ref="F817">XLOOKUP(A817,'Dados Funil'!$A:$A,'Dados Funil'!$L:$L,"")</f>
        <v/>
      </c>
      <c r="G817" s="4"/>
      <c r="H817" s="4"/>
      <c r="I817" s="7" t="str">
        <f t="shared" si="2"/>
        <v/>
      </c>
      <c r="J817" s="4" t="str">
        <f t="shared" si="10"/>
        <v/>
      </c>
      <c r="K817" s="4" t="str">
        <f t="array" ref="K817">XLOOKUP(G817,'Dados Funil'!A:A,'Dados Funil'!O:O,"")</f>
        <v/>
      </c>
      <c r="L817" s="4"/>
      <c r="M817" s="4"/>
      <c r="N817" s="7" t="str">
        <f t="shared" si="3"/>
        <v/>
      </c>
      <c r="O817" s="4" t="str">
        <f t="shared" si="11"/>
        <v/>
      </c>
      <c r="P817" s="4" t="str">
        <f t="array" ref="P817">XLOOKUP(L817,'Dados Funil'!A:A,'Dados Funil'!AM:AM,"")</f>
        <v/>
      </c>
      <c r="Q817" s="4" t="str">
        <f t="array" ref="Q817">XLOOKUP(L817,'Dados Funil'!A:A,'Dados Funil'!AN:AN,"")</f>
        <v/>
      </c>
      <c r="T817" s="7" t="str">
        <f t="shared" si="4"/>
        <v/>
      </c>
      <c r="U817" s="4" t="str">
        <f t="shared" si="12"/>
        <v/>
      </c>
      <c r="V817" s="4" t="str">
        <f t="array" ref="V817">XLOOKUP(R817,'Dados Funil'!$A:$A,'Dados Funil'!$K:$K,"")</f>
        <v/>
      </c>
      <c r="W817" s="4" t="str">
        <f t="array" ref="W817">XLOOKUP(R817,'Dados Funil'!$A:$A,'Dados Funil'!$L:$L,"")</f>
        <v/>
      </c>
      <c r="X817" s="4"/>
      <c r="Y817" s="4"/>
      <c r="Z817" s="7" t="str">
        <f t="shared" si="5"/>
        <v/>
      </c>
      <c r="AA817" s="4" t="str">
        <f t="shared" si="13"/>
        <v/>
      </c>
      <c r="AB817" s="4" t="str">
        <f t="array" ref="AB817">XLOOKUP(X817,'Dados Funil'!A:A,'Dados Funil'!O:O,"")</f>
        <v/>
      </c>
      <c r="AE817" s="7" t="str">
        <f t="shared" si="6"/>
        <v/>
      </c>
      <c r="AG817" s="4" t="str">
        <f t="array" ref="AG817">XLOOKUP(AC817,'Dados Funil'!A:A,'Dados Funil'!AM:AM,"")</f>
        <v/>
      </c>
      <c r="AH817" s="4" t="str">
        <f t="array" ref="AH817">XLOOKUP(AC817,'Dados Funil'!A:A,'Dados Funil'!AN:AN,"")</f>
        <v/>
      </c>
    </row>
    <row r="818">
      <c r="A818" s="4"/>
      <c r="B818" s="4"/>
      <c r="C818" s="7" t="str">
        <f t="shared" si="1"/>
        <v/>
      </c>
      <c r="D818" s="4" t="str">
        <f t="shared" si="9"/>
        <v/>
      </c>
      <c r="E818" s="4" t="str">
        <f t="array" ref="E818">XLOOKUP(A818,'Dados Funil'!$A:$A,'Dados Funil'!$K:$K,"")</f>
        <v/>
      </c>
      <c r="F818" s="4" t="str">
        <f t="array" ref="F818">XLOOKUP(A818,'Dados Funil'!$A:$A,'Dados Funil'!$L:$L,"")</f>
        <v/>
      </c>
      <c r="G818" s="4"/>
      <c r="H818" s="4"/>
      <c r="I818" s="7" t="str">
        <f t="shared" si="2"/>
        <v/>
      </c>
      <c r="J818" s="4" t="str">
        <f t="shared" si="10"/>
        <v/>
      </c>
      <c r="K818" s="4" t="str">
        <f t="array" ref="K818">XLOOKUP(G818,'Dados Funil'!A:A,'Dados Funil'!O:O,"")</f>
        <v/>
      </c>
      <c r="L818" s="4"/>
      <c r="M818" s="4"/>
      <c r="N818" s="7" t="str">
        <f t="shared" si="3"/>
        <v/>
      </c>
      <c r="O818" s="4" t="str">
        <f t="shared" si="11"/>
        <v/>
      </c>
      <c r="P818" s="4" t="str">
        <f t="array" ref="P818">XLOOKUP(L818,'Dados Funil'!A:A,'Dados Funil'!AM:AM,"")</f>
        <v/>
      </c>
      <c r="Q818" s="4" t="str">
        <f t="array" ref="Q818">XLOOKUP(L818,'Dados Funil'!A:A,'Dados Funil'!AN:AN,"")</f>
        <v/>
      </c>
      <c r="T818" s="7" t="str">
        <f t="shared" si="4"/>
        <v/>
      </c>
      <c r="U818" s="4" t="str">
        <f t="shared" si="12"/>
        <v/>
      </c>
      <c r="V818" s="4" t="str">
        <f t="array" ref="V818">XLOOKUP(R818,'Dados Funil'!$A:$A,'Dados Funil'!$K:$K,"")</f>
        <v/>
      </c>
      <c r="W818" s="4" t="str">
        <f t="array" ref="W818">XLOOKUP(R818,'Dados Funil'!$A:$A,'Dados Funil'!$L:$L,"")</f>
        <v/>
      </c>
      <c r="X818" s="4"/>
      <c r="Y818" s="4"/>
      <c r="Z818" s="7" t="str">
        <f t="shared" si="5"/>
        <v/>
      </c>
      <c r="AA818" s="4" t="str">
        <f t="shared" si="13"/>
        <v/>
      </c>
      <c r="AB818" s="4" t="str">
        <f t="array" ref="AB818">XLOOKUP(X818,'Dados Funil'!A:A,'Dados Funil'!O:O,"")</f>
        <v/>
      </c>
      <c r="AE818" s="7" t="str">
        <f t="shared" si="6"/>
        <v/>
      </c>
      <c r="AG818" s="4" t="str">
        <f t="array" ref="AG818">XLOOKUP(AC818,'Dados Funil'!A:A,'Dados Funil'!AM:AM,"")</f>
        <v/>
      </c>
      <c r="AH818" s="4" t="str">
        <f t="array" ref="AH818">XLOOKUP(AC818,'Dados Funil'!A:A,'Dados Funil'!AN:AN,"")</f>
        <v/>
      </c>
    </row>
    <row r="819">
      <c r="A819" s="4"/>
      <c r="B819" s="4"/>
      <c r="C819" s="7" t="str">
        <f t="shared" si="1"/>
        <v/>
      </c>
      <c r="D819" s="4" t="str">
        <f t="shared" si="9"/>
        <v/>
      </c>
      <c r="E819" s="4" t="str">
        <f t="array" ref="E819">XLOOKUP(A819,'Dados Funil'!$A:$A,'Dados Funil'!$K:$K,"")</f>
        <v/>
      </c>
      <c r="F819" s="4" t="str">
        <f t="array" ref="F819">XLOOKUP(A819,'Dados Funil'!$A:$A,'Dados Funil'!$L:$L,"")</f>
        <v/>
      </c>
      <c r="G819" s="4"/>
      <c r="H819" s="4"/>
      <c r="I819" s="7" t="str">
        <f t="shared" si="2"/>
        <v/>
      </c>
      <c r="J819" s="4" t="str">
        <f t="shared" si="10"/>
        <v/>
      </c>
      <c r="K819" s="4" t="str">
        <f t="array" ref="K819">XLOOKUP(G819,'Dados Funil'!A:A,'Dados Funil'!O:O,"")</f>
        <v/>
      </c>
      <c r="L819" s="4"/>
      <c r="M819" s="4"/>
      <c r="N819" s="7" t="str">
        <f t="shared" si="3"/>
        <v/>
      </c>
      <c r="O819" s="4" t="str">
        <f t="shared" si="11"/>
        <v/>
      </c>
      <c r="P819" s="4" t="str">
        <f t="array" ref="P819">XLOOKUP(L819,'Dados Funil'!A:A,'Dados Funil'!AM:AM,"")</f>
        <v/>
      </c>
      <c r="Q819" s="4" t="str">
        <f t="array" ref="Q819">XLOOKUP(L819,'Dados Funil'!A:A,'Dados Funil'!AN:AN,"")</f>
        <v/>
      </c>
      <c r="T819" s="7" t="str">
        <f t="shared" si="4"/>
        <v/>
      </c>
      <c r="U819" s="4" t="str">
        <f t="shared" si="12"/>
        <v/>
      </c>
      <c r="V819" s="4" t="str">
        <f t="array" ref="V819">XLOOKUP(R819,'Dados Funil'!$A:$A,'Dados Funil'!$K:$K,"")</f>
        <v/>
      </c>
      <c r="W819" s="4" t="str">
        <f t="array" ref="W819">XLOOKUP(R819,'Dados Funil'!$A:$A,'Dados Funil'!$L:$L,"")</f>
        <v/>
      </c>
      <c r="X819" s="4"/>
      <c r="Y819" s="4"/>
      <c r="Z819" s="7" t="str">
        <f t="shared" si="5"/>
        <v/>
      </c>
      <c r="AA819" s="4" t="str">
        <f t="shared" si="13"/>
        <v/>
      </c>
      <c r="AB819" s="4" t="str">
        <f t="array" ref="AB819">XLOOKUP(X819,'Dados Funil'!A:A,'Dados Funil'!O:O,"")</f>
        <v/>
      </c>
      <c r="AE819" s="7" t="str">
        <f t="shared" si="6"/>
        <v/>
      </c>
      <c r="AG819" s="4" t="str">
        <f t="array" ref="AG819">XLOOKUP(AC819,'Dados Funil'!A:A,'Dados Funil'!AM:AM,"")</f>
        <v/>
      </c>
      <c r="AH819" s="4" t="str">
        <f t="array" ref="AH819">XLOOKUP(AC819,'Dados Funil'!A:A,'Dados Funil'!AN:AN,"")</f>
        <v/>
      </c>
    </row>
    <row r="820">
      <c r="A820" s="4"/>
      <c r="B820" s="4"/>
      <c r="C820" s="7" t="str">
        <f t="shared" si="1"/>
        <v/>
      </c>
      <c r="D820" s="4" t="str">
        <f t="shared" si="9"/>
        <v/>
      </c>
      <c r="E820" s="4" t="str">
        <f t="array" ref="E820">XLOOKUP(A820,'Dados Funil'!$A:$A,'Dados Funil'!$K:$K,"")</f>
        <v/>
      </c>
      <c r="F820" s="4" t="str">
        <f t="array" ref="F820">XLOOKUP(A820,'Dados Funil'!$A:$A,'Dados Funil'!$L:$L,"")</f>
        <v/>
      </c>
      <c r="G820" s="4"/>
      <c r="H820" s="4"/>
      <c r="I820" s="7" t="str">
        <f t="shared" si="2"/>
        <v/>
      </c>
      <c r="J820" s="4" t="str">
        <f t="shared" si="10"/>
        <v/>
      </c>
      <c r="K820" s="4" t="str">
        <f t="array" ref="K820">XLOOKUP(G820,'Dados Funil'!A:A,'Dados Funil'!O:O,"")</f>
        <v/>
      </c>
      <c r="L820" s="4"/>
      <c r="M820" s="4"/>
      <c r="N820" s="7" t="str">
        <f t="shared" si="3"/>
        <v/>
      </c>
      <c r="O820" s="4" t="str">
        <f t="shared" si="11"/>
        <v/>
      </c>
      <c r="P820" s="4" t="str">
        <f t="array" ref="P820">XLOOKUP(L820,'Dados Funil'!A:A,'Dados Funil'!AM:AM,"")</f>
        <v/>
      </c>
      <c r="Q820" s="4" t="str">
        <f t="array" ref="Q820">XLOOKUP(L820,'Dados Funil'!A:A,'Dados Funil'!AN:AN,"")</f>
        <v/>
      </c>
      <c r="T820" s="7" t="str">
        <f t="shared" si="4"/>
        <v/>
      </c>
      <c r="U820" s="4" t="str">
        <f t="shared" si="12"/>
        <v/>
      </c>
      <c r="V820" s="4" t="str">
        <f t="array" ref="V820">XLOOKUP(R820,'Dados Funil'!$A:$A,'Dados Funil'!$K:$K,"")</f>
        <v/>
      </c>
      <c r="W820" s="4" t="str">
        <f t="array" ref="W820">XLOOKUP(R820,'Dados Funil'!$A:$A,'Dados Funil'!$L:$L,"")</f>
        <v/>
      </c>
      <c r="X820" s="4"/>
      <c r="Y820" s="4"/>
      <c r="Z820" s="7" t="str">
        <f t="shared" si="5"/>
        <v/>
      </c>
      <c r="AA820" s="4" t="str">
        <f t="shared" si="13"/>
        <v/>
      </c>
      <c r="AB820" s="4" t="str">
        <f t="array" ref="AB820">XLOOKUP(X820,'Dados Funil'!A:A,'Dados Funil'!O:O,"")</f>
        <v/>
      </c>
      <c r="AE820" s="7" t="str">
        <f t="shared" si="6"/>
        <v/>
      </c>
      <c r="AG820" s="4" t="str">
        <f t="array" ref="AG820">XLOOKUP(AC820,'Dados Funil'!A:A,'Dados Funil'!AM:AM,"")</f>
        <v/>
      </c>
      <c r="AH820" s="4" t="str">
        <f t="array" ref="AH820">XLOOKUP(AC820,'Dados Funil'!A:A,'Dados Funil'!AN:AN,"")</f>
        <v/>
      </c>
    </row>
    <row r="821">
      <c r="A821" s="4"/>
      <c r="B821" s="4"/>
      <c r="C821" s="7" t="str">
        <f t="shared" si="1"/>
        <v/>
      </c>
      <c r="D821" s="4" t="str">
        <f t="shared" si="9"/>
        <v/>
      </c>
      <c r="E821" s="4" t="str">
        <f t="array" ref="E821">XLOOKUP(A821,'Dados Funil'!$A:$A,'Dados Funil'!$K:$K,"")</f>
        <v/>
      </c>
      <c r="F821" s="4" t="str">
        <f t="array" ref="F821">XLOOKUP(A821,'Dados Funil'!$A:$A,'Dados Funil'!$L:$L,"")</f>
        <v/>
      </c>
      <c r="G821" s="4"/>
      <c r="H821" s="4"/>
      <c r="I821" s="7" t="str">
        <f t="shared" si="2"/>
        <v/>
      </c>
      <c r="J821" s="4" t="str">
        <f t="shared" si="10"/>
        <v/>
      </c>
      <c r="K821" s="4" t="str">
        <f t="array" ref="K821">XLOOKUP(G821,'Dados Funil'!A:A,'Dados Funil'!O:O,"")</f>
        <v/>
      </c>
      <c r="L821" s="4"/>
      <c r="M821" s="4"/>
      <c r="N821" s="7" t="str">
        <f t="shared" si="3"/>
        <v/>
      </c>
      <c r="O821" s="4" t="str">
        <f t="shared" si="11"/>
        <v/>
      </c>
      <c r="P821" s="4" t="str">
        <f t="array" ref="P821">XLOOKUP(L821,'Dados Funil'!A:A,'Dados Funil'!AM:AM,"")</f>
        <v/>
      </c>
      <c r="Q821" s="4" t="str">
        <f t="array" ref="Q821">XLOOKUP(L821,'Dados Funil'!A:A,'Dados Funil'!AN:AN,"")</f>
        <v/>
      </c>
      <c r="T821" s="7" t="str">
        <f t="shared" si="4"/>
        <v/>
      </c>
      <c r="U821" s="4" t="str">
        <f t="shared" si="12"/>
        <v/>
      </c>
      <c r="V821" s="4" t="str">
        <f t="array" ref="V821">XLOOKUP(R821,'Dados Funil'!$A:$A,'Dados Funil'!$K:$K,"")</f>
        <v/>
      </c>
      <c r="W821" s="4" t="str">
        <f t="array" ref="W821">XLOOKUP(R821,'Dados Funil'!$A:$A,'Dados Funil'!$L:$L,"")</f>
        <v/>
      </c>
      <c r="X821" s="4"/>
      <c r="Y821" s="4"/>
      <c r="Z821" s="7" t="str">
        <f t="shared" si="5"/>
        <v/>
      </c>
      <c r="AA821" s="4" t="str">
        <f t="shared" si="13"/>
        <v/>
      </c>
      <c r="AB821" s="4" t="str">
        <f t="array" ref="AB821">XLOOKUP(X821,'Dados Funil'!A:A,'Dados Funil'!O:O,"")</f>
        <v/>
      </c>
      <c r="AE821" s="7" t="str">
        <f t="shared" si="6"/>
        <v/>
      </c>
      <c r="AG821" s="4" t="str">
        <f t="array" ref="AG821">XLOOKUP(AC821,'Dados Funil'!A:A,'Dados Funil'!AM:AM,"")</f>
        <v/>
      </c>
      <c r="AH821" s="4" t="str">
        <f t="array" ref="AH821">XLOOKUP(AC821,'Dados Funil'!A:A,'Dados Funil'!AN:AN,"")</f>
        <v/>
      </c>
    </row>
    <row r="822">
      <c r="A822" s="4"/>
      <c r="B822" s="4"/>
      <c r="C822" s="7" t="str">
        <f t="shared" si="1"/>
        <v/>
      </c>
      <c r="D822" s="4" t="str">
        <f t="shared" si="9"/>
        <v/>
      </c>
      <c r="E822" s="4" t="str">
        <f t="array" ref="E822">XLOOKUP(A822,'Dados Funil'!$A:$A,'Dados Funil'!$K:$K,"")</f>
        <v/>
      </c>
      <c r="F822" s="4" t="str">
        <f t="array" ref="F822">XLOOKUP(A822,'Dados Funil'!$A:$A,'Dados Funil'!$L:$L,"")</f>
        <v/>
      </c>
      <c r="G822" s="4"/>
      <c r="H822" s="4"/>
      <c r="I822" s="7" t="str">
        <f t="shared" si="2"/>
        <v/>
      </c>
      <c r="J822" s="4" t="str">
        <f t="shared" si="10"/>
        <v/>
      </c>
      <c r="K822" s="4" t="str">
        <f t="array" ref="K822">XLOOKUP(G822,'Dados Funil'!A:A,'Dados Funil'!O:O,"")</f>
        <v/>
      </c>
      <c r="L822" s="4"/>
      <c r="M822" s="4"/>
      <c r="N822" s="7" t="str">
        <f t="shared" si="3"/>
        <v/>
      </c>
      <c r="O822" s="4" t="str">
        <f t="shared" si="11"/>
        <v/>
      </c>
      <c r="P822" s="4" t="str">
        <f t="array" ref="P822">XLOOKUP(L822,'Dados Funil'!A:A,'Dados Funil'!AM:AM,"")</f>
        <v/>
      </c>
      <c r="Q822" s="4" t="str">
        <f t="array" ref="Q822">XLOOKUP(L822,'Dados Funil'!A:A,'Dados Funil'!AN:AN,"")</f>
        <v/>
      </c>
      <c r="T822" s="7" t="str">
        <f t="shared" si="4"/>
        <v/>
      </c>
      <c r="U822" s="4" t="str">
        <f t="shared" si="12"/>
        <v/>
      </c>
      <c r="V822" s="4" t="str">
        <f t="array" ref="V822">XLOOKUP(R822,'Dados Funil'!$A:$A,'Dados Funil'!$K:$K,"")</f>
        <v/>
      </c>
      <c r="W822" s="4" t="str">
        <f t="array" ref="W822">XLOOKUP(R822,'Dados Funil'!$A:$A,'Dados Funil'!$L:$L,"")</f>
        <v/>
      </c>
      <c r="X822" s="4"/>
      <c r="Y822" s="4"/>
      <c r="Z822" s="7" t="str">
        <f t="shared" si="5"/>
        <v/>
      </c>
      <c r="AA822" s="4" t="str">
        <f t="shared" si="13"/>
        <v/>
      </c>
      <c r="AB822" s="4" t="str">
        <f t="array" ref="AB822">XLOOKUP(X822,'Dados Funil'!A:A,'Dados Funil'!O:O,"")</f>
        <v/>
      </c>
      <c r="AE822" s="7" t="str">
        <f t="shared" si="6"/>
        <v/>
      </c>
      <c r="AG822" s="4" t="str">
        <f t="array" ref="AG822">XLOOKUP(AC822,'Dados Funil'!A:A,'Dados Funil'!AM:AM,"")</f>
        <v/>
      </c>
      <c r="AH822" s="4" t="str">
        <f t="array" ref="AH822">XLOOKUP(AC822,'Dados Funil'!A:A,'Dados Funil'!AN:AN,"")</f>
        <v/>
      </c>
    </row>
    <row r="823">
      <c r="A823" s="4"/>
      <c r="B823" s="4"/>
      <c r="C823" s="7" t="str">
        <f t="shared" si="1"/>
        <v/>
      </c>
      <c r="D823" s="4" t="str">
        <f t="shared" si="9"/>
        <v/>
      </c>
      <c r="E823" s="4" t="str">
        <f t="array" ref="E823">XLOOKUP(A823,'Dados Funil'!$A:$A,'Dados Funil'!$K:$K,"")</f>
        <v/>
      </c>
      <c r="F823" s="4" t="str">
        <f t="array" ref="F823">XLOOKUP(A823,'Dados Funil'!$A:$A,'Dados Funil'!$L:$L,"")</f>
        <v/>
      </c>
      <c r="G823" s="4"/>
      <c r="H823" s="4"/>
      <c r="I823" s="7" t="str">
        <f t="shared" si="2"/>
        <v/>
      </c>
      <c r="J823" s="4" t="str">
        <f t="shared" si="10"/>
        <v/>
      </c>
      <c r="K823" s="4" t="str">
        <f t="array" ref="K823">XLOOKUP(G823,'Dados Funil'!A:A,'Dados Funil'!O:O,"")</f>
        <v/>
      </c>
      <c r="L823" s="4"/>
      <c r="M823" s="4"/>
      <c r="N823" s="7" t="str">
        <f t="shared" si="3"/>
        <v/>
      </c>
      <c r="O823" s="4" t="str">
        <f t="shared" si="11"/>
        <v/>
      </c>
      <c r="P823" s="4" t="str">
        <f t="array" ref="P823">XLOOKUP(L823,'Dados Funil'!A:A,'Dados Funil'!AM:AM,"")</f>
        <v/>
      </c>
      <c r="Q823" s="4" t="str">
        <f t="array" ref="Q823">XLOOKUP(L823,'Dados Funil'!A:A,'Dados Funil'!AN:AN,"")</f>
        <v/>
      </c>
      <c r="T823" s="7" t="str">
        <f t="shared" si="4"/>
        <v/>
      </c>
      <c r="U823" s="4" t="str">
        <f t="shared" si="12"/>
        <v/>
      </c>
      <c r="V823" s="4" t="str">
        <f t="array" ref="V823">XLOOKUP(R823,'Dados Funil'!$A:$A,'Dados Funil'!$K:$K,"")</f>
        <v/>
      </c>
      <c r="W823" s="4" t="str">
        <f t="array" ref="W823">XLOOKUP(R823,'Dados Funil'!$A:$A,'Dados Funil'!$L:$L,"")</f>
        <v/>
      </c>
      <c r="X823" s="4"/>
      <c r="Y823" s="4"/>
      <c r="Z823" s="7" t="str">
        <f t="shared" si="5"/>
        <v/>
      </c>
      <c r="AA823" s="4" t="str">
        <f t="shared" si="13"/>
        <v/>
      </c>
      <c r="AB823" s="4" t="str">
        <f t="array" ref="AB823">XLOOKUP(X823,'Dados Funil'!A:A,'Dados Funil'!O:O,"")</f>
        <v/>
      </c>
      <c r="AE823" s="7" t="str">
        <f t="shared" si="6"/>
        <v/>
      </c>
      <c r="AG823" s="4" t="str">
        <f t="array" ref="AG823">XLOOKUP(AC823,'Dados Funil'!A:A,'Dados Funil'!AM:AM,"")</f>
        <v/>
      </c>
      <c r="AH823" s="4" t="str">
        <f t="array" ref="AH823">XLOOKUP(AC823,'Dados Funil'!A:A,'Dados Funil'!AN:AN,"")</f>
        <v/>
      </c>
    </row>
    <row r="824">
      <c r="A824" s="4"/>
      <c r="B824" s="4"/>
      <c r="C824" s="7" t="str">
        <f t="shared" si="1"/>
        <v/>
      </c>
      <c r="D824" s="4" t="str">
        <f t="shared" si="9"/>
        <v/>
      </c>
      <c r="E824" s="4" t="str">
        <f t="array" ref="E824">XLOOKUP(A824,'Dados Funil'!$A:$A,'Dados Funil'!$K:$K,"")</f>
        <v/>
      </c>
      <c r="F824" s="4" t="str">
        <f t="array" ref="F824">XLOOKUP(A824,'Dados Funil'!$A:$A,'Dados Funil'!$L:$L,"")</f>
        <v/>
      </c>
      <c r="G824" s="4"/>
      <c r="H824" s="4"/>
      <c r="I824" s="7" t="str">
        <f t="shared" si="2"/>
        <v/>
      </c>
      <c r="J824" s="4" t="str">
        <f t="shared" si="10"/>
        <v/>
      </c>
      <c r="K824" s="4" t="str">
        <f t="array" ref="K824">XLOOKUP(G824,'Dados Funil'!A:A,'Dados Funil'!O:O,"")</f>
        <v/>
      </c>
      <c r="L824" s="4"/>
      <c r="M824" s="4"/>
      <c r="N824" s="7" t="str">
        <f t="shared" si="3"/>
        <v/>
      </c>
      <c r="O824" s="4" t="str">
        <f t="shared" si="11"/>
        <v/>
      </c>
      <c r="P824" s="4" t="str">
        <f t="array" ref="P824">XLOOKUP(L824,'Dados Funil'!A:A,'Dados Funil'!AM:AM,"")</f>
        <v/>
      </c>
      <c r="Q824" s="4" t="str">
        <f t="array" ref="Q824">XLOOKUP(L824,'Dados Funil'!A:A,'Dados Funil'!AN:AN,"")</f>
        <v/>
      </c>
      <c r="T824" s="7" t="str">
        <f t="shared" si="4"/>
        <v/>
      </c>
      <c r="U824" s="4" t="str">
        <f t="shared" si="12"/>
        <v/>
      </c>
      <c r="V824" s="4" t="str">
        <f t="array" ref="V824">XLOOKUP(R824,'Dados Funil'!$A:$A,'Dados Funil'!$K:$K,"")</f>
        <v/>
      </c>
      <c r="W824" s="4" t="str">
        <f t="array" ref="W824">XLOOKUP(R824,'Dados Funil'!$A:$A,'Dados Funil'!$L:$L,"")</f>
        <v/>
      </c>
      <c r="X824" s="4"/>
      <c r="Y824" s="4"/>
      <c r="Z824" s="7" t="str">
        <f t="shared" si="5"/>
        <v/>
      </c>
      <c r="AA824" s="4" t="str">
        <f t="shared" si="13"/>
        <v/>
      </c>
      <c r="AB824" s="4" t="str">
        <f t="array" ref="AB824">XLOOKUP(X824,'Dados Funil'!A:A,'Dados Funil'!O:O,"")</f>
        <v/>
      </c>
      <c r="AE824" s="7" t="str">
        <f t="shared" si="6"/>
        <v/>
      </c>
      <c r="AG824" s="4" t="str">
        <f t="array" ref="AG824">XLOOKUP(AC824,'Dados Funil'!A:A,'Dados Funil'!AM:AM,"")</f>
        <v/>
      </c>
      <c r="AH824" s="4" t="str">
        <f t="array" ref="AH824">XLOOKUP(AC824,'Dados Funil'!A:A,'Dados Funil'!AN:AN,"")</f>
        <v/>
      </c>
    </row>
    <row r="825">
      <c r="A825" s="4"/>
      <c r="B825" s="4"/>
      <c r="C825" s="7" t="str">
        <f t="shared" si="1"/>
        <v/>
      </c>
      <c r="D825" s="4" t="str">
        <f t="shared" si="9"/>
        <v/>
      </c>
      <c r="E825" s="4" t="str">
        <f t="array" ref="E825">XLOOKUP(A825,'Dados Funil'!$A:$A,'Dados Funil'!$K:$K,"")</f>
        <v/>
      </c>
      <c r="F825" s="4" t="str">
        <f t="array" ref="F825">XLOOKUP(A825,'Dados Funil'!$A:$A,'Dados Funil'!$L:$L,"")</f>
        <v/>
      </c>
      <c r="G825" s="4"/>
      <c r="H825" s="4"/>
      <c r="I825" s="7" t="str">
        <f t="shared" si="2"/>
        <v/>
      </c>
      <c r="J825" s="4" t="str">
        <f t="shared" si="10"/>
        <v/>
      </c>
      <c r="K825" s="4" t="str">
        <f t="array" ref="K825">XLOOKUP(G825,'Dados Funil'!A:A,'Dados Funil'!O:O,"")</f>
        <v/>
      </c>
      <c r="L825" s="4"/>
      <c r="M825" s="4"/>
      <c r="N825" s="7" t="str">
        <f t="shared" si="3"/>
        <v/>
      </c>
      <c r="O825" s="4" t="str">
        <f t="shared" si="11"/>
        <v/>
      </c>
      <c r="P825" s="4" t="str">
        <f t="array" ref="P825">XLOOKUP(L825,'Dados Funil'!A:A,'Dados Funil'!AM:AM,"")</f>
        <v/>
      </c>
      <c r="Q825" s="4" t="str">
        <f t="array" ref="Q825">XLOOKUP(L825,'Dados Funil'!A:A,'Dados Funil'!AN:AN,"")</f>
        <v/>
      </c>
      <c r="T825" s="7" t="str">
        <f t="shared" si="4"/>
        <v/>
      </c>
      <c r="U825" s="4" t="str">
        <f t="shared" si="12"/>
        <v/>
      </c>
      <c r="V825" s="4" t="str">
        <f t="array" ref="V825">XLOOKUP(R825,'Dados Funil'!$A:$A,'Dados Funil'!$K:$K,"")</f>
        <v/>
      </c>
      <c r="W825" s="4" t="str">
        <f t="array" ref="W825">XLOOKUP(R825,'Dados Funil'!$A:$A,'Dados Funil'!$L:$L,"")</f>
        <v/>
      </c>
      <c r="X825" s="4"/>
      <c r="Y825" s="4"/>
      <c r="Z825" s="7" t="str">
        <f t="shared" si="5"/>
        <v/>
      </c>
      <c r="AA825" s="4" t="str">
        <f t="shared" si="13"/>
        <v/>
      </c>
      <c r="AB825" s="4" t="str">
        <f t="array" ref="AB825">XLOOKUP(X825,'Dados Funil'!A:A,'Dados Funil'!O:O,"")</f>
        <v/>
      </c>
      <c r="AE825" s="7" t="str">
        <f t="shared" si="6"/>
        <v/>
      </c>
      <c r="AG825" s="4" t="str">
        <f t="array" ref="AG825">XLOOKUP(AC825,'Dados Funil'!A:A,'Dados Funil'!AM:AM,"")</f>
        <v/>
      </c>
      <c r="AH825" s="4" t="str">
        <f t="array" ref="AH825">XLOOKUP(AC825,'Dados Funil'!A:A,'Dados Funil'!AN:AN,"")</f>
        <v/>
      </c>
    </row>
    <row r="826">
      <c r="A826" s="4"/>
      <c r="B826" s="4"/>
      <c r="C826" s="7" t="str">
        <f t="shared" si="1"/>
        <v/>
      </c>
      <c r="D826" s="4" t="str">
        <f t="shared" si="9"/>
        <v/>
      </c>
      <c r="E826" s="4" t="str">
        <f t="array" ref="E826">XLOOKUP(A826,'Dados Funil'!$A:$A,'Dados Funil'!$K:$K,"")</f>
        <v/>
      </c>
      <c r="F826" s="4" t="str">
        <f t="array" ref="F826">XLOOKUP(A826,'Dados Funil'!$A:$A,'Dados Funil'!$L:$L,"")</f>
        <v/>
      </c>
      <c r="G826" s="4"/>
      <c r="H826" s="4"/>
      <c r="I826" s="7" t="str">
        <f t="shared" si="2"/>
        <v/>
      </c>
      <c r="J826" s="4" t="str">
        <f t="shared" si="10"/>
        <v/>
      </c>
      <c r="K826" s="4" t="str">
        <f t="array" ref="K826">XLOOKUP(G826,'Dados Funil'!A:A,'Dados Funil'!O:O,"")</f>
        <v/>
      </c>
      <c r="L826" s="4"/>
      <c r="M826" s="4"/>
      <c r="N826" s="7" t="str">
        <f t="shared" si="3"/>
        <v/>
      </c>
      <c r="O826" s="4" t="str">
        <f t="shared" si="11"/>
        <v/>
      </c>
      <c r="P826" s="4" t="str">
        <f t="array" ref="P826">XLOOKUP(L826,'Dados Funil'!A:A,'Dados Funil'!AM:AM,"")</f>
        <v/>
      </c>
      <c r="Q826" s="4" t="str">
        <f t="array" ref="Q826">XLOOKUP(L826,'Dados Funil'!A:A,'Dados Funil'!AN:AN,"")</f>
        <v/>
      </c>
      <c r="T826" s="7" t="str">
        <f t="shared" si="4"/>
        <v/>
      </c>
      <c r="U826" s="4" t="str">
        <f t="shared" si="12"/>
        <v/>
      </c>
      <c r="V826" s="4" t="str">
        <f t="array" ref="V826">XLOOKUP(R826,'Dados Funil'!$A:$A,'Dados Funil'!$K:$K,"")</f>
        <v/>
      </c>
      <c r="W826" s="4" t="str">
        <f t="array" ref="W826">XLOOKUP(R826,'Dados Funil'!$A:$A,'Dados Funil'!$L:$L,"")</f>
        <v/>
      </c>
      <c r="X826" s="4"/>
      <c r="Y826" s="4"/>
      <c r="Z826" s="7" t="str">
        <f t="shared" si="5"/>
        <v/>
      </c>
      <c r="AA826" s="4" t="str">
        <f t="shared" si="13"/>
        <v/>
      </c>
      <c r="AB826" s="4" t="str">
        <f t="array" ref="AB826">XLOOKUP(X826,'Dados Funil'!A:A,'Dados Funil'!O:O,"")</f>
        <v/>
      </c>
      <c r="AE826" s="7" t="str">
        <f t="shared" si="6"/>
        <v/>
      </c>
      <c r="AG826" s="4" t="str">
        <f t="array" ref="AG826">XLOOKUP(AC826,'Dados Funil'!A:A,'Dados Funil'!AM:AM,"")</f>
        <v/>
      </c>
      <c r="AH826" s="4" t="str">
        <f t="array" ref="AH826">XLOOKUP(AC826,'Dados Funil'!A:A,'Dados Funil'!AN:AN,"")</f>
        <v/>
      </c>
    </row>
    <row r="827">
      <c r="A827" s="4"/>
      <c r="B827" s="4"/>
      <c r="C827" s="7" t="str">
        <f t="shared" si="1"/>
        <v/>
      </c>
      <c r="D827" s="4" t="str">
        <f t="shared" si="9"/>
        <v/>
      </c>
      <c r="E827" s="4" t="str">
        <f t="array" ref="E827">XLOOKUP(A827,'Dados Funil'!$A:$A,'Dados Funil'!$K:$K,"")</f>
        <v/>
      </c>
      <c r="F827" s="4" t="str">
        <f t="array" ref="F827">XLOOKUP(A827,'Dados Funil'!$A:$A,'Dados Funil'!$L:$L,"")</f>
        <v/>
      </c>
      <c r="G827" s="4"/>
      <c r="H827" s="4"/>
      <c r="I827" s="7" t="str">
        <f t="shared" si="2"/>
        <v/>
      </c>
      <c r="J827" s="4" t="str">
        <f t="shared" si="10"/>
        <v/>
      </c>
      <c r="K827" s="4" t="str">
        <f t="array" ref="K827">XLOOKUP(G827,'Dados Funil'!A:A,'Dados Funil'!O:O,"")</f>
        <v/>
      </c>
      <c r="L827" s="4"/>
      <c r="M827" s="4"/>
      <c r="N827" s="7" t="str">
        <f t="shared" si="3"/>
        <v/>
      </c>
      <c r="O827" s="4" t="str">
        <f t="shared" si="11"/>
        <v/>
      </c>
      <c r="P827" s="4" t="str">
        <f t="array" ref="P827">XLOOKUP(L827,'Dados Funil'!A:A,'Dados Funil'!AM:AM,"")</f>
        <v/>
      </c>
      <c r="Q827" s="4" t="str">
        <f t="array" ref="Q827">XLOOKUP(L827,'Dados Funil'!A:A,'Dados Funil'!AN:AN,"")</f>
        <v/>
      </c>
      <c r="T827" s="7" t="str">
        <f t="shared" si="4"/>
        <v/>
      </c>
      <c r="U827" s="4" t="str">
        <f t="shared" si="12"/>
        <v/>
      </c>
      <c r="V827" s="4" t="str">
        <f t="array" ref="V827">XLOOKUP(R827,'Dados Funil'!$A:$A,'Dados Funil'!$K:$K,"")</f>
        <v/>
      </c>
      <c r="W827" s="4" t="str">
        <f t="array" ref="W827">XLOOKUP(R827,'Dados Funil'!$A:$A,'Dados Funil'!$L:$L,"")</f>
        <v/>
      </c>
      <c r="X827" s="4"/>
      <c r="Y827" s="4"/>
      <c r="Z827" s="7" t="str">
        <f t="shared" si="5"/>
        <v/>
      </c>
      <c r="AA827" s="4" t="str">
        <f t="shared" si="13"/>
        <v/>
      </c>
      <c r="AB827" s="4" t="str">
        <f t="array" ref="AB827">XLOOKUP(X827,'Dados Funil'!A:A,'Dados Funil'!O:O,"")</f>
        <v/>
      </c>
      <c r="AE827" s="7" t="str">
        <f t="shared" si="6"/>
        <v/>
      </c>
      <c r="AG827" s="4" t="str">
        <f t="array" ref="AG827">XLOOKUP(AC827,'Dados Funil'!A:A,'Dados Funil'!AM:AM,"")</f>
        <v/>
      </c>
      <c r="AH827" s="4" t="str">
        <f t="array" ref="AH827">XLOOKUP(AC827,'Dados Funil'!A:A,'Dados Funil'!AN:AN,"")</f>
        <v/>
      </c>
    </row>
    <row r="828">
      <c r="A828" s="4"/>
      <c r="B828" s="4"/>
      <c r="C828" s="7" t="str">
        <f t="shared" si="1"/>
        <v/>
      </c>
      <c r="D828" s="4" t="str">
        <f t="shared" si="9"/>
        <v/>
      </c>
      <c r="E828" s="4" t="str">
        <f t="array" ref="E828">XLOOKUP(A828,'Dados Funil'!$A:$A,'Dados Funil'!$K:$K,"")</f>
        <v/>
      </c>
      <c r="F828" s="4" t="str">
        <f t="array" ref="F828">XLOOKUP(A828,'Dados Funil'!$A:$A,'Dados Funil'!$L:$L,"")</f>
        <v/>
      </c>
      <c r="G828" s="4"/>
      <c r="H828" s="4"/>
      <c r="I828" s="7" t="str">
        <f t="shared" si="2"/>
        <v/>
      </c>
      <c r="J828" s="4" t="str">
        <f t="shared" si="10"/>
        <v/>
      </c>
      <c r="K828" s="4" t="str">
        <f t="array" ref="K828">XLOOKUP(G828,'Dados Funil'!A:A,'Dados Funil'!O:O,"")</f>
        <v/>
      </c>
      <c r="L828" s="4"/>
      <c r="M828" s="4"/>
      <c r="N828" s="7" t="str">
        <f t="shared" si="3"/>
        <v/>
      </c>
      <c r="O828" s="4" t="str">
        <f t="shared" si="11"/>
        <v/>
      </c>
      <c r="P828" s="4" t="str">
        <f t="array" ref="P828">XLOOKUP(L828,'Dados Funil'!A:A,'Dados Funil'!AM:AM,"")</f>
        <v/>
      </c>
      <c r="Q828" s="4" t="str">
        <f t="array" ref="Q828">XLOOKUP(L828,'Dados Funil'!A:A,'Dados Funil'!AN:AN,"")</f>
        <v/>
      </c>
      <c r="T828" s="7" t="str">
        <f t="shared" si="4"/>
        <v/>
      </c>
      <c r="U828" s="4" t="str">
        <f t="shared" si="12"/>
        <v/>
      </c>
      <c r="V828" s="4" t="str">
        <f t="array" ref="V828">XLOOKUP(R828,'Dados Funil'!$A:$A,'Dados Funil'!$K:$K,"")</f>
        <v/>
      </c>
      <c r="W828" s="4" t="str">
        <f t="array" ref="W828">XLOOKUP(R828,'Dados Funil'!$A:$A,'Dados Funil'!$L:$L,"")</f>
        <v/>
      </c>
      <c r="X828" s="4"/>
      <c r="Y828" s="4"/>
      <c r="Z828" s="7" t="str">
        <f t="shared" si="5"/>
        <v/>
      </c>
      <c r="AA828" s="4" t="str">
        <f t="shared" si="13"/>
        <v/>
      </c>
      <c r="AB828" s="4" t="str">
        <f t="array" ref="AB828">XLOOKUP(X828,'Dados Funil'!A:A,'Dados Funil'!O:O,"")</f>
        <v/>
      </c>
      <c r="AE828" s="7" t="str">
        <f t="shared" si="6"/>
        <v/>
      </c>
      <c r="AG828" s="4" t="str">
        <f t="array" ref="AG828">XLOOKUP(AC828,'Dados Funil'!A:A,'Dados Funil'!AM:AM,"")</f>
        <v/>
      </c>
      <c r="AH828" s="4" t="str">
        <f t="array" ref="AH828">XLOOKUP(AC828,'Dados Funil'!A:A,'Dados Funil'!AN:AN,"")</f>
        <v/>
      </c>
    </row>
    <row r="829">
      <c r="A829" s="4"/>
      <c r="B829" s="4"/>
      <c r="C829" s="7" t="str">
        <f t="shared" si="1"/>
        <v/>
      </c>
      <c r="D829" s="4" t="str">
        <f t="shared" si="9"/>
        <v/>
      </c>
      <c r="E829" s="4" t="str">
        <f t="array" ref="E829">XLOOKUP(A829,'Dados Funil'!$A:$A,'Dados Funil'!$K:$K,"")</f>
        <v/>
      </c>
      <c r="F829" s="4" t="str">
        <f t="array" ref="F829">XLOOKUP(A829,'Dados Funil'!$A:$A,'Dados Funil'!$L:$L,"")</f>
        <v/>
      </c>
      <c r="G829" s="4"/>
      <c r="H829" s="4"/>
      <c r="I829" s="7" t="str">
        <f t="shared" si="2"/>
        <v/>
      </c>
      <c r="J829" s="4" t="str">
        <f t="shared" si="10"/>
        <v/>
      </c>
      <c r="K829" s="4" t="str">
        <f t="array" ref="K829">XLOOKUP(G829,'Dados Funil'!A:A,'Dados Funil'!O:O,"")</f>
        <v/>
      </c>
      <c r="L829" s="4"/>
      <c r="M829" s="4"/>
      <c r="N829" s="7" t="str">
        <f t="shared" si="3"/>
        <v/>
      </c>
      <c r="O829" s="4" t="str">
        <f t="shared" si="11"/>
        <v/>
      </c>
      <c r="P829" s="4" t="str">
        <f t="array" ref="P829">XLOOKUP(L829,'Dados Funil'!A:A,'Dados Funil'!AM:AM,"")</f>
        <v/>
      </c>
      <c r="Q829" s="4" t="str">
        <f t="array" ref="Q829">XLOOKUP(L829,'Dados Funil'!A:A,'Dados Funil'!AN:AN,"")</f>
        <v/>
      </c>
      <c r="T829" s="7" t="str">
        <f t="shared" si="4"/>
        <v/>
      </c>
      <c r="U829" s="4" t="str">
        <f t="shared" si="12"/>
        <v/>
      </c>
      <c r="V829" s="4" t="str">
        <f t="array" ref="V829">XLOOKUP(R829,'Dados Funil'!$A:$A,'Dados Funil'!$K:$K,"")</f>
        <v/>
      </c>
      <c r="W829" s="4" t="str">
        <f t="array" ref="W829">XLOOKUP(R829,'Dados Funil'!$A:$A,'Dados Funil'!$L:$L,"")</f>
        <v/>
      </c>
      <c r="X829" s="4"/>
      <c r="Y829" s="4"/>
      <c r="Z829" s="7" t="str">
        <f t="shared" si="5"/>
        <v/>
      </c>
      <c r="AA829" s="4" t="str">
        <f t="shared" si="13"/>
        <v/>
      </c>
      <c r="AB829" s="4" t="str">
        <f t="array" ref="AB829">XLOOKUP(X829,'Dados Funil'!A:A,'Dados Funil'!O:O,"")</f>
        <v/>
      </c>
      <c r="AE829" s="7" t="str">
        <f t="shared" si="6"/>
        <v/>
      </c>
      <c r="AG829" s="4" t="str">
        <f t="array" ref="AG829">XLOOKUP(AC829,'Dados Funil'!A:A,'Dados Funil'!AM:AM,"")</f>
        <v/>
      </c>
      <c r="AH829" s="4" t="str">
        <f t="array" ref="AH829">XLOOKUP(AC829,'Dados Funil'!A:A,'Dados Funil'!AN:AN,"")</f>
        <v/>
      </c>
    </row>
    <row r="830">
      <c r="A830" s="4"/>
      <c r="B830" s="4"/>
      <c r="C830" s="7" t="str">
        <f t="shared" si="1"/>
        <v/>
      </c>
      <c r="D830" s="4" t="str">
        <f t="shared" si="9"/>
        <v/>
      </c>
      <c r="E830" s="4" t="str">
        <f t="array" ref="E830">XLOOKUP(A830,'Dados Funil'!$A:$A,'Dados Funil'!$K:$K,"")</f>
        <v/>
      </c>
      <c r="F830" s="4" t="str">
        <f t="array" ref="F830">XLOOKUP(A830,'Dados Funil'!$A:$A,'Dados Funil'!$L:$L,"")</f>
        <v/>
      </c>
      <c r="G830" s="4"/>
      <c r="H830" s="4"/>
      <c r="I830" s="7" t="str">
        <f t="shared" si="2"/>
        <v/>
      </c>
      <c r="J830" s="4" t="str">
        <f t="shared" si="10"/>
        <v/>
      </c>
      <c r="K830" s="4" t="str">
        <f t="array" ref="K830">XLOOKUP(G830,'Dados Funil'!A:A,'Dados Funil'!O:O,"")</f>
        <v/>
      </c>
      <c r="L830" s="4"/>
      <c r="M830" s="4"/>
      <c r="N830" s="7" t="str">
        <f t="shared" si="3"/>
        <v/>
      </c>
      <c r="O830" s="4" t="str">
        <f t="shared" si="11"/>
        <v/>
      </c>
      <c r="P830" s="4" t="str">
        <f t="array" ref="P830">XLOOKUP(L830,'Dados Funil'!A:A,'Dados Funil'!AM:AM,"")</f>
        <v/>
      </c>
      <c r="Q830" s="4" t="str">
        <f t="array" ref="Q830">XLOOKUP(L830,'Dados Funil'!A:A,'Dados Funil'!AN:AN,"")</f>
        <v/>
      </c>
      <c r="T830" s="7" t="str">
        <f t="shared" si="4"/>
        <v/>
      </c>
      <c r="U830" s="4" t="str">
        <f t="shared" si="12"/>
        <v/>
      </c>
      <c r="V830" s="4" t="str">
        <f t="array" ref="V830">XLOOKUP(R830,'Dados Funil'!$A:$A,'Dados Funil'!$K:$K,"")</f>
        <v/>
      </c>
      <c r="W830" s="4" t="str">
        <f t="array" ref="W830">XLOOKUP(R830,'Dados Funil'!$A:$A,'Dados Funil'!$L:$L,"")</f>
        <v/>
      </c>
      <c r="X830" s="4"/>
      <c r="Y830" s="4"/>
      <c r="Z830" s="7" t="str">
        <f t="shared" si="5"/>
        <v/>
      </c>
      <c r="AA830" s="4" t="str">
        <f t="shared" si="13"/>
        <v/>
      </c>
      <c r="AB830" s="4" t="str">
        <f t="array" ref="AB830">XLOOKUP(X830,'Dados Funil'!A:A,'Dados Funil'!O:O,"")</f>
        <v/>
      </c>
      <c r="AE830" s="7" t="str">
        <f t="shared" si="6"/>
        <v/>
      </c>
      <c r="AG830" s="4" t="str">
        <f t="array" ref="AG830">XLOOKUP(AC830,'Dados Funil'!A:A,'Dados Funil'!AM:AM,"")</f>
        <v/>
      </c>
      <c r="AH830" s="4" t="str">
        <f t="array" ref="AH830">XLOOKUP(AC830,'Dados Funil'!A:A,'Dados Funil'!AN:AN,"")</f>
        <v/>
      </c>
    </row>
    <row r="831">
      <c r="A831" s="4"/>
      <c r="B831" s="4"/>
      <c r="C831" s="7" t="str">
        <f t="shared" si="1"/>
        <v/>
      </c>
      <c r="D831" s="4" t="str">
        <f t="shared" si="9"/>
        <v/>
      </c>
      <c r="E831" s="4" t="str">
        <f t="array" ref="E831">XLOOKUP(A831,'Dados Funil'!$A:$A,'Dados Funil'!$K:$K,"")</f>
        <v/>
      </c>
      <c r="F831" s="4" t="str">
        <f t="array" ref="F831">XLOOKUP(A831,'Dados Funil'!$A:$A,'Dados Funil'!$L:$L,"")</f>
        <v/>
      </c>
      <c r="G831" s="4"/>
      <c r="H831" s="4"/>
      <c r="I831" s="7" t="str">
        <f t="shared" si="2"/>
        <v/>
      </c>
      <c r="J831" s="4" t="str">
        <f t="shared" si="10"/>
        <v/>
      </c>
      <c r="K831" s="4" t="str">
        <f t="array" ref="K831">XLOOKUP(G831,'Dados Funil'!A:A,'Dados Funil'!O:O,"")</f>
        <v/>
      </c>
      <c r="L831" s="4"/>
      <c r="M831" s="4"/>
      <c r="N831" s="7" t="str">
        <f t="shared" si="3"/>
        <v/>
      </c>
      <c r="O831" s="4" t="str">
        <f t="shared" si="11"/>
        <v/>
      </c>
      <c r="P831" s="4" t="str">
        <f t="array" ref="P831">XLOOKUP(L831,'Dados Funil'!A:A,'Dados Funil'!AM:AM,"")</f>
        <v/>
      </c>
      <c r="Q831" s="4" t="str">
        <f t="array" ref="Q831">XLOOKUP(L831,'Dados Funil'!A:A,'Dados Funil'!AN:AN,"")</f>
        <v/>
      </c>
      <c r="T831" s="7" t="str">
        <f t="shared" si="4"/>
        <v/>
      </c>
      <c r="U831" s="4" t="str">
        <f t="shared" si="12"/>
        <v/>
      </c>
      <c r="V831" s="4" t="str">
        <f t="array" ref="V831">XLOOKUP(R831,'Dados Funil'!$A:$A,'Dados Funil'!$K:$K,"")</f>
        <v/>
      </c>
      <c r="W831" s="4" t="str">
        <f t="array" ref="W831">XLOOKUP(R831,'Dados Funil'!$A:$A,'Dados Funil'!$L:$L,"")</f>
        <v/>
      </c>
      <c r="X831" s="4"/>
      <c r="Y831" s="4"/>
      <c r="Z831" s="7" t="str">
        <f t="shared" si="5"/>
        <v/>
      </c>
      <c r="AA831" s="4" t="str">
        <f t="shared" si="13"/>
        <v/>
      </c>
      <c r="AB831" s="4" t="str">
        <f t="array" ref="AB831">XLOOKUP(X831,'Dados Funil'!A:A,'Dados Funil'!O:O,"")</f>
        <v/>
      </c>
      <c r="AE831" s="7" t="str">
        <f t="shared" si="6"/>
        <v/>
      </c>
      <c r="AG831" s="4" t="str">
        <f t="array" ref="AG831">XLOOKUP(AC831,'Dados Funil'!A:A,'Dados Funil'!AM:AM,"")</f>
        <v/>
      </c>
      <c r="AH831" s="4" t="str">
        <f t="array" ref="AH831">XLOOKUP(AC831,'Dados Funil'!A:A,'Dados Funil'!AN:AN,"")</f>
        <v/>
      </c>
    </row>
    <row r="832">
      <c r="A832" s="4"/>
      <c r="B832" s="4"/>
      <c r="C832" s="7" t="str">
        <f t="shared" si="1"/>
        <v/>
      </c>
      <c r="D832" s="4" t="str">
        <f t="shared" si="9"/>
        <v/>
      </c>
      <c r="E832" s="4" t="str">
        <f t="array" ref="E832">XLOOKUP(A832,'Dados Funil'!$A:$A,'Dados Funil'!$K:$K,"")</f>
        <v/>
      </c>
      <c r="F832" s="4" t="str">
        <f t="array" ref="F832">XLOOKUP(A832,'Dados Funil'!$A:$A,'Dados Funil'!$L:$L,"")</f>
        <v/>
      </c>
      <c r="G832" s="4"/>
      <c r="H832" s="4"/>
      <c r="I832" s="7" t="str">
        <f t="shared" si="2"/>
        <v/>
      </c>
      <c r="J832" s="4" t="str">
        <f t="shared" si="10"/>
        <v/>
      </c>
      <c r="K832" s="4" t="str">
        <f t="array" ref="K832">XLOOKUP(G832,'Dados Funil'!A:A,'Dados Funil'!O:O,"")</f>
        <v/>
      </c>
      <c r="L832" s="4"/>
      <c r="M832" s="4"/>
      <c r="N832" s="7" t="str">
        <f t="shared" si="3"/>
        <v/>
      </c>
      <c r="O832" s="4" t="str">
        <f t="shared" si="11"/>
        <v/>
      </c>
      <c r="P832" s="4" t="str">
        <f t="array" ref="P832">XLOOKUP(L832,'Dados Funil'!A:A,'Dados Funil'!AM:AM,"")</f>
        <v/>
      </c>
      <c r="Q832" s="4" t="str">
        <f t="array" ref="Q832">XLOOKUP(L832,'Dados Funil'!A:A,'Dados Funil'!AN:AN,"")</f>
        <v/>
      </c>
      <c r="T832" s="7" t="str">
        <f t="shared" si="4"/>
        <v/>
      </c>
      <c r="U832" s="4" t="str">
        <f t="shared" si="12"/>
        <v/>
      </c>
      <c r="V832" s="4" t="str">
        <f t="array" ref="V832">XLOOKUP(R832,'Dados Funil'!$A:$A,'Dados Funil'!$K:$K,"")</f>
        <v/>
      </c>
      <c r="W832" s="4" t="str">
        <f t="array" ref="W832">XLOOKUP(R832,'Dados Funil'!$A:$A,'Dados Funil'!$L:$L,"")</f>
        <v/>
      </c>
      <c r="X832" s="4"/>
      <c r="Y832" s="4"/>
      <c r="Z832" s="7" t="str">
        <f t="shared" si="5"/>
        <v/>
      </c>
      <c r="AA832" s="4" t="str">
        <f t="shared" si="13"/>
        <v/>
      </c>
      <c r="AB832" s="4" t="str">
        <f t="array" ref="AB832">XLOOKUP(X832,'Dados Funil'!A:A,'Dados Funil'!O:O,"")</f>
        <v/>
      </c>
      <c r="AE832" s="7" t="str">
        <f t="shared" si="6"/>
        <v/>
      </c>
      <c r="AG832" s="4" t="str">
        <f t="array" ref="AG832">XLOOKUP(AC832,'Dados Funil'!A:A,'Dados Funil'!AM:AM,"")</f>
        <v/>
      </c>
      <c r="AH832" s="4" t="str">
        <f t="array" ref="AH832">XLOOKUP(AC832,'Dados Funil'!A:A,'Dados Funil'!AN:AN,"")</f>
        <v/>
      </c>
    </row>
    <row r="833">
      <c r="A833" s="4"/>
      <c r="B833" s="4"/>
      <c r="C833" s="7" t="str">
        <f t="shared" si="1"/>
        <v/>
      </c>
      <c r="D833" s="4" t="str">
        <f t="shared" si="9"/>
        <v/>
      </c>
      <c r="E833" s="4" t="str">
        <f t="array" ref="E833">XLOOKUP(A833,'Dados Funil'!$A:$A,'Dados Funil'!$K:$K,"")</f>
        <v/>
      </c>
      <c r="F833" s="4" t="str">
        <f t="array" ref="F833">XLOOKUP(A833,'Dados Funil'!$A:$A,'Dados Funil'!$L:$L,"")</f>
        <v/>
      </c>
      <c r="G833" s="4"/>
      <c r="H833" s="4"/>
      <c r="I833" s="7" t="str">
        <f t="shared" si="2"/>
        <v/>
      </c>
      <c r="J833" s="4" t="str">
        <f t="shared" si="10"/>
        <v/>
      </c>
      <c r="K833" s="4" t="str">
        <f t="array" ref="K833">XLOOKUP(G833,'Dados Funil'!A:A,'Dados Funil'!O:O,"")</f>
        <v/>
      </c>
      <c r="L833" s="4"/>
      <c r="M833" s="4"/>
      <c r="N833" s="7" t="str">
        <f t="shared" si="3"/>
        <v/>
      </c>
      <c r="O833" s="4" t="str">
        <f t="shared" si="11"/>
        <v/>
      </c>
      <c r="P833" s="4" t="str">
        <f t="array" ref="P833">XLOOKUP(L833,'Dados Funil'!A:A,'Dados Funil'!AM:AM,"")</f>
        <v/>
      </c>
      <c r="Q833" s="4" t="str">
        <f t="array" ref="Q833">XLOOKUP(L833,'Dados Funil'!A:A,'Dados Funil'!AN:AN,"")</f>
        <v/>
      </c>
      <c r="T833" s="7" t="str">
        <f t="shared" si="4"/>
        <v/>
      </c>
      <c r="U833" s="4" t="str">
        <f t="shared" si="12"/>
        <v/>
      </c>
      <c r="V833" s="4" t="str">
        <f t="array" ref="V833">XLOOKUP(R833,'Dados Funil'!$A:$A,'Dados Funil'!$K:$K,"")</f>
        <v/>
      </c>
      <c r="W833" s="4" t="str">
        <f t="array" ref="W833">XLOOKUP(R833,'Dados Funil'!$A:$A,'Dados Funil'!$L:$L,"")</f>
        <v/>
      </c>
      <c r="X833" s="4"/>
      <c r="Y833" s="4"/>
      <c r="Z833" s="7" t="str">
        <f t="shared" si="5"/>
        <v/>
      </c>
      <c r="AA833" s="4" t="str">
        <f t="shared" si="13"/>
        <v/>
      </c>
      <c r="AB833" s="4" t="str">
        <f t="array" ref="AB833">XLOOKUP(X833,'Dados Funil'!A:A,'Dados Funil'!O:O,"")</f>
        <v/>
      </c>
      <c r="AE833" s="7" t="str">
        <f t="shared" si="6"/>
        <v/>
      </c>
      <c r="AG833" s="4" t="str">
        <f t="array" ref="AG833">XLOOKUP(AC833,'Dados Funil'!A:A,'Dados Funil'!AM:AM,"")</f>
        <v/>
      </c>
      <c r="AH833" s="4" t="str">
        <f t="array" ref="AH833">XLOOKUP(AC833,'Dados Funil'!A:A,'Dados Funil'!AN:AN,"")</f>
        <v/>
      </c>
    </row>
    <row r="834">
      <c r="A834" s="4"/>
      <c r="B834" s="4"/>
      <c r="C834" s="7" t="str">
        <f t="shared" si="1"/>
        <v/>
      </c>
      <c r="D834" s="4" t="str">
        <f t="shared" si="9"/>
        <v/>
      </c>
      <c r="E834" s="4" t="str">
        <f t="array" ref="E834">XLOOKUP(A834,'Dados Funil'!$A:$A,'Dados Funil'!$K:$K,"")</f>
        <v/>
      </c>
      <c r="F834" s="4" t="str">
        <f t="array" ref="F834">XLOOKUP(A834,'Dados Funil'!$A:$A,'Dados Funil'!$L:$L,"")</f>
        <v/>
      </c>
      <c r="G834" s="4"/>
      <c r="H834" s="4"/>
      <c r="I834" s="7" t="str">
        <f t="shared" si="2"/>
        <v/>
      </c>
      <c r="J834" s="4" t="str">
        <f t="shared" si="10"/>
        <v/>
      </c>
      <c r="K834" s="4" t="str">
        <f t="array" ref="K834">XLOOKUP(G834,'Dados Funil'!A:A,'Dados Funil'!O:O,"")</f>
        <v/>
      </c>
      <c r="L834" s="4"/>
      <c r="M834" s="4"/>
      <c r="N834" s="7" t="str">
        <f t="shared" si="3"/>
        <v/>
      </c>
      <c r="O834" s="4" t="str">
        <f t="shared" si="11"/>
        <v/>
      </c>
      <c r="P834" s="4" t="str">
        <f t="array" ref="P834">XLOOKUP(L834,'Dados Funil'!A:A,'Dados Funil'!AM:AM,"")</f>
        <v/>
      </c>
      <c r="Q834" s="4" t="str">
        <f t="array" ref="Q834">XLOOKUP(L834,'Dados Funil'!A:A,'Dados Funil'!AN:AN,"")</f>
        <v/>
      </c>
      <c r="T834" s="7" t="str">
        <f t="shared" si="4"/>
        <v/>
      </c>
      <c r="U834" s="4" t="str">
        <f t="shared" si="12"/>
        <v/>
      </c>
      <c r="V834" s="4" t="str">
        <f t="array" ref="V834">XLOOKUP(R834,'Dados Funil'!$A:$A,'Dados Funil'!$K:$K,"")</f>
        <v/>
      </c>
      <c r="W834" s="4" t="str">
        <f t="array" ref="W834">XLOOKUP(R834,'Dados Funil'!$A:$A,'Dados Funil'!$L:$L,"")</f>
        <v/>
      </c>
      <c r="X834" s="4"/>
      <c r="Y834" s="4"/>
      <c r="Z834" s="7" t="str">
        <f t="shared" si="5"/>
        <v/>
      </c>
      <c r="AA834" s="4" t="str">
        <f t="shared" si="13"/>
        <v/>
      </c>
      <c r="AB834" s="4" t="str">
        <f t="array" ref="AB834">XLOOKUP(X834,'Dados Funil'!A:A,'Dados Funil'!O:O,"")</f>
        <v/>
      </c>
      <c r="AE834" s="7" t="str">
        <f t="shared" si="6"/>
        <v/>
      </c>
      <c r="AG834" s="4" t="str">
        <f t="array" ref="AG834">XLOOKUP(AC834,'Dados Funil'!A:A,'Dados Funil'!AM:AM,"")</f>
        <v/>
      </c>
      <c r="AH834" s="4" t="str">
        <f t="array" ref="AH834">XLOOKUP(AC834,'Dados Funil'!A:A,'Dados Funil'!AN:AN,"")</f>
        <v/>
      </c>
    </row>
    <row r="835">
      <c r="A835" s="4"/>
      <c r="B835" s="4"/>
      <c r="C835" s="7" t="str">
        <f t="shared" si="1"/>
        <v/>
      </c>
      <c r="D835" s="4" t="str">
        <f t="shared" si="9"/>
        <v/>
      </c>
      <c r="E835" s="4" t="str">
        <f t="array" ref="E835">XLOOKUP(A835,'Dados Funil'!$A:$A,'Dados Funil'!$K:$K,"")</f>
        <v/>
      </c>
      <c r="F835" s="4" t="str">
        <f t="array" ref="F835">XLOOKUP(A835,'Dados Funil'!$A:$A,'Dados Funil'!$L:$L,"")</f>
        <v/>
      </c>
      <c r="G835" s="4"/>
      <c r="H835" s="4"/>
      <c r="I835" s="7" t="str">
        <f t="shared" si="2"/>
        <v/>
      </c>
      <c r="J835" s="4" t="str">
        <f t="shared" si="10"/>
        <v/>
      </c>
      <c r="K835" s="4" t="str">
        <f t="array" ref="K835">XLOOKUP(G835,'Dados Funil'!A:A,'Dados Funil'!O:O,"")</f>
        <v/>
      </c>
      <c r="L835" s="4"/>
      <c r="M835" s="4"/>
      <c r="N835" s="7" t="str">
        <f t="shared" si="3"/>
        <v/>
      </c>
      <c r="O835" s="4" t="str">
        <f t="shared" si="11"/>
        <v/>
      </c>
      <c r="P835" s="4" t="str">
        <f t="array" ref="P835">XLOOKUP(L835,'Dados Funil'!A:A,'Dados Funil'!AM:AM,"")</f>
        <v/>
      </c>
      <c r="Q835" s="4" t="str">
        <f t="array" ref="Q835">XLOOKUP(L835,'Dados Funil'!A:A,'Dados Funil'!AN:AN,"")</f>
        <v/>
      </c>
      <c r="T835" s="7" t="str">
        <f t="shared" si="4"/>
        <v/>
      </c>
      <c r="U835" s="4" t="str">
        <f t="shared" si="12"/>
        <v/>
      </c>
      <c r="V835" s="4" t="str">
        <f t="array" ref="V835">XLOOKUP(R835,'Dados Funil'!$A:$A,'Dados Funil'!$K:$K,"")</f>
        <v/>
      </c>
      <c r="W835" s="4" t="str">
        <f t="array" ref="W835">XLOOKUP(R835,'Dados Funil'!$A:$A,'Dados Funil'!$L:$L,"")</f>
        <v/>
      </c>
      <c r="X835" s="4"/>
      <c r="Y835" s="4"/>
      <c r="Z835" s="7" t="str">
        <f t="shared" si="5"/>
        <v/>
      </c>
      <c r="AA835" s="4" t="str">
        <f t="shared" si="13"/>
        <v/>
      </c>
      <c r="AB835" s="4" t="str">
        <f t="array" ref="AB835">XLOOKUP(X835,'Dados Funil'!A:A,'Dados Funil'!O:O,"")</f>
        <v/>
      </c>
      <c r="AE835" s="7" t="str">
        <f t="shared" si="6"/>
        <v/>
      </c>
      <c r="AG835" s="4" t="str">
        <f t="array" ref="AG835">XLOOKUP(AC835,'Dados Funil'!A:A,'Dados Funil'!AM:AM,"")</f>
        <v/>
      </c>
      <c r="AH835" s="4" t="str">
        <f t="array" ref="AH835">XLOOKUP(AC835,'Dados Funil'!A:A,'Dados Funil'!AN:AN,"")</f>
        <v/>
      </c>
    </row>
    <row r="836">
      <c r="A836" s="4"/>
      <c r="B836" s="4"/>
      <c r="C836" s="7" t="str">
        <f t="shared" si="1"/>
        <v/>
      </c>
      <c r="D836" s="4" t="str">
        <f t="shared" si="9"/>
        <v/>
      </c>
      <c r="E836" s="4" t="str">
        <f t="array" ref="E836">XLOOKUP(A836,'Dados Funil'!$A:$A,'Dados Funil'!$K:$K,"")</f>
        <v/>
      </c>
      <c r="F836" s="4" t="str">
        <f t="array" ref="F836">XLOOKUP(A836,'Dados Funil'!$A:$A,'Dados Funil'!$L:$L,"")</f>
        <v/>
      </c>
      <c r="G836" s="4"/>
      <c r="H836" s="4"/>
      <c r="I836" s="7" t="str">
        <f t="shared" si="2"/>
        <v/>
      </c>
      <c r="J836" s="4" t="str">
        <f t="shared" si="10"/>
        <v/>
      </c>
      <c r="K836" s="4" t="str">
        <f t="array" ref="K836">XLOOKUP(G836,'Dados Funil'!A:A,'Dados Funil'!O:O,"")</f>
        <v/>
      </c>
      <c r="L836" s="4"/>
      <c r="M836" s="4"/>
      <c r="N836" s="7" t="str">
        <f t="shared" si="3"/>
        <v/>
      </c>
      <c r="O836" s="4" t="str">
        <f t="shared" si="11"/>
        <v/>
      </c>
      <c r="P836" s="4" t="str">
        <f t="array" ref="P836">XLOOKUP(L836,'Dados Funil'!A:A,'Dados Funil'!AM:AM,"")</f>
        <v/>
      </c>
      <c r="Q836" s="4" t="str">
        <f t="array" ref="Q836">XLOOKUP(L836,'Dados Funil'!A:A,'Dados Funil'!AN:AN,"")</f>
        <v/>
      </c>
      <c r="T836" s="7" t="str">
        <f t="shared" si="4"/>
        <v/>
      </c>
      <c r="U836" s="4" t="str">
        <f t="shared" si="12"/>
        <v/>
      </c>
      <c r="V836" s="4" t="str">
        <f t="array" ref="V836">XLOOKUP(R836,'Dados Funil'!$A:$A,'Dados Funil'!$K:$K,"")</f>
        <v/>
      </c>
      <c r="W836" s="4" t="str">
        <f t="array" ref="W836">XLOOKUP(R836,'Dados Funil'!$A:$A,'Dados Funil'!$L:$L,"")</f>
        <v/>
      </c>
      <c r="X836" s="4"/>
      <c r="Y836" s="4"/>
      <c r="Z836" s="7" t="str">
        <f t="shared" si="5"/>
        <v/>
      </c>
      <c r="AA836" s="4" t="str">
        <f t="shared" si="13"/>
        <v/>
      </c>
      <c r="AB836" s="4" t="str">
        <f t="array" ref="AB836">XLOOKUP(X836,'Dados Funil'!A:A,'Dados Funil'!O:O,"")</f>
        <v/>
      </c>
      <c r="AE836" s="7" t="str">
        <f t="shared" si="6"/>
        <v/>
      </c>
      <c r="AG836" s="4" t="str">
        <f t="array" ref="AG836">XLOOKUP(AC836,'Dados Funil'!A:A,'Dados Funil'!AM:AM,"")</f>
        <v/>
      </c>
      <c r="AH836" s="4" t="str">
        <f t="array" ref="AH836">XLOOKUP(AC836,'Dados Funil'!A:A,'Dados Funil'!AN:AN,"")</f>
        <v/>
      </c>
    </row>
    <row r="837">
      <c r="A837" s="4"/>
      <c r="B837" s="4"/>
      <c r="C837" s="7" t="str">
        <f t="shared" si="1"/>
        <v/>
      </c>
      <c r="D837" s="4" t="str">
        <f t="shared" si="9"/>
        <v/>
      </c>
      <c r="E837" s="4" t="str">
        <f t="array" ref="E837">XLOOKUP(A837,'Dados Funil'!$A:$A,'Dados Funil'!$K:$K,"")</f>
        <v/>
      </c>
      <c r="F837" s="4" t="str">
        <f t="array" ref="F837">XLOOKUP(A837,'Dados Funil'!$A:$A,'Dados Funil'!$L:$L,"")</f>
        <v/>
      </c>
      <c r="G837" s="4"/>
      <c r="H837" s="4"/>
      <c r="I837" s="7" t="str">
        <f t="shared" si="2"/>
        <v/>
      </c>
      <c r="J837" s="4" t="str">
        <f t="shared" si="10"/>
        <v/>
      </c>
      <c r="K837" s="4" t="str">
        <f t="array" ref="K837">XLOOKUP(G837,'Dados Funil'!A:A,'Dados Funil'!O:O,"")</f>
        <v/>
      </c>
      <c r="L837" s="4"/>
      <c r="M837" s="4"/>
      <c r="N837" s="7" t="str">
        <f t="shared" si="3"/>
        <v/>
      </c>
      <c r="O837" s="4" t="str">
        <f t="shared" si="11"/>
        <v/>
      </c>
      <c r="P837" s="4" t="str">
        <f t="array" ref="P837">XLOOKUP(L837,'Dados Funil'!A:A,'Dados Funil'!AM:AM,"")</f>
        <v/>
      </c>
      <c r="Q837" s="4" t="str">
        <f t="array" ref="Q837">XLOOKUP(L837,'Dados Funil'!A:A,'Dados Funil'!AN:AN,"")</f>
        <v/>
      </c>
      <c r="T837" s="7" t="str">
        <f t="shared" si="4"/>
        <v/>
      </c>
      <c r="U837" s="4" t="str">
        <f t="shared" si="12"/>
        <v/>
      </c>
      <c r="V837" s="4" t="str">
        <f t="array" ref="V837">XLOOKUP(R837,'Dados Funil'!$A:$A,'Dados Funil'!$K:$K,"")</f>
        <v/>
      </c>
      <c r="W837" s="4" t="str">
        <f t="array" ref="W837">XLOOKUP(R837,'Dados Funil'!$A:$A,'Dados Funil'!$L:$L,"")</f>
        <v/>
      </c>
      <c r="X837" s="4"/>
      <c r="Y837" s="4"/>
      <c r="Z837" s="7" t="str">
        <f t="shared" si="5"/>
        <v/>
      </c>
      <c r="AA837" s="4" t="str">
        <f t="shared" si="13"/>
        <v/>
      </c>
      <c r="AB837" s="4" t="str">
        <f t="array" ref="AB837">XLOOKUP(X837,'Dados Funil'!A:A,'Dados Funil'!O:O,"")</f>
        <v/>
      </c>
      <c r="AE837" s="7" t="str">
        <f t="shared" si="6"/>
        <v/>
      </c>
      <c r="AG837" s="4" t="str">
        <f t="array" ref="AG837">XLOOKUP(AC837,'Dados Funil'!A:A,'Dados Funil'!AM:AM,"")</f>
        <v/>
      </c>
      <c r="AH837" s="4" t="str">
        <f t="array" ref="AH837">XLOOKUP(AC837,'Dados Funil'!A:A,'Dados Funil'!AN:AN,"")</f>
        <v/>
      </c>
    </row>
    <row r="838">
      <c r="A838" s="4"/>
      <c r="B838" s="4"/>
      <c r="C838" s="7" t="str">
        <f t="shared" si="1"/>
        <v/>
      </c>
      <c r="D838" s="4" t="str">
        <f t="shared" si="9"/>
        <v/>
      </c>
      <c r="E838" s="4" t="str">
        <f t="array" ref="E838">XLOOKUP(A838,'Dados Funil'!$A:$A,'Dados Funil'!$K:$K,"")</f>
        <v/>
      </c>
      <c r="F838" s="4" t="str">
        <f t="array" ref="F838">XLOOKUP(A838,'Dados Funil'!$A:$A,'Dados Funil'!$L:$L,"")</f>
        <v/>
      </c>
      <c r="G838" s="4"/>
      <c r="H838" s="4"/>
      <c r="I838" s="7" t="str">
        <f t="shared" si="2"/>
        <v/>
      </c>
      <c r="J838" s="4" t="str">
        <f t="shared" si="10"/>
        <v/>
      </c>
      <c r="K838" s="4" t="str">
        <f t="array" ref="K838">XLOOKUP(G838,'Dados Funil'!A:A,'Dados Funil'!O:O,"")</f>
        <v/>
      </c>
      <c r="L838" s="4"/>
      <c r="M838" s="4"/>
      <c r="N838" s="7" t="str">
        <f t="shared" si="3"/>
        <v/>
      </c>
      <c r="O838" s="4" t="str">
        <f t="shared" si="11"/>
        <v/>
      </c>
      <c r="P838" s="4" t="str">
        <f t="array" ref="P838">XLOOKUP(L838,'Dados Funil'!A:A,'Dados Funil'!AM:AM,"")</f>
        <v/>
      </c>
      <c r="Q838" s="4" t="str">
        <f t="array" ref="Q838">XLOOKUP(L838,'Dados Funil'!A:A,'Dados Funil'!AN:AN,"")</f>
        <v/>
      </c>
      <c r="T838" s="7" t="str">
        <f t="shared" si="4"/>
        <v/>
      </c>
      <c r="U838" s="4" t="str">
        <f t="shared" si="12"/>
        <v/>
      </c>
      <c r="V838" s="4" t="str">
        <f t="array" ref="V838">XLOOKUP(R838,'Dados Funil'!$A:$A,'Dados Funil'!$K:$K,"")</f>
        <v/>
      </c>
      <c r="W838" s="4" t="str">
        <f t="array" ref="W838">XLOOKUP(R838,'Dados Funil'!$A:$A,'Dados Funil'!$L:$L,"")</f>
        <v/>
      </c>
      <c r="X838" s="4"/>
      <c r="Y838" s="4"/>
      <c r="Z838" s="7" t="str">
        <f t="shared" si="5"/>
        <v/>
      </c>
      <c r="AA838" s="4" t="str">
        <f t="shared" si="13"/>
        <v/>
      </c>
      <c r="AB838" s="4" t="str">
        <f t="array" ref="AB838">XLOOKUP(X838,'Dados Funil'!A:A,'Dados Funil'!O:O,"")</f>
        <v/>
      </c>
      <c r="AE838" s="7" t="str">
        <f t="shared" si="6"/>
        <v/>
      </c>
      <c r="AG838" s="4" t="str">
        <f t="array" ref="AG838">XLOOKUP(AC838,'Dados Funil'!A:A,'Dados Funil'!AM:AM,"")</f>
        <v/>
      </c>
      <c r="AH838" s="4" t="str">
        <f t="array" ref="AH838">XLOOKUP(AC838,'Dados Funil'!A:A,'Dados Funil'!AN:AN,"")</f>
        <v/>
      </c>
    </row>
    <row r="839">
      <c r="A839" s="4"/>
      <c r="B839" s="4"/>
      <c r="C839" s="7" t="str">
        <f t="shared" si="1"/>
        <v/>
      </c>
      <c r="D839" s="4" t="str">
        <f t="shared" si="9"/>
        <v/>
      </c>
      <c r="E839" s="4" t="str">
        <f t="array" ref="E839">XLOOKUP(A839,'Dados Funil'!$A:$A,'Dados Funil'!$K:$K,"")</f>
        <v/>
      </c>
      <c r="F839" s="4" t="str">
        <f t="array" ref="F839">XLOOKUP(A839,'Dados Funil'!$A:$A,'Dados Funil'!$L:$L,"")</f>
        <v/>
      </c>
      <c r="G839" s="4"/>
      <c r="H839" s="4"/>
      <c r="I839" s="7" t="str">
        <f t="shared" si="2"/>
        <v/>
      </c>
      <c r="J839" s="4" t="str">
        <f t="shared" si="10"/>
        <v/>
      </c>
      <c r="K839" s="4" t="str">
        <f t="array" ref="K839">XLOOKUP(G839,'Dados Funil'!A:A,'Dados Funil'!O:O,"")</f>
        <v/>
      </c>
      <c r="L839" s="4"/>
      <c r="M839" s="4"/>
      <c r="N839" s="7" t="str">
        <f t="shared" si="3"/>
        <v/>
      </c>
      <c r="O839" s="4" t="str">
        <f t="shared" si="11"/>
        <v/>
      </c>
      <c r="P839" s="4" t="str">
        <f t="array" ref="P839">XLOOKUP(L839,'Dados Funil'!A:A,'Dados Funil'!AM:AM,"")</f>
        <v/>
      </c>
      <c r="Q839" s="4" t="str">
        <f t="array" ref="Q839">XLOOKUP(L839,'Dados Funil'!A:A,'Dados Funil'!AN:AN,"")</f>
        <v/>
      </c>
      <c r="T839" s="7" t="str">
        <f t="shared" si="4"/>
        <v/>
      </c>
      <c r="U839" s="4" t="str">
        <f t="shared" si="12"/>
        <v/>
      </c>
      <c r="V839" s="4" t="str">
        <f t="array" ref="V839">XLOOKUP(R839,'Dados Funil'!$A:$A,'Dados Funil'!$K:$K,"")</f>
        <v/>
      </c>
      <c r="W839" s="4" t="str">
        <f t="array" ref="W839">XLOOKUP(R839,'Dados Funil'!$A:$A,'Dados Funil'!$L:$L,"")</f>
        <v/>
      </c>
      <c r="X839" s="4"/>
      <c r="Y839" s="4"/>
      <c r="Z839" s="7" t="str">
        <f t="shared" si="5"/>
        <v/>
      </c>
      <c r="AA839" s="4" t="str">
        <f t="shared" si="13"/>
        <v/>
      </c>
      <c r="AB839" s="4" t="str">
        <f t="array" ref="AB839">XLOOKUP(X839,'Dados Funil'!A:A,'Dados Funil'!O:O,"")</f>
        <v/>
      </c>
      <c r="AE839" s="7" t="str">
        <f t="shared" si="6"/>
        <v/>
      </c>
      <c r="AG839" s="4" t="str">
        <f t="array" ref="AG839">XLOOKUP(AC839,'Dados Funil'!A:A,'Dados Funil'!AM:AM,"")</f>
        <v/>
      </c>
      <c r="AH839" s="4" t="str">
        <f t="array" ref="AH839">XLOOKUP(AC839,'Dados Funil'!A:A,'Dados Funil'!AN:AN,"")</f>
        <v/>
      </c>
    </row>
    <row r="840">
      <c r="A840" s="4"/>
      <c r="B840" s="4"/>
      <c r="C840" s="7" t="str">
        <f t="shared" si="1"/>
        <v/>
      </c>
      <c r="D840" s="4" t="str">
        <f t="shared" si="9"/>
        <v/>
      </c>
      <c r="E840" s="4" t="str">
        <f t="array" ref="E840">XLOOKUP(A840,'Dados Funil'!$A:$A,'Dados Funil'!$K:$K,"")</f>
        <v/>
      </c>
      <c r="F840" s="4" t="str">
        <f t="array" ref="F840">XLOOKUP(A840,'Dados Funil'!$A:$A,'Dados Funil'!$L:$L,"")</f>
        <v/>
      </c>
      <c r="G840" s="4"/>
      <c r="H840" s="4"/>
      <c r="I840" s="7" t="str">
        <f t="shared" si="2"/>
        <v/>
      </c>
      <c r="J840" s="4" t="str">
        <f t="shared" si="10"/>
        <v/>
      </c>
      <c r="K840" s="4" t="str">
        <f t="array" ref="K840">XLOOKUP(G840,'Dados Funil'!A:A,'Dados Funil'!O:O,"")</f>
        <v/>
      </c>
      <c r="L840" s="4"/>
      <c r="M840" s="4"/>
      <c r="N840" s="7" t="str">
        <f t="shared" si="3"/>
        <v/>
      </c>
      <c r="O840" s="4" t="str">
        <f t="shared" si="11"/>
        <v/>
      </c>
      <c r="P840" s="4" t="str">
        <f t="array" ref="P840">XLOOKUP(L840,'Dados Funil'!A:A,'Dados Funil'!AM:AM,"")</f>
        <v/>
      </c>
      <c r="Q840" s="4" t="str">
        <f t="array" ref="Q840">XLOOKUP(L840,'Dados Funil'!A:A,'Dados Funil'!AN:AN,"")</f>
        <v/>
      </c>
      <c r="T840" s="7" t="str">
        <f t="shared" si="4"/>
        <v/>
      </c>
      <c r="U840" s="4" t="str">
        <f t="shared" si="12"/>
        <v/>
      </c>
      <c r="V840" s="4" t="str">
        <f t="array" ref="V840">XLOOKUP(R840,'Dados Funil'!$A:$A,'Dados Funil'!$K:$K,"")</f>
        <v/>
      </c>
      <c r="W840" s="4" t="str">
        <f t="array" ref="W840">XLOOKUP(R840,'Dados Funil'!$A:$A,'Dados Funil'!$L:$L,"")</f>
        <v/>
      </c>
      <c r="X840" s="4"/>
      <c r="Y840" s="4"/>
      <c r="Z840" s="7" t="str">
        <f t="shared" si="5"/>
        <v/>
      </c>
      <c r="AA840" s="4" t="str">
        <f t="shared" si="13"/>
        <v/>
      </c>
      <c r="AB840" s="4" t="str">
        <f t="array" ref="AB840">XLOOKUP(X840,'Dados Funil'!A:A,'Dados Funil'!O:O,"")</f>
        <v/>
      </c>
      <c r="AE840" s="7" t="str">
        <f t="shared" si="6"/>
        <v/>
      </c>
      <c r="AG840" s="4" t="str">
        <f t="array" ref="AG840">XLOOKUP(AC840,'Dados Funil'!A:A,'Dados Funil'!AM:AM,"")</f>
        <v/>
      </c>
      <c r="AH840" s="4" t="str">
        <f t="array" ref="AH840">XLOOKUP(AC840,'Dados Funil'!A:A,'Dados Funil'!AN:AN,"")</f>
        <v/>
      </c>
    </row>
    <row r="841">
      <c r="A841" s="4"/>
      <c r="B841" s="4"/>
      <c r="C841" s="7" t="str">
        <f t="shared" si="1"/>
        <v/>
      </c>
      <c r="D841" s="4" t="str">
        <f t="shared" si="9"/>
        <v/>
      </c>
      <c r="E841" s="4" t="str">
        <f t="array" ref="E841">XLOOKUP(A841,'Dados Funil'!$A:$A,'Dados Funil'!$K:$K,"")</f>
        <v/>
      </c>
      <c r="F841" s="4" t="str">
        <f t="array" ref="F841">XLOOKUP(A841,'Dados Funil'!$A:$A,'Dados Funil'!$L:$L,"")</f>
        <v/>
      </c>
      <c r="G841" s="4"/>
      <c r="H841" s="4"/>
      <c r="I841" s="7" t="str">
        <f t="shared" si="2"/>
        <v/>
      </c>
      <c r="J841" s="4" t="str">
        <f t="shared" si="10"/>
        <v/>
      </c>
      <c r="K841" s="4" t="str">
        <f t="array" ref="K841">XLOOKUP(G841,'Dados Funil'!A:A,'Dados Funil'!O:O,"")</f>
        <v/>
      </c>
      <c r="L841" s="4"/>
      <c r="M841" s="4"/>
      <c r="N841" s="7" t="str">
        <f t="shared" si="3"/>
        <v/>
      </c>
      <c r="O841" s="4" t="str">
        <f t="shared" si="11"/>
        <v/>
      </c>
      <c r="P841" s="4" t="str">
        <f t="array" ref="P841">XLOOKUP(L841,'Dados Funil'!A:A,'Dados Funil'!AM:AM,"")</f>
        <v/>
      </c>
      <c r="Q841" s="4" t="str">
        <f t="array" ref="Q841">XLOOKUP(L841,'Dados Funil'!A:A,'Dados Funil'!AN:AN,"")</f>
        <v/>
      </c>
      <c r="T841" s="7" t="str">
        <f t="shared" si="4"/>
        <v/>
      </c>
      <c r="U841" s="4" t="str">
        <f t="shared" si="12"/>
        <v/>
      </c>
      <c r="V841" s="4" t="str">
        <f t="array" ref="V841">XLOOKUP(R841,'Dados Funil'!$A:$A,'Dados Funil'!$K:$K,"")</f>
        <v/>
      </c>
      <c r="W841" s="4" t="str">
        <f t="array" ref="W841">XLOOKUP(R841,'Dados Funil'!$A:$A,'Dados Funil'!$L:$L,"")</f>
        <v/>
      </c>
      <c r="X841" s="4"/>
      <c r="Y841" s="4"/>
      <c r="Z841" s="7" t="str">
        <f t="shared" si="5"/>
        <v/>
      </c>
      <c r="AA841" s="4" t="str">
        <f t="shared" si="13"/>
        <v/>
      </c>
      <c r="AB841" s="4" t="str">
        <f t="array" ref="AB841">XLOOKUP(X841,'Dados Funil'!A:A,'Dados Funil'!O:O,"")</f>
        <v/>
      </c>
      <c r="AE841" s="7" t="str">
        <f t="shared" si="6"/>
        <v/>
      </c>
      <c r="AG841" s="4" t="str">
        <f t="array" ref="AG841">XLOOKUP(AC841,'Dados Funil'!A:A,'Dados Funil'!AM:AM,"")</f>
        <v/>
      </c>
      <c r="AH841" s="4" t="str">
        <f t="array" ref="AH841">XLOOKUP(AC841,'Dados Funil'!A:A,'Dados Funil'!AN:AN,"")</f>
        <v/>
      </c>
    </row>
    <row r="842">
      <c r="A842" s="4"/>
      <c r="B842" s="4"/>
      <c r="C842" s="7" t="str">
        <f t="shared" si="1"/>
        <v/>
      </c>
      <c r="D842" s="4" t="str">
        <f t="shared" si="9"/>
        <v/>
      </c>
      <c r="E842" s="4" t="str">
        <f t="array" ref="E842">XLOOKUP(A842,'Dados Funil'!$A:$A,'Dados Funil'!$K:$K,"")</f>
        <v/>
      </c>
      <c r="F842" s="4" t="str">
        <f t="array" ref="F842">XLOOKUP(A842,'Dados Funil'!$A:$A,'Dados Funil'!$L:$L,"")</f>
        <v/>
      </c>
      <c r="G842" s="4"/>
      <c r="H842" s="4"/>
      <c r="I842" s="7" t="str">
        <f t="shared" si="2"/>
        <v/>
      </c>
      <c r="J842" s="4" t="str">
        <f t="shared" si="10"/>
        <v/>
      </c>
      <c r="K842" s="4" t="str">
        <f t="array" ref="K842">XLOOKUP(G842,'Dados Funil'!A:A,'Dados Funil'!O:O,"")</f>
        <v/>
      </c>
      <c r="L842" s="4"/>
      <c r="M842" s="4"/>
      <c r="N842" s="7" t="str">
        <f t="shared" si="3"/>
        <v/>
      </c>
      <c r="O842" s="4" t="str">
        <f t="shared" si="11"/>
        <v/>
      </c>
      <c r="P842" s="4" t="str">
        <f t="array" ref="P842">XLOOKUP(L842,'Dados Funil'!A:A,'Dados Funil'!AM:AM,"")</f>
        <v/>
      </c>
      <c r="Q842" s="4" t="str">
        <f t="array" ref="Q842">XLOOKUP(L842,'Dados Funil'!A:A,'Dados Funil'!AN:AN,"")</f>
        <v/>
      </c>
      <c r="T842" s="7" t="str">
        <f t="shared" si="4"/>
        <v/>
      </c>
      <c r="U842" s="4" t="str">
        <f t="shared" si="12"/>
        <v/>
      </c>
      <c r="V842" s="4" t="str">
        <f t="array" ref="V842">XLOOKUP(R842,'Dados Funil'!$A:$A,'Dados Funil'!$K:$K,"")</f>
        <v/>
      </c>
      <c r="W842" s="4" t="str">
        <f t="array" ref="W842">XLOOKUP(R842,'Dados Funil'!$A:$A,'Dados Funil'!$L:$L,"")</f>
        <v/>
      </c>
      <c r="X842" s="4"/>
      <c r="Y842" s="4"/>
      <c r="Z842" s="7" t="str">
        <f t="shared" si="5"/>
        <v/>
      </c>
      <c r="AA842" s="4" t="str">
        <f t="shared" si="13"/>
        <v/>
      </c>
      <c r="AB842" s="4" t="str">
        <f t="array" ref="AB842">XLOOKUP(X842,'Dados Funil'!A:A,'Dados Funil'!O:O,"")</f>
        <v/>
      </c>
      <c r="AE842" s="7" t="str">
        <f t="shared" si="6"/>
        <v/>
      </c>
      <c r="AG842" s="4" t="str">
        <f t="array" ref="AG842">XLOOKUP(AC842,'Dados Funil'!A:A,'Dados Funil'!AM:AM,"")</f>
        <v/>
      </c>
      <c r="AH842" s="4" t="str">
        <f t="array" ref="AH842">XLOOKUP(AC842,'Dados Funil'!A:A,'Dados Funil'!AN:AN,"")</f>
        <v/>
      </c>
    </row>
    <row r="843">
      <c r="A843" s="4"/>
      <c r="B843" s="4"/>
      <c r="C843" s="7" t="str">
        <f t="shared" si="1"/>
        <v/>
      </c>
      <c r="D843" s="4" t="str">
        <f t="shared" si="9"/>
        <v/>
      </c>
      <c r="E843" s="4" t="str">
        <f t="array" ref="E843">XLOOKUP(A843,'Dados Funil'!$A:$A,'Dados Funil'!$K:$K,"")</f>
        <v/>
      </c>
      <c r="F843" s="4" t="str">
        <f t="array" ref="F843">XLOOKUP(A843,'Dados Funil'!$A:$A,'Dados Funil'!$L:$L,"")</f>
        <v/>
      </c>
      <c r="G843" s="4"/>
      <c r="H843" s="4"/>
      <c r="I843" s="7" t="str">
        <f t="shared" si="2"/>
        <v/>
      </c>
      <c r="J843" s="4" t="str">
        <f t="shared" si="10"/>
        <v/>
      </c>
      <c r="K843" s="4" t="str">
        <f t="array" ref="K843">XLOOKUP(G843,'Dados Funil'!A:A,'Dados Funil'!O:O,"")</f>
        <v/>
      </c>
      <c r="L843" s="4"/>
      <c r="M843" s="4"/>
      <c r="N843" s="7" t="str">
        <f t="shared" si="3"/>
        <v/>
      </c>
      <c r="O843" s="4" t="str">
        <f t="shared" si="11"/>
        <v/>
      </c>
      <c r="P843" s="4" t="str">
        <f t="array" ref="P843">XLOOKUP(L843,'Dados Funil'!A:A,'Dados Funil'!AM:AM,"")</f>
        <v/>
      </c>
      <c r="Q843" s="4" t="str">
        <f t="array" ref="Q843">XLOOKUP(L843,'Dados Funil'!A:A,'Dados Funil'!AN:AN,"")</f>
        <v/>
      </c>
      <c r="T843" s="7" t="str">
        <f t="shared" si="4"/>
        <v/>
      </c>
      <c r="U843" s="4" t="str">
        <f t="shared" si="12"/>
        <v/>
      </c>
      <c r="V843" s="4" t="str">
        <f t="array" ref="V843">XLOOKUP(R843,'Dados Funil'!$A:$A,'Dados Funil'!$K:$K,"")</f>
        <v/>
      </c>
      <c r="W843" s="4" t="str">
        <f t="array" ref="W843">XLOOKUP(R843,'Dados Funil'!$A:$A,'Dados Funil'!$L:$L,"")</f>
        <v/>
      </c>
      <c r="X843" s="4"/>
      <c r="Y843" s="4"/>
      <c r="Z843" s="7" t="str">
        <f t="shared" si="5"/>
        <v/>
      </c>
      <c r="AA843" s="4" t="str">
        <f t="shared" si="13"/>
        <v/>
      </c>
      <c r="AB843" s="4" t="str">
        <f t="array" ref="AB843">XLOOKUP(X843,'Dados Funil'!A:A,'Dados Funil'!O:O,"")</f>
        <v/>
      </c>
      <c r="AE843" s="7" t="str">
        <f t="shared" si="6"/>
        <v/>
      </c>
      <c r="AG843" s="4" t="str">
        <f t="array" ref="AG843">XLOOKUP(AC843,'Dados Funil'!A:A,'Dados Funil'!AM:AM,"")</f>
        <v/>
      </c>
      <c r="AH843" s="4" t="str">
        <f t="array" ref="AH843">XLOOKUP(AC843,'Dados Funil'!A:A,'Dados Funil'!AN:AN,"")</f>
        <v/>
      </c>
    </row>
    <row r="844">
      <c r="A844" s="4"/>
      <c r="B844" s="4"/>
      <c r="C844" s="7" t="str">
        <f t="shared" si="1"/>
        <v/>
      </c>
      <c r="D844" s="4" t="str">
        <f t="shared" si="9"/>
        <v/>
      </c>
      <c r="E844" s="4" t="str">
        <f t="array" ref="E844">XLOOKUP(A844,'Dados Funil'!$A:$A,'Dados Funil'!$K:$K,"")</f>
        <v/>
      </c>
      <c r="F844" s="4" t="str">
        <f t="array" ref="F844">XLOOKUP(A844,'Dados Funil'!$A:$A,'Dados Funil'!$L:$L,"")</f>
        <v/>
      </c>
      <c r="G844" s="4"/>
      <c r="H844" s="4"/>
      <c r="I844" s="7" t="str">
        <f t="shared" si="2"/>
        <v/>
      </c>
      <c r="J844" s="4" t="str">
        <f t="shared" si="10"/>
        <v/>
      </c>
      <c r="K844" s="4" t="str">
        <f t="array" ref="K844">XLOOKUP(G844,'Dados Funil'!A:A,'Dados Funil'!O:O,"")</f>
        <v/>
      </c>
      <c r="L844" s="4"/>
      <c r="M844" s="4"/>
      <c r="N844" s="7" t="str">
        <f t="shared" si="3"/>
        <v/>
      </c>
      <c r="O844" s="4" t="str">
        <f t="shared" si="11"/>
        <v/>
      </c>
      <c r="P844" s="4" t="str">
        <f t="array" ref="P844">XLOOKUP(L844,'Dados Funil'!A:A,'Dados Funil'!AM:AM,"")</f>
        <v/>
      </c>
      <c r="Q844" s="4" t="str">
        <f t="array" ref="Q844">XLOOKUP(L844,'Dados Funil'!A:A,'Dados Funil'!AN:AN,"")</f>
        <v/>
      </c>
      <c r="T844" s="7" t="str">
        <f t="shared" si="4"/>
        <v/>
      </c>
      <c r="U844" s="4" t="str">
        <f t="shared" si="12"/>
        <v/>
      </c>
      <c r="V844" s="4" t="str">
        <f t="array" ref="V844">XLOOKUP(R844,'Dados Funil'!$A:$A,'Dados Funil'!$K:$K,"")</f>
        <v/>
      </c>
      <c r="W844" s="4" t="str">
        <f t="array" ref="W844">XLOOKUP(R844,'Dados Funil'!$A:$A,'Dados Funil'!$L:$L,"")</f>
        <v/>
      </c>
      <c r="X844" s="4"/>
      <c r="Y844" s="4"/>
      <c r="Z844" s="7" t="str">
        <f t="shared" si="5"/>
        <v/>
      </c>
      <c r="AA844" s="4" t="str">
        <f t="shared" si="13"/>
        <v/>
      </c>
      <c r="AB844" s="4" t="str">
        <f t="array" ref="AB844">XLOOKUP(X844,'Dados Funil'!A:A,'Dados Funil'!O:O,"")</f>
        <v/>
      </c>
      <c r="AE844" s="7" t="str">
        <f t="shared" si="6"/>
        <v/>
      </c>
      <c r="AG844" s="4" t="str">
        <f t="array" ref="AG844">XLOOKUP(AC844,'Dados Funil'!A:A,'Dados Funil'!AM:AM,"")</f>
        <v/>
      </c>
      <c r="AH844" s="4" t="str">
        <f t="array" ref="AH844">XLOOKUP(AC844,'Dados Funil'!A:A,'Dados Funil'!AN:AN,"")</f>
        <v/>
      </c>
    </row>
    <row r="845">
      <c r="A845" s="4"/>
      <c r="B845" s="4"/>
      <c r="C845" s="7" t="str">
        <f t="shared" si="1"/>
        <v/>
      </c>
      <c r="D845" s="4" t="str">
        <f t="shared" si="9"/>
        <v/>
      </c>
      <c r="E845" s="4" t="str">
        <f t="array" ref="E845">XLOOKUP(A845,'Dados Funil'!$A:$A,'Dados Funil'!$K:$K,"")</f>
        <v/>
      </c>
      <c r="F845" s="4" t="str">
        <f t="array" ref="F845">XLOOKUP(A845,'Dados Funil'!$A:$A,'Dados Funil'!$L:$L,"")</f>
        <v/>
      </c>
      <c r="G845" s="4"/>
      <c r="H845" s="4"/>
      <c r="I845" s="7" t="str">
        <f t="shared" si="2"/>
        <v/>
      </c>
      <c r="J845" s="4" t="str">
        <f t="shared" si="10"/>
        <v/>
      </c>
      <c r="K845" s="4" t="str">
        <f t="array" ref="K845">XLOOKUP(G845,'Dados Funil'!A:A,'Dados Funil'!O:O,"")</f>
        <v/>
      </c>
      <c r="L845" s="4"/>
      <c r="M845" s="4"/>
      <c r="N845" s="7" t="str">
        <f t="shared" si="3"/>
        <v/>
      </c>
      <c r="O845" s="4" t="str">
        <f t="shared" si="11"/>
        <v/>
      </c>
      <c r="P845" s="4" t="str">
        <f t="array" ref="P845">XLOOKUP(L845,'Dados Funil'!A:A,'Dados Funil'!AM:AM,"")</f>
        <v/>
      </c>
      <c r="Q845" s="4" t="str">
        <f t="array" ref="Q845">XLOOKUP(L845,'Dados Funil'!A:A,'Dados Funil'!AN:AN,"")</f>
        <v/>
      </c>
      <c r="T845" s="7" t="str">
        <f t="shared" si="4"/>
        <v/>
      </c>
      <c r="U845" s="4" t="str">
        <f t="shared" si="12"/>
        <v/>
      </c>
      <c r="V845" s="4" t="str">
        <f t="array" ref="V845">XLOOKUP(R845,'Dados Funil'!$A:$A,'Dados Funil'!$K:$K,"")</f>
        <v/>
      </c>
      <c r="W845" s="4" t="str">
        <f t="array" ref="W845">XLOOKUP(R845,'Dados Funil'!$A:$A,'Dados Funil'!$L:$L,"")</f>
        <v/>
      </c>
      <c r="X845" s="4"/>
      <c r="Y845" s="4"/>
      <c r="Z845" s="7" t="str">
        <f t="shared" si="5"/>
        <v/>
      </c>
      <c r="AA845" s="4" t="str">
        <f t="shared" si="13"/>
        <v/>
      </c>
      <c r="AB845" s="4" t="str">
        <f t="array" ref="AB845">XLOOKUP(X845,'Dados Funil'!A:A,'Dados Funil'!O:O,"")</f>
        <v/>
      </c>
      <c r="AE845" s="7" t="str">
        <f t="shared" si="6"/>
        <v/>
      </c>
      <c r="AG845" s="4" t="str">
        <f t="array" ref="AG845">XLOOKUP(AC845,'Dados Funil'!A:A,'Dados Funil'!AM:AM,"")</f>
        <v/>
      </c>
      <c r="AH845" s="4" t="str">
        <f t="array" ref="AH845">XLOOKUP(AC845,'Dados Funil'!A:A,'Dados Funil'!AN:AN,"")</f>
        <v/>
      </c>
    </row>
    <row r="846">
      <c r="A846" s="4"/>
      <c r="B846" s="4"/>
      <c r="C846" s="7" t="str">
        <f t="shared" si="1"/>
        <v/>
      </c>
      <c r="D846" s="4" t="str">
        <f t="shared" si="9"/>
        <v/>
      </c>
      <c r="E846" s="4" t="str">
        <f t="array" ref="E846">XLOOKUP(A846,'Dados Funil'!$A:$A,'Dados Funil'!$K:$K,"")</f>
        <v/>
      </c>
      <c r="F846" s="4" t="str">
        <f t="array" ref="F846">XLOOKUP(A846,'Dados Funil'!$A:$A,'Dados Funil'!$L:$L,"")</f>
        <v/>
      </c>
      <c r="G846" s="4"/>
      <c r="H846" s="4"/>
      <c r="I846" s="7" t="str">
        <f t="shared" si="2"/>
        <v/>
      </c>
      <c r="J846" s="4" t="str">
        <f t="shared" si="10"/>
        <v/>
      </c>
      <c r="K846" s="4" t="str">
        <f t="array" ref="K846">XLOOKUP(G846,'Dados Funil'!A:A,'Dados Funil'!O:O,"")</f>
        <v/>
      </c>
      <c r="L846" s="4"/>
      <c r="M846" s="4"/>
      <c r="N846" s="7" t="str">
        <f t="shared" si="3"/>
        <v/>
      </c>
      <c r="O846" s="4" t="str">
        <f t="shared" si="11"/>
        <v/>
      </c>
      <c r="P846" s="4" t="str">
        <f t="array" ref="P846">XLOOKUP(L846,'Dados Funil'!A:A,'Dados Funil'!AM:AM,"")</f>
        <v/>
      </c>
      <c r="Q846" s="4" t="str">
        <f t="array" ref="Q846">XLOOKUP(L846,'Dados Funil'!A:A,'Dados Funil'!AN:AN,"")</f>
        <v/>
      </c>
      <c r="T846" s="7" t="str">
        <f t="shared" si="4"/>
        <v/>
      </c>
      <c r="U846" s="4" t="str">
        <f t="shared" si="12"/>
        <v/>
      </c>
      <c r="V846" s="4" t="str">
        <f t="array" ref="V846">XLOOKUP(R846,'Dados Funil'!$A:$A,'Dados Funil'!$K:$K,"")</f>
        <v/>
      </c>
      <c r="W846" s="4" t="str">
        <f t="array" ref="W846">XLOOKUP(R846,'Dados Funil'!$A:$A,'Dados Funil'!$L:$L,"")</f>
        <v/>
      </c>
      <c r="X846" s="4"/>
      <c r="Y846" s="4"/>
      <c r="Z846" s="7" t="str">
        <f t="shared" si="5"/>
        <v/>
      </c>
      <c r="AA846" s="4" t="str">
        <f t="shared" si="13"/>
        <v/>
      </c>
      <c r="AB846" s="4" t="str">
        <f t="array" ref="AB846">XLOOKUP(X846,'Dados Funil'!A:A,'Dados Funil'!O:O,"")</f>
        <v/>
      </c>
      <c r="AE846" s="7" t="str">
        <f t="shared" si="6"/>
        <v/>
      </c>
      <c r="AG846" s="4" t="str">
        <f t="array" ref="AG846">XLOOKUP(AC846,'Dados Funil'!A:A,'Dados Funil'!AM:AM,"")</f>
        <v/>
      </c>
      <c r="AH846" s="4" t="str">
        <f t="array" ref="AH846">XLOOKUP(AC846,'Dados Funil'!A:A,'Dados Funil'!AN:AN,"")</f>
        <v/>
      </c>
    </row>
    <row r="847">
      <c r="A847" s="4"/>
      <c r="B847" s="4"/>
      <c r="C847" s="7" t="str">
        <f t="shared" si="1"/>
        <v/>
      </c>
      <c r="D847" s="4" t="str">
        <f t="shared" si="9"/>
        <v/>
      </c>
      <c r="E847" s="4" t="str">
        <f t="array" ref="E847">XLOOKUP(A847,'Dados Funil'!$A:$A,'Dados Funil'!$K:$K,"")</f>
        <v/>
      </c>
      <c r="F847" s="4" t="str">
        <f t="array" ref="F847">XLOOKUP(A847,'Dados Funil'!$A:$A,'Dados Funil'!$L:$L,"")</f>
        <v/>
      </c>
      <c r="G847" s="4"/>
      <c r="H847" s="4"/>
      <c r="I847" s="7" t="str">
        <f t="shared" si="2"/>
        <v/>
      </c>
      <c r="J847" s="4" t="str">
        <f t="shared" si="10"/>
        <v/>
      </c>
      <c r="K847" s="4" t="str">
        <f t="array" ref="K847">XLOOKUP(G847,'Dados Funil'!A:A,'Dados Funil'!O:O,"")</f>
        <v/>
      </c>
      <c r="L847" s="4"/>
      <c r="M847" s="4"/>
      <c r="N847" s="7" t="str">
        <f t="shared" si="3"/>
        <v/>
      </c>
      <c r="O847" s="4" t="str">
        <f t="shared" si="11"/>
        <v/>
      </c>
      <c r="P847" s="4" t="str">
        <f t="array" ref="P847">XLOOKUP(L847,'Dados Funil'!A:A,'Dados Funil'!AM:AM,"")</f>
        <v/>
      </c>
      <c r="Q847" s="4" t="str">
        <f t="array" ref="Q847">XLOOKUP(L847,'Dados Funil'!A:A,'Dados Funil'!AN:AN,"")</f>
        <v/>
      </c>
      <c r="T847" s="7" t="str">
        <f t="shared" si="4"/>
        <v/>
      </c>
      <c r="U847" s="4" t="str">
        <f t="shared" si="12"/>
        <v/>
      </c>
      <c r="V847" s="4" t="str">
        <f t="array" ref="V847">XLOOKUP(R847,'Dados Funil'!$A:$A,'Dados Funil'!$K:$K,"")</f>
        <v/>
      </c>
      <c r="W847" s="4" t="str">
        <f t="array" ref="W847">XLOOKUP(R847,'Dados Funil'!$A:$A,'Dados Funil'!$L:$L,"")</f>
        <v/>
      </c>
      <c r="X847" s="4"/>
      <c r="Y847" s="4"/>
      <c r="Z847" s="7" t="str">
        <f t="shared" si="5"/>
        <v/>
      </c>
      <c r="AA847" s="4" t="str">
        <f t="shared" si="13"/>
        <v/>
      </c>
      <c r="AB847" s="4" t="str">
        <f t="array" ref="AB847">XLOOKUP(X847,'Dados Funil'!A:A,'Dados Funil'!O:O,"")</f>
        <v/>
      </c>
      <c r="AE847" s="7" t="str">
        <f t="shared" si="6"/>
        <v/>
      </c>
      <c r="AG847" s="4" t="str">
        <f t="array" ref="AG847">XLOOKUP(AC847,'Dados Funil'!A:A,'Dados Funil'!AM:AM,"")</f>
        <v/>
      </c>
      <c r="AH847" s="4" t="str">
        <f t="array" ref="AH847">XLOOKUP(AC847,'Dados Funil'!A:A,'Dados Funil'!AN:AN,"")</f>
        <v/>
      </c>
    </row>
    <row r="848">
      <c r="A848" s="4"/>
      <c r="B848" s="4"/>
      <c r="C848" s="7" t="str">
        <f t="shared" si="1"/>
        <v/>
      </c>
      <c r="D848" s="4" t="str">
        <f t="shared" si="9"/>
        <v/>
      </c>
      <c r="E848" s="4" t="str">
        <f t="array" ref="E848">XLOOKUP(A848,'Dados Funil'!$A:$A,'Dados Funil'!$K:$K,"")</f>
        <v/>
      </c>
      <c r="F848" s="4" t="str">
        <f t="array" ref="F848">XLOOKUP(A848,'Dados Funil'!$A:$A,'Dados Funil'!$L:$L,"")</f>
        <v/>
      </c>
      <c r="G848" s="4"/>
      <c r="H848" s="4"/>
      <c r="I848" s="7" t="str">
        <f t="shared" si="2"/>
        <v/>
      </c>
      <c r="J848" s="4" t="str">
        <f t="shared" si="10"/>
        <v/>
      </c>
      <c r="K848" s="4" t="str">
        <f t="array" ref="K848">XLOOKUP(G848,'Dados Funil'!A:A,'Dados Funil'!O:O,"")</f>
        <v/>
      </c>
      <c r="L848" s="4"/>
      <c r="M848" s="4"/>
      <c r="N848" s="7" t="str">
        <f t="shared" si="3"/>
        <v/>
      </c>
      <c r="O848" s="4" t="str">
        <f t="shared" si="11"/>
        <v/>
      </c>
      <c r="P848" s="4" t="str">
        <f t="array" ref="P848">XLOOKUP(L848,'Dados Funil'!A:A,'Dados Funil'!AM:AM,"")</f>
        <v/>
      </c>
      <c r="Q848" s="4" t="str">
        <f t="array" ref="Q848">XLOOKUP(L848,'Dados Funil'!A:A,'Dados Funil'!AN:AN,"")</f>
        <v/>
      </c>
      <c r="T848" s="7" t="str">
        <f t="shared" si="4"/>
        <v/>
      </c>
      <c r="U848" s="4" t="str">
        <f t="shared" si="12"/>
        <v/>
      </c>
      <c r="V848" s="4" t="str">
        <f t="array" ref="V848">XLOOKUP(R848,'Dados Funil'!$A:$A,'Dados Funil'!$K:$K,"")</f>
        <v/>
      </c>
      <c r="W848" s="4" t="str">
        <f t="array" ref="W848">XLOOKUP(R848,'Dados Funil'!$A:$A,'Dados Funil'!$L:$L,"")</f>
        <v/>
      </c>
      <c r="X848" s="4"/>
      <c r="Y848" s="4"/>
      <c r="Z848" s="7" t="str">
        <f t="shared" si="5"/>
        <v/>
      </c>
      <c r="AA848" s="4" t="str">
        <f t="shared" si="13"/>
        <v/>
      </c>
      <c r="AB848" s="4" t="str">
        <f t="array" ref="AB848">XLOOKUP(X848,'Dados Funil'!A:A,'Dados Funil'!O:O,"")</f>
        <v/>
      </c>
      <c r="AE848" s="7" t="str">
        <f t="shared" si="6"/>
        <v/>
      </c>
      <c r="AG848" s="4" t="str">
        <f t="array" ref="AG848">XLOOKUP(AC848,'Dados Funil'!A:A,'Dados Funil'!AM:AM,"")</f>
        <v/>
      </c>
      <c r="AH848" s="4" t="str">
        <f t="array" ref="AH848">XLOOKUP(AC848,'Dados Funil'!A:A,'Dados Funil'!AN:AN,"")</f>
        <v/>
      </c>
    </row>
    <row r="849">
      <c r="A849" s="4"/>
      <c r="B849" s="4"/>
      <c r="C849" s="7" t="str">
        <f t="shared" si="1"/>
        <v/>
      </c>
      <c r="D849" s="4" t="str">
        <f t="shared" si="9"/>
        <v/>
      </c>
      <c r="E849" s="4" t="str">
        <f t="array" ref="E849">XLOOKUP(A849,'Dados Funil'!$A:$A,'Dados Funil'!$K:$K,"")</f>
        <v/>
      </c>
      <c r="F849" s="4" t="str">
        <f t="array" ref="F849">XLOOKUP(A849,'Dados Funil'!$A:$A,'Dados Funil'!$L:$L,"")</f>
        <v/>
      </c>
      <c r="G849" s="4"/>
      <c r="H849" s="4"/>
      <c r="I849" s="7" t="str">
        <f t="shared" si="2"/>
        <v/>
      </c>
      <c r="J849" s="4" t="str">
        <f t="shared" si="10"/>
        <v/>
      </c>
      <c r="K849" s="4" t="str">
        <f t="array" ref="K849">XLOOKUP(G849,'Dados Funil'!A:A,'Dados Funil'!O:O,"")</f>
        <v/>
      </c>
      <c r="L849" s="4"/>
      <c r="M849" s="4"/>
      <c r="N849" s="7" t="str">
        <f t="shared" si="3"/>
        <v/>
      </c>
      <c r="O849" s="4" t="str">
        <f t="shared" si="11"/>
        <v/>
      </c>
      <c r="P849" s="4" t="str">
        <f t="array" ref="P849">XLOOKUP(L849,'Dados Funil'!A:A,'Dados Funil'!AM:AM,"")</f>
        <v/>
      </c>
      <c r="Q849" s="4" t="str">
        <f t="array" ref="Q849">XLOOKUP(L849,'Dados Funil'!A:A,'Dados Funil'!AN:AN,"")</f>
        <v/>
      </c>
      <c r="T849" s="7" t="str">
        <f t="shared" si="4"/>
        <v/>
      </c>
      <c r="U849" s="4" t="str">
        <f t="shared" si="12"/>
        <v/>
      </c>
      <c r="V849" s="4" t="str">
        <f t="array" ref="V849">XLOOKUP(R849,'Dados Funil'!$A:$A,'Dados Funil'!$K:$K,"")</f>
        <v/>
      </c>
      <c r="W849" s="4" t="str">
        <f t="array" ref="W849">XLOOKUP(R849,'Dados Funil'!$A:$A,'Dados Funil'!$L:$L,"")</f>
        <v/>
      </c>
      <c r="X849" s="4"/>
      <c r="Y849" s="4"/>
      <c r="Z849" s="7" t="str">
        <f t="shared" si="5"/>
        <v/>
      </c>
      <c r="AA849" s="4" t="str">
        <f t="shared" si="13"/>
        <v/>
      </c>
      <c r="AB849" s="4" t="str">
        <f t="array" ref="AB849">XLOOKUP(X849,'Dados Funil'!A:A,'Dados Funil'!O:O,"")</f>
        <v/>
      </c>
      <c r="AE849" s="7" t="str">
        <f t="shared" si="6"/>
        <v/>
      </c>
      <c r="AG849" s="4" t="str">
        <f t="array" ref="AG849">XLOOKUP(AC849,'Dados Funil'!A:A,'Dados Funil'!AM:AM,"")</f>
        <v/>
      </c>
      <c r="AH849" s="4" t="str">
        <f t="array" ref="AH849">XLOOKUP(AC849,'Dados Funil'!A:A,'Dados Funil'!AN:AN,"")</f>
        <v/>
      </c>
    </row>
    <row r="850">
      <c r="A850" s="4"/>
      <c r="B850" s="4"/>
      <c r="C850" s="7" t="str">
        <f t="shared" si="1"/>
        <v/>
      </c>
      <c r="D850" s="4" t="str">
        <f t="shared" si="9"/>
        <v/>
      </c>
      <c r="E850" s="4" t="str">
        <f t="array" ref="E850">XLOOKUP(A850,'Dados Funil'!$A:$A,'Dados Funil'!$K:$K,"")</f>
        <v/>
      </c>
      <c r="F850" s="4" t="str">
        <f t="array" ref="F850">XLOOKUP(A850,'Dados Funil'!$A:$A,'Dados Funil'!$L:$L,"")</f>
        <v/>
      </c>
      <c r="G850" s="4"/>
      <c r="H850" s="4"/>
      <c r="I850" s="7" t="str">
        <f t="shared" si="2"/>
        <v/>
      </c>
      <c r="J850" s="4" t="str">
        <f t="shared" si="10"/>
        <v/>
      </c>
      <c r="K850" s="4" t="str">
        <f t="array" ref="K850">XLOOKUP(G850,'Dados Funil'!A:A,'Dados Funil'!O:O,"")</f>
        <v/>
      </c>
      <c r="L850" s="4"/>
      <c r="M850" s="4"/>
      <c r="N850" s="7" t="str">
        <f t="shared" si="3"/>
        <v/>
      </c>
      <c r="O850" s="4" t="str">
        <f t="shared" si="11"/>
        <v/>
      </c>
      <c r="P850" s="4" t="str">
        <f t="array" ref="P850">XLOOKUP(L850,'Dados Funil'!A:A,'Dados Funil'!AM:AM,"")</f>
        <v/>
      </c>
      <c r="Q850" s="4" t="str">
        <f t="array" ref="Q850">XLOOKUP(L850,'Dados Funil'!A:A,'Dados Funil'!AN:AN,"")</f>
        <v/>
      </c>
      <c r="T850" s="7" t="str">
        <f t="shared" si="4"/>
        <v/>
      </c>
      <c r="U850" s="4" t="str">
        <f t="shared" si="12"/>
        <v/>
      </c>
      <c r="V850" s="4" t="str">
        <f t="array" ref="V850">XLOOKUP(R850,'Dados Funil'!$A:$A,'Dados Funil'!$K:$K,"")</f>
        <v/>
      </c>
      <c r="W850" s="4" t="str">
        <f t="array" ref="W850">XLOOKUP(R850,'Dados Funil'!$A:$A,'Dados Funil'!$L:$L,"")</f>
        <v/>
      </c>
      <c r="X850" s="4"/>
      <c r="Y850" s="4"/>
      <c r="Z850" s="7" t="str">
        <f t="shared" si="5"/>
        <v/>
      </c>
      <c r="AA850" s="4" t="str">
        <f t="shared" si="13"/>
        <v/>
      </c>
      <c r="AB850" s="4" t="str">
        <f t="array" ref="AB850">XLOOKUP(X850,'Dados Funil'!A:A,'Dados Funil'!O:O,"")</f>
        <v/>
      </c>
      <c r="AE850" s="7" t="str">
        <f t="shared" si="6"/>
        <v/>
      </c>
      <c r="AG850" s="4" t="str">
        <f t="array" ref="AG850">XLOOKUP(AC850,'Dados Funil'!A:A,'Dados Funil'!AM:AM,"")</f>
        <v/>
      </c>
      <c r="AH850" s="4" t="str">
        <f t="array" ref="AH850">XLOOKUP(AC850,'Dados Funil'!A:A,'Dados Funil'!AN:AN,"")</f>
        <v/>
      </c>
    </row>
    <row r="851">
      <c r="A851" s="4"/>
      <c r="B851" s="4"/>
      <c r="C851" s="7" t="str">
        <f t="shared" si="1"/>
        <v/>
      </c>
      <c r="D851" s="4" t="str">
        <f t="shared" si="9"/>
        <v/>
      </c>
      <c r="E851" s="4" t="str">
        <f t="array" ref="E851">XLOOKUP(A851,'Dados Funil'!$A:$A,'Dados Funil'!$K:$K,"")</f>
        <v/>
      </c>
      <c r="F851" s="4" t="str">
        <f t="array" ref="F851">XLOOKUP(A851,'Dados Funil'!$A:$A,'Dados Funil'!$L:$L,"")</f>
        <v/>
      </c>
      <c r="G851" s="4"/>
      <c r="H851" s="4"/>
      <c r="I851" s="7" t="str">
        <f t="shared" si="2"/>
        <v/>
      </c>
      <c r="J851" s="4" t="str">
        <f t="shared" si="10"/>
        <v/>
      </c>
      <c r="K851" s="4" t="str">
        <f t="array" ref="K851">XLOOKUP(G851,'Dados Funil'!A:A,'Dados Funil'!O:O,"")</f>
        <v/>
      </c>
      <c r="L851" s="4"/>
      <c r="M851" s="4"/>
      <c r="N851" s="7" t="str">
        <f t="shared" si="3"/>
        <v/>
      </c>
      <c r="O851" s="4" t="str">
        <f t="shared" si="11"/>
        <v/>
      </c>
      <c r="P851" s="4" t="str">
        <f t="array" ref="P851">XLOOKUP(L851,'Dados Funil'!A:A,'Dados Funil'!AM:AM,"")</f>
        <v/>
      </c>
      <c r="Q851" s="4" t="str">
        <f t="array" ref="Q851">XLOOKUP(L851,'Dados Funil'!A:A,'Dados Funil'!AN:AN,"")</f>
        <v/>
      </c>
      <c r="T851" s="7" t="str">
        <f t="shared" si="4"/>
        <v/>
      </c>
      <c r="U851" s="4" t="str">
        <f t="shared" si="12"/>
        <v/>
      </c>
      <c r="V851" s="4" t="str">
        <f t="array" ref="V851">XLOOKUP(R851,'Dados Funil'!$A:$A,'Dados Funil'!$K:$K,"")</f>
        <v/>
      </c>
      <c r="W851" s="4" t="str">
        <f t="array" ref="W851">XLOOKUP(R851,'Dados Funil'!$A:$A,'Dados Funil'!$L:$L,"")</f>
        <v/>
      </c>
      <c r="X851" s="4"/>
      <c r="Y851" s="4"/>
      <c r="Z851" s="7" t="str">
        <f t="shared" si="5"/>
        <v/>
      </c>
      <c r="AA851" s="4" t="str">
        <f t="shared" si="13"/>
        <v/>
      </c>
      <c r="AB851" s="4" t="str">
        <f t="array" ref="AB851">XLOOKUP(X851,'Dados Funil'!A:A,'Dados Funil'!O:O,"")</f>
        <v/>
      </c>
      <c r="AE851" s="7" t="str">
        <f t="shared" si="6"/>
        <v/>
      </c>
      <c r="AG851" s="4" t="str">
        <f t="array" ref="AG851">XLOOKUP(AC851,'Dados Funil'!A:A,'Dados Funil'!AM:AM,"")</f>
        <v/>
      </c>
      <c r="AH851" s="4" t="str">
        <f t="array" ref="AH851">XLOOKUP(AC851,'Dados Funil'!A:A,'Dados Funil'!AN:AN,"")</f>
        <v/>
      </c>
    </row>
    <row r="852">
      <c r="A852" s="4"/>
      <c r="B852" s="4"/>
      <c r="C852" s="7" t="str">
        <f t="shared" si="1"/>
        <v/>
      </c>
      <c r="D852" s="4" t="str">
        <f t="shared" si="9"/>
        <v/>
      </c>
      <c r="E852" s="4" t="str">
        <f t="array" ref="E852">XLOOKUP(A852,'Dados Funil'!$A:$A,'Dados Funil'!$K:$K,"")</f>
        <v/>
      </c>
      <c r="F852" s="4" t="str">
        <f t="array" ref="F852">XLOOKUP(A852,'Dados Funil'!$A:$A,'Dados Funil'!$L:$L,"")</f>
        <v/>
      </c>
      <c r="G852" s="4"/>
      <c r="H852" s="4"/>
      <c r="I852" s="7" t="str">
        <f t="shared" si="2"/>
        <v/>
      </c>
      <c r="J852" s="4" t="str">
        <f t="shared" si="10"/>
        <v/>
      </c>
      <c r="K852" s="4" t="str">
        <f t="array" ref="K852">XLOOKUP(G852,'Dados Funil'!A:A,'Dados Funil'!O:O,"")</f>
        <v/>
      </c>
      <c r="L852" s="4"/>
      <c r="M852" s="4"/>
      <c r="N852" s="7" t="str">
        <f t="shared" si="3"/>
        <v/>
      </c>
      <c r="O852" s="4" t="str">
        <f t="shared" si="11"/>
        <v/>
      </c>
      <c r="P852" s="4" t="str">
        <f t="array" ref="P852">XLOOKUP(L852,'Dados Funil'!A:A,'Dados Funil'!AM:AM,"")</f>
        <v/>
      </c>
      <c r="Q852" s="4" t="str">
        <f t="array" ref="Q852">XLOOKUP(L852,'Dados Funil'!A:A,'Dados Funil'!AN:AN,"")</f>
        <v/>
      </c>
      <c r="T852" s="7" t="str">
        <f t="shared" si="4"/>
        <v/>
      </c>
      <c r="U852" s="4" t="str">
        <f t="shared" si="12"/>
        <v/>
      </c>
      <c r="V852" s="4" t="str">
        <f t="array" ref="V852">XLOOKUP(R852,'Dados Funil'!$A:$A,'Dados Funil'!$K:$K,"")</f>
        <v/>
      </c>
      <c r="W852" s="4" t="str">
        <f t="array" ref="W852">XLOOKUP(R852,'Dados Funil'!$A:$A,'Dados Funil'!$L:$L,"")</f>
        <v/>
      </c>
      <c r="X852" s="4"/>
      <c r="Y852" s="4"/>
      <c r="Z852" s="7" t="str">
        <f t="shared" si="5"/>
        <v/>
      </c>
      <c r="AA852" s="4" t="str">
        <f t="shared" si="13"/>
        <v/>
      </c>
      <c r="AB852" s="4" t="str">
        <f t="array" ref="AB852">XLOOKUP(X852,'Dados Funil'!A:A,'Dados Funil'!O:O,"")</f>
        <v/>
      </c>
      <c r="AE852" s="7" t="str">
        <f t="shared" si="6"/>
        <v/>
      </c>
      <c r="AG852" s="4" t="str">
        <f t="array" ref="AG852">XLOOKUP(AC852,'Dados Funil'!A:A,'Dados Funil'!AM:AM,"")</f>
        <v/>
      </c>
      <c r="AH852" s="4" t="str">
        <f t="array" ref="AH852">XLOOKUP(AC852,'Dados Funil'!A:A,'Dados Funil'!AN:AN,"")</f>
        <v/>
      </c>
    </row>
    <row r="853">
      <c r="A853" s="4"/>
      <c r="B853" s="4"/>
      <c r="C853" s="7" t="str">
        <f t="shared" si="1"/>
        <v/>
      </c>
      <c r="D853" s="4" t="str">
        <f t="shared" si="9"/>
        <v/>
      </c>
      <c r="E853" s="4" t="str">
        <f t="array" ref="E853">XLOOKUP(A853,'Dados Funil'!$A:$A,'Dados Funil'!$K:$K,"")</f>
        <v/>
      </c>
      <c r="F853" s="4" t="str">
        <f t="array" ref="F853">XLOOKUP(A853,'Dados Funil'!$A:$A,'Dados Funil'!$L:$L,"")</f>
        <v/>
      </c>
      <c r="G853" s="4"/>
      <c r="H853" s="4"/>
      <c r="I853" s="7" t="str">
        <f t="shared" si="2"/>
        <v/>
      </c>
      <c r="J853" s="4" t="str">
        <f t="shared" si="10"/>
        <v/>
      </c>
      <c r="K853" s="4" t="str">
        <f t="array" ref="K853">XLOOKUP(G853,'Dados Funil'!A:A,'Dados Funil'!O:O,"")</f>
        <v/>
      </c>
      <c r="L853" s="4"/>
      <c r="M853" s="4"/>
      <c r="N853" s="7" t="str">
        <f t="shared" si="3"/>
        <v/>
      </c>
      <c r="O853" s="4" t="str">
        <f t="shared" si="11"/>
        <v/>
      </c>
      <c r="P853" s="4" t="str">
        <f t="array" ref="P853">XLOOKUP(L853,'Dados Funil'!A:A,'Dados Funil'!AM:AM,"")</f>
        <v/>
      </c>
      <c r="Q853" s="4" t="str">
        <f t="array" ref="Q853">XLOOKUP(L853,'Dados Funil'!A:A,'Dados Funil'!AN:AN,"")</f>
        <v/>
      </c>
      <c r="T853" s="7" t="str">
        <f t="shared" si="4"/>
        <v/>
      </c>
      <c r="U853" s="4" t="str">
        <f t="shared" si="12"/>
        <v/>
      </c>
      <c r="V853" s="4" t="str">
        <f t="array" ref="V853">XLOOKUP(R853,'Dados Funil'!$A:$A,'Dados Funil'!$K:$K,"")</f>
        <v/>
      </c>
      <c r="W853" s="4" t="str">
        <f t="array" ref="W853">XLOOKUP(R853,'Dados Funil'!$A:$A,'Dados Funil'!$L:$L,"")</f>
        <v/>
      </c>
      <c r="X853" s="4"/>
      <c r="Y853" s="4"/>
      <c r="Z853" s="7" t="str">
        <f t="shared" si="5"/>
        <v/>
      </c>
      <c r="AA853" s="4" t="str">
        <f t="shared" si="13"/>
        <v/>
      </c>
      <c r="AB853" s="4" t="str">
        <f t="array" ref="AB853">XLOOKUP(X853,'Dados Funil'!A:A,'Dados Funil'!O:O,"")</f>
        <v/>
      </c>
      <c r="AE853" s="7" t="str">
        <f t="shared" si="6"/>
        <v/>
      </c>
      <c r="AG853" s="4" t="str">
        <f t="array" ref="AG853">XLOOKUP(AC853,'Dados Funil'!A:A,'Dados Funil'!AM:AM,"")</f>
        <v/>
      </c>
      <c r="AH853" s="4" t="str">
        <f t="array" ref="AH853">XLOOKUP(AC853,'Dados Funil'!A:A,'Dados Funil'!AN:AN,"")</f>
        <v/>
      </c>
    </row>
    <row r="854">
      <c r="A854" s="4"/>
      <c r="B854" s="4"/>
      <c r="C854" s="7" t="str">
        <f t="shared" si="1"/>
        <v/>
      </c>
      <c r="D854" s="4" t="str">
        <f t="shared" si="9"/>
        <v/>
      </c>
      <c r="E854" s="4" t="str">
        <f t="array" ref="E854">XLOOKUP(A854,'Dados Funil'!$A:$A,'Dados Funil'!$K:$K,"")</f>
        <v/>
      </c>
      <c r="F854" s="4" t="str">
        <f t="array" ref="F854">XLOOKUP(A854,'Dados Funil'!$A:$A,'Dados Funil'!$L:$L,"")</f>
        <v/>
      </c>
      <c r="G854" s="4"/>
      <c r="H854" s="4"/>
      <c r="I854" s="7" t="str">
        <f t="shared" si="2"/>
        <v/>
      </c>
      <c r="J854" s="4" t="str">
        <f t="shared" si="10"/>
        <v/>
      </c>
      <c r="K854" s="4" t="str">
        <f t="array" ref="K854">XLOOKUP(G854,'Dados Funil'!A:A,'Dados Funil'!O:O,"")</f>
        <v/>
      </c>
      <c r="L854" s="4"/>
      <c r="M854" s="4"/>
      <c r="N854" s="7" t="str">
        <f t="shared" si="3"/>
        <v/>
      </c>
      <c r="O854" s="4" t="str">
        <f t="shared" si="11"/>
        <v/>
      </c>
      <c r="P854" s="4" t="str">
        <f t="array" ref="P854">XLOOKUP(L854,'Dados Funil'!A:A,'Dados Funil'!AM:AM,"")</f>
        <v/>
      </c>
      <c r="Q854" s="4" t="str">
        <f t="array" ref="Q854">XLOOKUP(L854,'Dados Funil'!A:A,'Dados Funil'!AN:AN,"")</f>
        <v/>
      </c>
      <c r="T854" s="7" t="str">
        <f t="shared" si="4"/>
        <v/>
      </c>
      <c r="U854" s="4" t="str">
        <f t="shared" si="12"/>
        <v/>
      </c>
      <c r="V854" s="4" t="str">
        <f t="array" ref="V854">XLOOKUP(R854,'Dados Funil'!$A:$A,'Dados Funil'!$K:$K,"")</f>
        <v/>
      </c>
      <c r="W854" s="4" t="str">
        <f t="array" ref="W854">XLOOKUP(R854,'Dados Funil'!$A:$A,'Dados Funil'!$L:$L,"")</f>
        <v/>
      </c>
      <c r="X854" s="4"/>
      <c r="Y854" s="4"/>
      <c r="Z854" s="7" t="str">
        <f t="shared" si="5"/>
        <v/>
      </c>
      <c r="AA854" s="4" t="str">
        <f t="shared" si="13"/>
        <v/>
      </c>
      <c r="AB854" s="4" t="str">
        <f t="array" ref="AB854">XLOOKUP(X854,'Dados Funil'!A:A,'Dados Funil'!O:O,"")</f>
        <v/>
      </c>
      <c r="AE854" s="7" t="str">
        <f t="shared" si="6"/>
        <v/>
      </c>
      <c r="AG854" s="4" t="str">
        <f t="array" ref="AG854">XLOOKUP(AC854,'Dados Funil'!A:A,'Dados Funil'!AM:AM,"")</f>
        <v/>
      </c>
      <c r="AH854" s="4" t="str">
        <f t="array" ref="AH854">XLOOKUP(AC854,'Dados Funil'!A:A,'Dados Funil'!AN:AN,"")</f>
        <v/>
      </c>
    </row>
    <row r="855">
      <c r="A855" s="4"/>
      <c r="B855" s="4"/>
      <c r="C855" s="7" t="str">
        <f t="shared" si="1"/>
        <v/>
      </c>
      <c r="D855" s="4" t="str">
        <f t="shared" si="9"/>
        <v/>
      </c>
      <c r="E855" s="4" t="str">
        <f t="array" ref="E855">XLOOKUP(A855,'Dados Funil'!$A:$A,'Dados Funil'!$K:$K,"")</f>
        <v/>
      </c>
      <c r="F855" s="4" t="str">
        <f t="array" ref="F855">XLOOKUP(A855,'Dados Funil'!$A:$A,'Dados Funil'!$L:$L,"")</f>
        <v/>
      </c>
      <c r="G855" s="4"/>
      <c r="H855" s="4"/>
      <c r="I855" s="7" t="str">
        <f t="shared" si="2"/>
        <v/>
      </c>
      <c r="J855" s="4" t="str">
        <f t="shared" si="10"/>
        <v/>
      </c>
      <c r="K855" s="4" t="str">
        <f t="array" ref="K855">XLOOKUP(G855,'Dados Funil'!A:A,'Dados Funil'!O:O,"")</f>
        <v/>
      </c>
      <c r="L855" s="4"/>
      <c r="M855" s="4"/>
      <c r="N855" s="7" t="str">
        <f t="shared" si="3"/>
        <v/>
      </c>
      <c r="O855" s="4" t="str">
        <f t="shared" si="11"/>
        <v/>
      </c>
      <c r="P855" s="4" t="str">
        <f t="array" ref="P855">XLOOKUP(L855,'Dados Funil'!A:A,'Dados Funil'!AM:AM,"")</f>
        <v/>
      </c>
      <c r="Q855" s="4" t="str">
        <f t="array" ref="Q855">XLOOKUP(L855,'Dados Funil'!A:A,'Dados Funil'!AN:AN,"")</f>
        <v/>
      </c>
      <c r="T855" s="7" t="str">
        <f t="shared" si="4"/>
        <v/>
      </c>
      <c r="U855" s="4" t="str">
        <f t="shared" si="12"/>
        <v/>
      </c>
      <c r="V855" s="4" t="str">
        <f t="array" ref="V855">XLOOKUP(R855,'Dados Funil'!$A:$A,'Dados Funil'!$K:$K,"")</f>
        <v/>
      </c>
      <c r="W855" s="4" t="str">
        <f t="array" ref="W855">XLOOKUP(R855,'Dados Funil'!$A:$A,'Dados Funil'!$L:$L,"")</f>
        <v/>
      </c>
      <c r="X855" s="4"/>
      <c r="Y855" s="4"/>
      <c r="Z855" s="7" t="str">
        <f t="shared" si="5"/>
        <v/>
      </c>
      <c r="AA855" s="4" t="str">
        <f t="shared" si="13"/>
        <v/>
      </c>
      <c r="AB855" s="4" t="str">
        <f t="array" ref="AB855">XLOOKUP(X855,'Dados Funil'!A:A,'Dados Funil'!O:O,"")</f>
        <v/>
      </c>
      <c r="AE855" s="7" t="str">
        <f t="shared" si="6"/>
        <v/>
      </c>
      <c r="AG855" s="4" t="str">
        <f t="array" ref="AG855">XLOOKUP(AC855,'Dados Funil'!A:A,'Dados Funil'!AM:AM,"")</f>
        <v/>
      </c>
      <c r="AH855" s="4" t="str">
        <f t="array" ref="AH855">XLOOKUP(AC855,'Dados Funil'!A:A,'Dados Funil'!AN:AN,"")</f>
        <v/>
      </c>
    </row>
    <row r="856">
      <c r="A856" s="4"/>
      <c r="B856" s="4"/>
      <c r="C856" s="7" t="str">
        <f t="shared" si="1"/>
        <v/>
      </c>
      <c r="D856" s="4" t="str">
        <f t="shared" si="9"/>
        <v/>
      </c>
      <c r="E856" s="4" t="str">
        <f t="array" ref="E856">XLOOKUP(A856,'Dados Funil'!$A:$A,'Dados Funil'!$K:$K,"")</f>
        <v/>
      </c>
      <c r="F856" s="4" t="str">
        <f t="array" ref="F856">XLOOKUP(A856,'Dados Funil'!$A:$A,'Dados Funil'!$L:$L,"")</f>
        <v/>
      </c>
      <c r="G856" s="4"/>
      <c r="H856" s="4"/>
      <c r="I856" s="7" t="str">
        <f t="shared" si="2"/>
        <v/>
      </c>
      <c r="J856" s="4" t="str">
        <f t="shared" si="10"/>
        <v/>
      </c>
      <c r="K856" s="4" t="str">
        <f t="array" ref="K856">XLOOKUP(G856,'Dados Funil'!A:A,'Dados Funil'!O:O,"")</f>
        <v/>
      </c>
      <c r="L856" s="4"/>
      <c r="M856" s="4"/>
      <c r="N856" s="7" t="str">
        <f t="shared" si="3"/>
        <v/>
      </c>
      <c r="O856" s="4" t="str">
        <f t="shared" si="11"/>
        <v/>
      </c>
      <c r="P856" s="4" t="str">
        <f t="array" ref="P856">XLOOKUP(L856,'Dados Funil'!A:A,'Dados Funil'!AM:AM,"")</f>
        <v/>
      </c>
      <c r="Q856" s="4" t="str">
        <f t="array" ref="Q856">XLOOKUP(L856,'Dados Funil'!A:A,'Dados Funil'!AN:AN,"")</f>
        <v/>
      </c>
      <c r="T856" s="7" t="str">
        <f t="shared" si="4"/>
        <v/>
      </c>
      <c r="U856" s="4" t="str">
        <f t="shared" si="12"/>
        <v/>
      </c>
      <c r="V856" s="4" t="str">
        <f t="array" ref="V856">XLOOKUP(R856,'Dados Funil'!$A:$A,'Dados Funil'!$K:$K,"")</f>
        <v/>
      </c>
      <c r="W856" s="4" t="str">
        <f t="array" ref="W856">XLOOKUP(R856,'Dados Funil'!$A:$A,'Dados Funil'!$L:$L,"")</f>
        <v/>
      </c>
      <c r="X856" s="4"/>
      <c r="Y856" s="4"/>
      <c r="Z856" s="7" t="str">
        <f t="shared" si="5"/>
        <v/>
      </c>
      <c r="AA856" s="4" t="str">
        <f t="shared" si="13"/>
        <v/>
      </c>
      <c r="AB856" s="4" t="str">
        <f t="array" ref="AB856">XLOOKUP(X856,'Dados Funil'!A:A,'Dados Funil'!O:O,"")</f>
        <v/>
      </c>
      <c r="AE856" s="7" t="str">
        <f t="shared" si="6"/>
        <v/>
      </c>
      <c r="AG856" s="4" t="str">
        <f t="array" ref="AG856">XLOOKUP(AC856,'Dados Funil'!A:A,'Dados Funil'!AM:AM,"")</f>
        <v/>
      </c>
      <c r="AH856" s="4" t="str">
        <f t="array" ref="AH856">XLOOKUP(AC856,'Dados Funil'!A:A,'Dados Funil'!AN:AN,"")</f>
        <v/>
      </c>
    </row>
    <row r="857">
      <c r="A857" s="4"/>
      <c r="B857" s="4"/>
      <c r="C857" s="7" t="str">
        <f t="shared" si="1"/>
        <v/>
      </c>
      <c r="D857" s="4" t="str">
        <f t="shared" si="9"/>
        <v/>
      </c>
      <c r="E857" s="4" t="str">
        <f t="array" ref="E857">XLOOKUP(A857,'Dados Funil'!$A:$A,'Dados Funil'!$K:$K,"")</f>
        <v/>
      </c>
      <c r="F857" s="4" t="str">
        <f t="array" ref="F857">XLOOKUP(A857,'Dados Funil'!$A:$A,'Dados Funil'!$L:$L,"")</f>
        <v/>
      </c>
      <c r="G857" s="4"/>
      <c r="H857" s="4"/>
      <c r="I857" s="7" t="str">
        <f t="shared" si="2"/>
        <v/>
      </c>
      <c r="J857" s="4" t="str">
        <f t="shared" si="10"/>
        <v/>
      </c>
      <c r="K857" s="4" t="str">
        <f t="array" ref="K857">XLOOKUP(G857,'Dados Funil'!A:A,'Dados Funil'!O:O,"")</f>
        <v/>
      </c>
      <c r="L857" s="4"/>
      <c r="M857" s="4"/>
      <c r="N857" s="7" t="str">
        <f t="shared" si="3"/>
        <v/>
      </c>
      <c r="O857" s="4" t="str">
        <f t="shared" si="11"/>
        <v/>
      </c>
      <c r="P857" s="4" t="str">
        <f t="array" ref="P857">XLOOKUP(L857,'Dados Funil'!A:A,'Dados Funil'!AM:AM,"")</f>
        <v/>
      </c>
      <c r="Q857" s="4" t="str">
        <f t="array" ref="Q857">XLOOKUP(L857,'Dados Funil'!A:A,'Dados Funil'!AN:AN,"")</f>
        <v/>
      </c>
      <c r="T857" s="7" t="str">
        <f t="shared" si="4"/>
        <v/>
      </c>
      <c r="U857" s="4" t="str">
        <f t="shared" si="12"/>
        <v/>
      </c>
      <c r="V857" s="4" t="str">
        <f t="array" ref="V857">XLOOKUP(R857,'Dados Funil'!$A:$A,'Dados Funil'!$K:$K,"")</f>
        <v/>
      </c>
      <c r="W857" s="4" t="str">
        <f t="array" ref="W857">XLOOKUP(R857,'Dados Funil'!$A:$A,'Dados Funil'!$L:$L,"")</f>
        <v/>
      </c>
      <c r="X857" s="4"/>
      <c r="Y857" s="4"/>
      <c r="Z857" s="7" t="str">
        <f t="shared" si="5"/>
        <v/>
      </c>
      <c r="AA857" s="4" t="str">
        <f t="shared" si="13"/>
        <v/>
      </c>
      <c r="AB857" s="4" t="str">
        <f t="array" ref="AB857">XLOOKUP(X857,'Dados Funil'!A:A,'Dados Funil'!O:O,"")</f>
        <v/>
      </c>
      <c r="AE857" s="7" t="str">
        <f t="shared" si="6"/>
        <v/>
      </c>
      <c r="AG857" s="4" t="str">
        <f t="array" ref="AG857">XLOOKUP(AC857,'Dados Funil'!A:A,'Dados Funil'!AM:AM,"")</f>
        <v/>
      </c>
      <c r="AH857" s="4" t="str">
        <f t="array" ref="AH857">XLOOKUP(AC857,'Dados Funil'!A:A,'Dados Funil'!AN:AN,"")</f>
        <v/>
      </c>
    </row>
    <row r="858">
      <c r="A858" s="4"/>
      <c r="B858" s="4"/>
      <c r="C858" s="7" t="str">
        <f t="shared" si="1"/>
        <v/>
      </c>
      <c r="D858" s="4" t="str">
        <f t="shared" si="9"/>
        <v/>
      </c>
      <c r="E858" s="4" t="str">
        <f t="array" ref="E858">XLOOKUP(A858,'Dados Funil'!$A:$A,'Dados Funil'!$K:$K,"")</f>
        <v/>
      </c>
      <c r="F858" s="4" t="str">
        <f t="array" ref="F858">XLOOKUP(A858,'Dados Funil'!$A:$A,'Dados Funil'!$L:$L,"")</f>
        <v/>
      </c>
      <c r="G858" s="4"/>
      <c r="H858" s="4"/>
      <c r="I858" s="7" t="str">
        <f t="shared" si="2"/>
        <v/>
      </c>
      <c r="J858" s="4" t="str">
        <f t="shared" si="10"/>
        <v/>
      </c>
      <c r="K858" s="4" t="str">
        <f t="array" ref="K858">XLOOKUP(G858,'Dados Funil'!A:A,'Dados Funil'!O:O,"")</f>
        <v/>
      </c>
      <c r="L858" s="4"/>
      <c r="M858" s="4"/>
      <c r="N858" s="7" t="str">
        <f t="shared" si="3"/>
        <v/>
      </c>
      <c r="O858" s="4" t="str">
        <f t="shared" si="11"/>
        <v/>
      </c>
      <c r="P858" s="4" t="str">
        <f t="array" ref="P858">XLOOKUP(L858,'Dados Funil'!A:A,'Dados Funil'!AM:AM,"")</f>
        <v/>
      </c>
      <c r="Q858" s="4" t="str">
        <f t="array" ref="Q858">XLOOKUP(L858,'Dados Funil'!A:A,'Dados Funil'!AN:AN,"")</f>
        <v/>
      </c>
      <c r="T858" s="7" t="str">
        <f t="shared" si="4"/>
        <v/>
      </c>
      <c r="U858" s="4" t="str">
        <f t="shared" si="12"/>
        <v/>
      </c>
      <c r="V858" s="4" t="str">
        <f t="array" ref="V858">XLOOKUP(R858,'Dados Funil'!$A:$A,'Dados Funil'!$K:$K,"")</f>
        <v/>
      </c>
      <c r="W858" s="4" t="str">
        <f t="array" ref="W858">XLOOKUP(R858,'Dados Funil'!$A:$A,'Dados Funil'!$L:$L,"")</f>
        <v/>
      </c>
      <c r="X858" s="4"/>
      <c r="Y858" s="4"/>
      <c r="Z858" s="7" t="str">
        <f t="shared" si="5"/>
        <v/>
      </c>
      <c r="AA858" s="4" t="str">
        <f t="shared" si="13"/>
        <v/>
      </c>
      <c r="AB858" s="4" t="str">
        <f t="array" ref="AB858">XLOOKUP(X858,'Dados Funil'!A:A,'Dados Funil'!O:O,"")</f>
        <v/>
      </c>
      <c r="AE858" s="7" t="str">
        <f t="shared" si="6"/>
        <v/>
      </c>
      <c r="AG858" s="4" t="str">
        <f t="array" ref="AG858">XLOOKUP(AC858,'Dados Funil'!A:A,'Dados Funil'!AM:AM,"")</f>
        <v/>
      </c>
      <c r="AH858" s="4" t="str">
        <f t="array" ref="AH858">XLOOKUP(AC858,'Dados Funil'!A:A,'Dados Funil'!AN:AN,"")</f>
        <v/>
      </c>
    </row>
    <row r="859">
      <c r="A859" s="4"/>
      <c r="B859" s="4"/>
      <c r="C859" s="7" t="str">
        <f t="shared" si="1"/>
        <v/>
      </c>
      <c r="D859" s="4" t="str">
        <f t="shared" si="9"/>
        <v/>
      </c>
      <c r="E859" s="4" t="str">
        <f t="array" ref="E859">XLOOKUP(A859,'Dados Funil'!$A:$A,'Dados Funil'!$K:$K,"")</f>
        <v/>
      </c>
      <c r="F859" s="4" t="str">
        <f t="array" ref="F859">XLOOKUP(A859,'Dados Funil'!$A:$A,'Dados Funil'!$L:$L,"")</f>
        <v/>
      </c>
      <c r="G859" s="4"/>
      <c r="H859" s="4"/>
      <c r="I859" s="7" t="str">
        <f t="shared" si="2"/>
        <v/>
      </c>
      <c r="J859" s="4" t="str">
        <f t="shared" si="10"/>
        <v/>
      </c>
      <c r="K859" s="4" t="str">
        <f t="array" ref="K859">XLOOKUP(G859,'Dados Funil'!A:A,'Dados Funil'!O:O,"")</f>
        <v/>
      </c>
      <c r="L859" s="4"/>
      <c r="M859" s="4"/>
      <c r="N859" s="7" t="str">
        <f t="shared" si="3"/>
        <v/>
      </c>
      <c r="O859" s="4" t="str">
        <f t="shared" si="11"/>
        <v/>
      </c>
      <c r="P859" s="4" t="str">
        <f t="array" ref="P859">XLOOKUP(L859,'Dados Funil'!A:A,'Dados Funil'!AM:AM,"")</f>
        <v/>
      </c>
      <c r="Q859" s="4" t="str">
        <f t="array" ref="Q859">XLOOKUP(L859,'Dados Funil'!A:A,'Dados Funil'!AN:AN,"")</f>
        <v/>
      </c>
      <c r="T859" s="7" t="str">
        <f t="shared" si="4"/>
        <v/>
      </c>
      <c r="U859" s="4" t="str">
        <f t="shared" si="12"/>
        <v/>
      </c>
      <c r="V859" s="4" t="str">
        <f t="array" ref="V859">XLOOKUP(R859,'Dados Funil'!$A:$A,'Dados Funil'!$K:$K,"")</f>
        <v/>
      </c>
      <c r="W859" s="4" t="str">
        <f t="array" ref="W859">XLOOKUP(R859,'Dados Funil'!$A:$A,'Dados Funil'!$L:$L,"")</f>
        <v/>
      </c>
      <c r="X859" s="4"/>
      <c r="Y859" s="4"/>
      <c r="Z859" s="7" t="str">
        <f t="shared" si="5"/>
        <v/>
      </c>
      <c r="AA859" s="4" t="str">
        <f t="shared" si="13"/>
        <v/>
      </c>
      <c r="AB859" s="4" t="str">
        <f t="array" ref="AB859">XLOOKUP(X859,'Dados Funil'!A:A,'Dados Funil'!O:O,"")</f>
        <v/>
      </c>
      <c r="AE859" s="7" t="str">
        <f t="shared" si="6"/>
        <v/>
      </c>
      <c r="AG859" s="4" t="str">
        <f t="array" ref="AG859">XLOOKUP(AC859,'Dados Funil'!A:A,'Dados Funil'!AM:AM,"")</f>
        <v/>
      </c>
      <c r="AH859" s="4" t="str">
        <f t="array" ref="AH859">XLOOKUP(AC859,'Dados Funil'!A:A,'Dados Funil'!AN:AN,"")</f>
        <v/>
      </c>
    </row>
    <row r="860">
      <c r="A860" s="4"/>
      <c r="B860" s="4"/>
      <c r="C860" s="7" t="str">
        <f t="shared" si="1"/>
        <v/>
      </c>
      <c r="D860" s="4" t="str">
        <f t="shared" si="9"/>
        <v/>
      </c>
      <c r="E860" s="4" t="str">
        <f t="array" ref="E860">XLOOKUP(A860,'Dados Funil'!$A:$A,'Dados Funil'!$K:$K,"")</f>
        <v/>
      </c>
      <c r="F860" s="4" t="str">
        <f t="array" ref="F860">XLOOKUP(A860,'Dados Funil'!$A:$A,'Dados Funil'!$L:$L,"")</f>
        <v/>
      </c>
      <c r="G860" s="4"/>
      <c r="H860" s="4"/>
      <c r="I860" s="7" t="str">
        <f t="shared" si="2"/>
        <v/>
      </c>
      <c r="J860" s="4" t="str">
        <f t="shared" si="10"/>
        <v/>
      </c>
      <c r="K860" s="4" t="str">
        <f t="array" ref="K860">XLOOKUP(G860,'Dados Funil'!A:A,'Dados Funil'!O:O,"")</f>
        <v/>
      </c>
      <c r="L860" s="4"/>
      <c r="M860" s="4"/>
      <c r="N860" s="7" t="str">
        <f t="shared" si="3"/>
        <v/>
      </c>
      <c r="O860" s="4" t="str">
        <f t="shared" si="11"/>
        <v/>
      </c>
      <c r="P860" s="4" t="str">
        <f t="array" ref="P860">XLOOKUP(L860,'Dados Funil'!A:A,'Dados Funil'!AM:AM,"")</f>
        <v/>
      </c>
      <c r="Q860" s="4" t="str">
        <f t="array" ref="Q860">XLOOKUP(L860,'Dados Funil'!A:A,'Dados Funil'!AN:AN,"")</f>
        <v/>
      </c>
      <c r="T860" s="7" t="str">
        <f t="shared" si="4"/>
        <v/>
      </c>
      <c r="U860" s="4" t="str">
        <f t="shared" si="12"/>
        <v/>
      </c>
      <c r="V860" s="4" t="str">
        <f t="array" ref="V860">XLOOKUP(R860,'Dados Funil'!$A:$A,'Dados Funil'!$K:$K,"")</f>
        <v/>
      </c>
      <c r="W860" s="4" t="str">
        <f t="array" ref="W860">XLOOKUP(R860,'Dados Funil'!$A:$A,'Dados Funil'!$L:$L,"")</f>
        <v/>
      </c>
      <c r="X860" s="4"/>
      <c r="Y860" s="4"/>
      <c r="Z860" s="7" t="str">
        <f t="shared" si="5"/>
        <v/>
      </c>
      <c r="AA860" s="4" t="str">
        <f t="shared" si="13"/>
        <v/>
      </c>
      <c r="AB860" s="4" t="str">
        <f t="array" ref="AB860">XLOOKUP(X860,'Dados Funil'!A:A,'Dados Funil'!O:O,"")</f>
        <v/>
      </c>
      <c r="AE860" s="7" t="str">
        <f t="shared" si="6"/>
        <v/>
      </c>
      <c r="AG860" s="4" t="str">
        <f t="array" ref="AG860">XLOOKUP(AC860,'Dados Funil'!A:A,'Dados Funil'!AM:AM,"")</f>
        <v/>
      </c>
      <c r="AH860" s="4" t="str">
        <f t="array" ref="AH860">XLOOKUP(AC860,'Dados Funil'!A:A,'Dados Funil'!AN:AN,"")</f>
        <v/>
      </c>
    </row>
    <row r="861">
      <c r="A861" s="4"/>
      <c r="B861" s="4"/>
      <c r="C861" s="7" t="str">
        <f t="shared" si="1"/>
        <v/>
      </c>
      <c r="D861" s="4" t="str">
        <f t="shared" si="9"/>
        <v/>
      </c>
      <c r="E861" s="4" t="str">
        <f t="array" ref="E861">XLOOKUP(A861,'Dados Funil'!$A:$A,'Dados Funil'!$K:$K,"")</f>
        <v/>
      </c>
      <c r="F861" s="4" t="str">
        <f t="array" ref="F861">XLOOKUP(A861,'Dados Funil'!$A:$A,'Dados Funil'!$L:$L,"")</f>
        <v/>
      </c>
      <c r="G861" s="4"/>
      <c r="H861" s="4"/>
      <c r="I861" s="7" t="str">
        <f t="shared" si="2"/>
        <v/>
      </c>
      <c r="J861" s="4" t="str">
        <f t="shared" si="10"/>
        <v/>
      </c>
      <c r="K861" s="4" t="str">
        <f t="array" ref="K861">XLOOKUP(G861,'Dados Funil'!A:A,'Dados Funil'!O:O,"")</f>
        <v/>
      </c>
      <c r="L861" s="4"/>
      <c r="M861" s="4"/>
      <c r="N861" s="7" t="str">
        <f t="shared" si="3"/>
        <v/>
      </c>
      <c r="O861" s="4" t="str">
        <f t="shared" si="11"/>
        <v/>
      </c>
      <c r="P861" s="4" t="str">
        <f t="array" ref="P861">XLOOKUP(L861,'Dados Funil'!A:A,'Dados Funil'!AM:AM,"")</f>
        <v/>
      </c>
      <c r="Q861" s="4" t="str">
        <f t="array" ref="Q861">XLOOKUP(L861,'Dados Funil'!A:A,'Dados Funil'!AN:AN,"")</f>
        <v/>
      </c>
      <c r="T861" s="7" t="str">
        <f t="shared" si="4"/>
        <v/>
      </c>
      <c r="U861" s="4" t="str">
        <f t="shared" si="12"/>
        <v/>
      </c>
      <c r="V861" s="4" t="str">
        <f t="array" ref="V861">XLOOKUP(R861,'Dados Funil'!$A:$A,'Dados Funil'!$K:$K,"")</f>
        <v/>
      </c>
      <c r="W861" s="4" t="str">
        <f t="array" ref="W861">XLOOKUP(R861,'Dados Funil'!$A:$A,'Dados Funil'!$L:$L,"")</f>
        <v/>
      </c>
      <c r="X861" s="4"/>
      <c r="Y861" s="4"/>
      <c r="Z861" s="7" t="str">
        <f t="shared" si="5"/>
        <v/>
      </c>
      <c r="AA861" s="4" t="str">
        <f t="shared" si="13"/>
        <v/>
      </c>
      <c r="AB861" s="4" t="str">
        <f t="array" ref="AB861">XLOOKUP(X861,'Dados Funil'!A:A,'Dados Funil'!O:O,"")</f>
        <v/>
      </c>
      <c r="AE861" s="7" t="str">
        <f t="shared" si="6"/>
        <v/>
      </c>
      <c r="AG861" s="4" t="str">
        <f t="array" ref="AG861">XLOOKUP(AC861,'Dados Funil'!A:A,'Dados Funil'!AM:AM,"")</f>
        <v/>
      </c>
      <c r="AH861" s="4" t="str">
        <f t="array" ref="AH861">XLOOKUP(AC861,'Dados Funil'!A:A,'Dados Funil'!AN:AN,"")</f>
        <v/>
      </c>
    </row>
    <row r="862">
      <c r="A862" s="4"/>
      <c r="B862" s="4"/>
      <c r="C862" s="7" t="str">
        <f t="shared" si="1"/>
        <v/>
      </c>
      <c r="D862" s="4" t="str">
        <f t="shared" si="9"/>
        <v/>
      </c>
      <c r="E862" s="4" t="str">
        <f t="array" ref="E862">XLOOKUP(A862,'Dados Funil'!$A:$A,'Dados Funil'!$K:$K,"")</f>
        <v/>
      </c>
      <c r="F862" s="4" t="str">
        <f t="array" ref="F862">XLOOKUP(A862,'Dados Funil'!$A:$A,'Dados Funil'!$L:$L,"")</f>
        <v/>
      </c>
      <c r="G862" s="4"/>
      <c r="H862" s="4"/>
      <c r="I862" s="7" t="str">
        <f t="shared" si="2"/>
        <v/>
      </c>
      <c r="J862" s="4" t="str">
        <f t="shared" si="10"/>
        <v/>
      </c>
      <c r="K862" s="4" t="str">
        <f t="array" ref="K862">XLOOKUP(G862,'Dados Funil'!A:A,'Dados Funil'!O:O,"")</f>
        <v/>
      </c>
      <c r="L862" s="4"/>
      <c r="M862" s="4"/>
      <c r="N862" s="7" t="str">
        <f t="shared" si="3"/>
        <v/>
      </c>
      <c r="O862" s="4" t="str">
        <f t="shared" si="11"/>
        <v/>
      </c>
      <c r="P862" s="4" t="str">
        <f t="array" ref="P862">XLOOKUP(L862,'Dados Funil'!A:A,'Dados Funil'!AM:AM,"")</f>
        <v/>
      </c>
      <c r="Q862" s="4" t="str">
        <f t="array" ref="Q862">XLOOKUP(L862,'Dados Funil'!A:A,'Dados Funil'!AN:AN,"")</f>
        <v/>
      </c>
      <c r="T862" s="7" t="str">
        <f t="shared" si="4"/>
        <v/>
      </c>
      <c r="U862" s="4" t="str">
        <f t="shared" si="12"/>
        <v/>
      </c>
      <c r="V862" s="4" t="str">
        <f t="array" ref="V862">XLOOKUP(R862,'Dados Funil'!$A:$A,'Dados Funil'!$K:$K,"")</f>
        <v/>
      </c>
      <c r="W862" s="4" t="str">
        <f t="array" ref="W862">XLOOKUP(R862,'Dados Funil'!$A:$A,'Dados Funil'!$L:$L,"")</f>
        <v/>
      </c>
      <c r="X862" s="4"/>
      <c r="Y862" s="4"/>
      <c r="Z862" s="7" t="str">
        <f t="shared" si="5"/>
        <v/>
      </c>
      <c r="AA862" s="4" t="str">
        <f t="shared" si="13"/>
        <v/>
      </c>
      <c r="AB862" s="4" t="str">
        <f t="array" ref="AB862">XLOOKUP(X862,'Dados Funil'!A:A,'Dados Funil'!O:O,"")</f>
        <v/>
      </c>
      <c r="AE862" s="7" t="str">
        <f t="shared" si="6"/>
        <v/>
      </c>
      <c r="AG862" s="4" t="str">
        <f t="array" ref="AG862">XLOOKUP(AC862,'Dados Funil'!A:A,'Dados Funil'!AM:AM,"")</f>
        <v/>
      </c>
      <c r="AH862" s="4" t="str">
        <f t="array" ref="AH862">XLOOKUP(AC862,'Dados Funil'!A:A,'Dados Funil'!AN:AN,"")</f>
        <v/>
      </c>
    </row>
    <row r="863">
      <c r="A863" s="4"/>
      <c r="B863" s="4"/>
      <c r="C863" s="7" t="str">
        <f t="shared" si="1"/>
        <v/>
      </c>
      <c r="D863" s="4" t="str">
        <f t="shared" si="9"/>
        <v/>
      </c>
      <c r="E863" s="4" t="str">
        <f t="array" ref="E863">XLOOKUP(A863,'Dados Funil'!$A:$A,'Dados Funil'!$K:$K,"")</f>
        <v/>
      </c>
      <c r="F863" s="4" t="str">
        <f t="array" ref="F863">XLOOKUP(A863,'Dados Funil'!$A:$A,'Dados Funil'!$L:$L,"")</f>
        <v/>
      </c>
      <c r="G863" s="4"/>
      <c r="H863" s="4"/>
      <c r="I863" s="7" t="str">
        <f t="shared" si="2"/>
        <v/>
      </c>
      <c r="J863" s="4" t="str">
        <f t="shared" si="10"/>
        <v/>
      </c>
      <c r="K863" s="4" t="str">
        <f t="array" ref="K863">XLOOKUP(G863,'Dados Funil'!A:A,'Dados Funil'!O:O,"")</f>
        <v/>
      </c>
      <c r="L863" s="4"/>
      <c r="M863" s="4"/>
      <c r="N863" s="7" t="str">
        <f t="shared" si="3"/>
        <v/>
      </c>
      <c r="O863" s="4" t="str">
        <f t="shared" si="11"/>
        <v/>
      </c>
      <c r="P863" s="4" t="str">
        <f t="array" ref="P863">XLOOKUP(L863,'Dados Funil'!A:A,'Dados Funil'!AM:AM,"")</f>
        <v/>
      </c>
      <c r="Q863" s="4" t="str">
        <f t="array" ref="Q863">XLOOKUP(L863,'Dados Funil'!A:A,'Dados Funil'!AN:AN,"")</f>
        <v/>
      </c>
      <c r="T863" s="7" t="str">
        <f t="shared" si="4"/>
        <v/>
      </c>
      <c r="U863" s="4" t="str">
        <f t="shared" si="12"/>
        <v/>
      </c>
      <c r="V863" s="4" t="str">
        <f t="array" ref="V863">XLOOKUP(R863,'Dados Funil'!$A:$A,'Dados Funil'!$K:$K,"")</f>
        <v/>
      </c>
      <c r="W863" s="4" t="str">
        <f t="array" ref="W863">XLOOKUP(R863,'Dados Funil'!$A:$A,'Dados Funil'!$L:$L,"")</f>
        <v/>
      </c>
      <c r="X863" s="4"/>
      <c r="Y863" s="4"/>
      <c r="Z863" s="7" t="str">
        <f t="shared" si="5"/>
        <v/>
      </c>
      <c r="AA863" s="4" t="str">
        <f t="shared" si="13"/>
        <v/>
      </c>
      <c r="AB863" s="4" t="str">
        <f t="array" ref="AB863">XLOOKUP(X863,'Dados Funil'!A:A,'Dados Funil'!O:O,"")</f>
        <v/>
      </c>
      <c r="AE863" s="7" t="str">
        <f t="shared" si="6"/>
        <v/>
      </c>
      <c r="AG863" s="4" t="str">
        <f t="array" ref="AG863">XLOOKUP(AC863,'Dados Funil'!A:A,'Dados Funil'!AM:AM,"")</f>
        <v/>
      </c>
      <c r="AH863" s="4" t="str">
        <f t="array" ref="AH863">XLOOKUP(AC863,'Dados Funil'!A:A,'Dados Funil'!AN:AN,"")</f>
        <v/>
      </c>
    </row>
    <row r="864">
      <c r="A864" s="4"/>
      <c r="B864" s="4"/>
      <c r="C864" s="7" t="str">
        <f t="shared" si="1"/>
        <v/>
      </c>
      <c r="D864" s="4" t="str">
        <f t="shared" si="9"/>
        <v/>
      </c>
      <c r="E864" s="4" t="str">
        <f t="array" ref="E864">XLOOKUP(A864,'Dados Funil'!$A:$A,'Dados Funil'!$K:$K,"")</f>
        <v/>
      </c>
      <c r="F864" s="4" t="str">
        <f t="array" ref="F864">XLOOKUP(A864,'Dados Funil'!$A:$A,'Dados Funil'!$L:$L,"")</f>
        <v/>
      </c>
      <c r="G864" s="4"/>
      <c r="H864" s="4"/>
      <c r="I864" s="7" t="str">
        <f t="shared" si="2"/>
        <v/>
      </c>
      <c r="J864" s="4" t="str">
        <f t="shared" si="10"/>
        <v/>
      </c>
      <c r="K864" s="4" t="str">
        <f t="array" ref="K864">XLOOKUP(G864,'Dados Funil'!A:A,'Dados Funil'!O:O,"")</f>
        <v/>
      </c>
      <c r="L864" s="4"/>
      <c r="M864" s="4"/>
      <c r="N864" s="7" t="str">
        <f t="shared" si="3"/>
        <v/>
      </c>
      <c r="O864" s="4" t="str">
        <f t="shared" si="11"/>
        <v/>
      </c>
      <c r="P864" s="4" t="str">
        <f t="array" ref="P864">XLOOKUP(L864,'Dados Funil'!A:A,'Dados Funil'!AM:AM,"")</f>
        <v/>
      </c>
      <c r="Q864" s="4" t="str">
        <f t="array" ref="Q864">XLOOKUP(L864,'Dados Funil'!A:A,'Dados Funil'!AN:AN,"")</f>
        <v/>
      </c>
      <c r="T864" s="7" t="str">
        <f t="shared" si="4"/>
        <v/>
      </c>
      <c r="U864" s="4" t="str">
        <f t="shared" si="12"/>
        <v/>
      </c>
      <c r="V864" s="4" t="str">
        <f t="array" ref="V864">XLOOKUP(R864,'Dados Funil'!$A:$A,'Dados Funil'!$K:$K,"")</f>
        <v/>
      </c>
      <c r="W864" s="4" t="str">
        <f t="array" ref="W864">XLOOKUP(R864,'Dados Funil'!$A:$A,'Dados Funil'!$L:$L,"")</f>
        <v/>
      </c>
      <c r="X864" s="4"/>
      <c r="Y864" s="4"/>
      <c r="Z864" s="7" t="str">
        <f t="shared" si="5"/>
        <v/>
      </c>
      <c r="AA864" s="4" t="str">
        <f t="shared" si="13"/>
        <v/>
      </c>
      <c r="AB864" s="4" t="str">
        <f t="array" ref="AB864">XLOOKUP(X864,'Dados Funil'!A:A,'Dados Funil'!O:O,"")</f>
        <v/>
      </c>
      <c r="AE864" s="7" t="str">
        <f t="shared" si="6"/>
        <v/>
      </c>
      <c r="AG864" s="4" t="str">
        <f t="array" ref="AG864">XLOOKUP(AC864,'Dados Funil'!A:A,'Dados Funil'!AM:AM,"")</f>
        <v/>
      </c>
      <c r="AH864" s="4" t="str">
        <f t="array" ref="AH864">XLOOKUP(AC864,'Dados Funil'!A:A,'Dados Funil'!AN:AN,"")</f>
        <v/>
      </c>
    </row>
    <row r="865">
      <c r="A865" s="4"/>
      <c r="B865" s="4"/>
      <c r="C865" s="7" t="str">
        <f t="shared" si="1"/>
        <v/>
      </c>
      <c r="D865" s="4" t="str">
        <f t="shared" si="9"/>
        <v/>
      </c>
      <c r="E865" s="4" t="str">
        <f t="array" ref="E865">XLOOKUP(A865,'Dados Funil'!$A:$A,'Dados Funil'!$K:$K,"")</f>
        <v/>
      </c>
      <c r="F865" s="4" t="str">
        <f t="array" ref="F865">XLOOKUP(A865,'Dados Funil'!$A:$A,'Dados Funil'!$L:$L,"")</f>
        <v/>
      </c>
      <c r="G865" s="4"/>
      <c r="H865" s="4"/>
      <c r="I865" s="7" t="str">
        <f t="shared" si="2"/>
        <v/>
      </c>
      <c r="J865" s="4" t="str">
        <f t="shared" si="10"/>
        <v/>
      </c>
      <c r="K865" s="4" t="str">
        <f t="array" ref="K865">XLOOKUP(G865,'Dados Funil'!A:A,'Dados Funil'!O:O,"")</f>
        <v/>
      </c>
      <c r="L865" s="4"/>
      <c r="M865" s="4"/>
      <c r="N865" s="7" t="str">
        <f t="shared" si="3"/>
        <v/>
      </c>
      <c r="O865" s="4" t="str">
        <f t="shared" si="11"/>
        <v/>
      </c>
      <c r="P865" s="4" t="str">
        <f t="array" ref="P865">XLOOKUP(L865,'Dados Funil'!A:A,'Dados Funil'!AM:AM,"")</f>
        <v/>
      </c>
      <c r="Q865" s="4" t="str">
        <f t="array" ref="Q865">XLOOKUP(L865,'Dados Funil'!A:A,'Dados Funil'!AN:AN,"")</f>
        <v/>
      </c>
      <c r="T865" s="7" t="str">
        <f t="shared" si="4"/>
        <v/>
      </c>
      <c r="U865" s="4" t="str">
        <f t="shared" si="12"/>
        <v/>
      </c>
      <c r="V865" s="4" t="str">
        <f t="array" ref="V865">XLOOKUP(R865,'Dados Funil'!$A:$A,'Dados Funil'!$K:$K,"")</f>
        <v/>
      </c>
      <c r="W865" s="4" t="str">
        <f t="array" ref="W865">XLOOKUP(R865,'Dados Funil'!$A:$A,'Dados Funil'!$L:$L,"")</f>
        <v/>
      </c>
      <c r="X865" s="4"/>
      <c r="Y865" s="4"/>
      <c r="Z865" s="7" t="str">
        <f t="shared" si="5"/>
        <v/>
      </c>
      <c r="AA865" s="4" t="str">
        <f t="shared" si="13"/>
        <v/>
      </c>
      <c r="AB865" s="4" t="str">
        <f t="array" ref="AB865">XLOOKUP(X865,'Dados Funil'!A:A,'Dados Funil'!O:O,"")</f>
        <v/>
      </c>
      <c r="AE865" s="7" t="str">
        <f t="shared" si="6"/>
        <v/>
      </c>
      <c r="AG865" s="4" t="str">
        <f t="array" ref="AG865">XLOOKUP(AC865,'Dados Funil'!A:A,'Dados Funil'!AM:AM,"")</f>
        <v/>
      </c>
      <c r="AH865" s="4" t="str">
        <f t="array" ref="AH865">XLOOKUP(AC865,'Dados Funil'!A:A,'Dados Funil'!AN:AN,"")</f>
        <v/>
      </c>
    </row>
    <row r="866">
      <c r="A866" s="4"/>
      <c r="B866" s="4"/>
      <c r="C866" s="7" t="str">
        <f t="shared" si="1"/>
        <v/>
      </c>
      <c r="D866" s="4" t="str">
        <f t="shared" si="9"/>
        <v/>
      </c>
      <c r="E866" s="4" t="str">
        <f t="array" ref="E866">XLOOKUP(A866,'Dados Funil'!$A:$A,'Dados Funil'!$K:$K,"")</f>
        <v/>
      </c>
      <c r="F866" s="4" t="str">
        <f t="array" ref="F866">XLOOKUP(A866,'Dados Funil'!$A:$A,'Dados Funil'!$L:$L,"")</f>
        <v/>
      </c>
      <c r="G866" s="4"/>
      <c r="H866" s="4"/>
      <c r="I866" s="7" t="str">
        <f t="shared" si="2"/>
        <v/>
      </c>
      <c r="J866" s="4" t="str">
        <f t="shared" si="10"/>
        <v/>
      </c>
      <c r="K866" s="4" t="str">
        <f t="array" ref="K866">XLOOKUP(G866,'Dados Funil'!A:A,'Dados Funil'!O:O,"")</f>
        <v/>
      </c>
      <c r="L866" s="4"/>
      <c r="M866" s="4"/>
      <c r="N866" s="7" t="str">
        <f t="shared" si="3"/>
        <v/>
      </c>
      <c r="O866" s="4" t="str">
        <f t="shared" si="11"/>
        <v/>
      </c>
      <c r="P866" s="4" t="str">
        <f t="array" ref="P866">XLOOKUP(L866,'Dados Funil'!A:A,'Dados Funil'!AM:AM,"")</f>
        <v/>
      </c>
      <c r="Q866" s="4" t="str">
        <f t="array" ref="Q866">XLOOKUP(L866,'Dados Funil'!A:A,'Dados Funil'!AN:AN,"")</f>
        <v/>
      </c>
      <c r="T866" s="7" t="str">
        <f t="shared" si="4"/>
        <v/>
      </c>
      <c r="U866" s="4" t="str">
        <f t="shared" si="12"/>
        <v/>
      </c>
      <c r="V866" s="4" t="str">
        <f t="array" ref="V866">XLOOKUP(R866,'Dados Funil'!$A:$A,'Dados Funil'!$K:$K,"")</f>
        <v/>
      </c>
      <c r="W866" s="4" t="str">
        <f t="array" ref="W866">XLOOKUP(R866,'Dados Funil'!$A:$A,'Dados Funil'!$L:$L,"")</f>
        <v/>
      </c>
      <c r="X866" s="4"/>
      <c r="Y866" s="4"/>
      <c r="Z866" s="7" t="str">
        <f t="shared" si="5"/>
        <v/>
      </c>
      <c r="AA866" s="4" t="str">
        <f t="shared" si="13"/>
        <v/>
      </c>
      <c r="AB866" s="4" t="str">
        <f t="array" ref="AB866">XLOOKUP(X866,'Dados Funil'!A:A,'Dados Funil'!O:O,"")</f>
        <v/>
      </c>
      <c r="AE866" s="7" t="str">
        <f t="shared" si="6"/>
        <v/>
      </c>
      <c r="AG866" s="4" t="str">
        <f t="array" ref="AG866">XLOOKUP(AC866,'Dados Funil'!A:A,'Dados Funil'!AM:AM,"")</f>
        <v/>
      </c>
      <c r="AH866" s="4" t="str">
        <f t="array" ref="AH866">XLOOKUP(AC866,'Dados Funil'!A:A,'Dados Funil'!AN:AN,"")</f>
        <v/>
      </c>
    </row>
    <row r="867">
      <c r="A867" s="4"/>
      <c r="B867" s="4"/>
      <c r="C867" s="7" t="str">
        <f t="shared" si="1"/>
        <v/>
      </c>
      <c r="D867" s="4" t="str">
        <f t="shared" si="9"/>
        <v/>
      </c>
      <c r="E867" s="4" t="str">
        <f t="array" ref="E867">XLOOKUP(A867,'Dados Funil'!$A:$A,'Dados Funil'!$K:$K,"")</f>
        <v/>
      </c>
      <c r="F867" s="4" t="str">
        <f t="array" ref="F867">XLOOKUP(A867,'Dados Funil'!$A:$A,'Dados Funil'!$L:$L,"")</f>
        <v/>
      </c>
      <c r="G867" s="4"/>
      <c r="H867" s="4"/>
      <c r="I867" s="7" t="str">
        <f t="shared" si="2"/>
        <v/>
      </c>
      <c r="J867" s="4" t="str">
        <f t="shared" si="10"/>
        <v/>
      </c>
      <c r="K867" s="4" t="str">
        <f t="array" ref="K867">XLOOKUP(G867,'Dados Funil'!A:A,'Dados Funil'!O:O,"")</f>
        <v/>
      </c>
      <c r="L867" s="4"/>
      <c r="M867" s="4"/>
      <c r="N867" s="7" t="str">
        <f t="shared" si="3"/>
        <v/>
      </c>
      <c r="O867" s="4" t="str">
        <f t="shared" si="11"/>
        <v/>
      </c>
      <c r="P867" s="4" t="str">
        <f t="array" ref="P867">XLOOKUP(L867,'Dados Funil'!A:A,'Dados Funil'!AM:AM,"")</f>
        <v/>
      </c>
      <c r="Q867" s="4" t="str">
        <f t="array" ref="Q867">XLOOKUP(L867,'Dados Funil'!A:A,'Dados Funil'!AN:AN,"")</f>
        <v/>
      </c>
      <c r="T867" s="7" t="str">
        <f t="shared" si="4"/>
        <v/>
      </c>
      <c r="U867" s="4" t="str">
        <f t="shared" si="12"/>
        <v/>
      </c>
      <c r="V867" s="4" t="str">
        <f t="array" ref="V867">XLOOKUP(R867,'Dados Funil'!$A:$A,'Dados Funil'!$K:$K,"")</f>
        <v/>
      </c>
      <c r="W867" s="4" t="str">
        <f t="array" ref="W867">XLOOKUP(R867,'Dados Funil'!$A:$A,'Dados Funil'!$L:$L,"")</f>
        <v/>
      </c>
      <c r="X867" s="4"/>
      <c r="Y867" s="4"/>
      <c r="Z867" s="7" t="str">
        <f t="shared" si="5"/>
        <v/>
      </c>
      <c r="AA867" s="4" t="str">
        <f t="shared" si="13"/>
        <v/>
      </c>
      <c r="AB867" s="4" t="str">
        <f t="array" ref="AB867">XLOOKUP(X867,'Dados Funil'!A:A,'Dados Funil'!O:O,"")</f>
        <v/>
      </c>
      <c r="AE867" s="7" t="str">
        <f t="shared" si="6"/>
        <v/>
      </c>
      <c r="AG867" s="4" t="str">
        <f t="array" ref="AG867">XLOOKUP(AC867,'Dados Funil'!A:A,'Dados Funil'!AM:AM,"")</f>
        <v/>
      </c>
      <c r="AH867" s="4" t="str">
        <f t="array" ref="AH867">XLOOKUP(AC867,'Dados Funil'!A:A,'Dados Funil'!AN:AN,"")</f>
        <v/>
      </c>
    </row>
    <row r="868">
      <c r="A868" s="4"/>
      <c r="B868" s="4"/>
      <c r="C868" s="7" t="str">
        <f t="shared" si="1"/>
        <v/>
      </c>
      <c r="D868" s="4" t="str">
        <f t="shared" si="9"/>
        <v/>
      </c>
      <c r="E868" s="4" t="str">
        <f t="array" ref="E868">XLOOKUP(A868,'Dados Funil'!$A:$A,'Dados Funil'!$K:$K,"")</f>
        <v/>
      </c>
      <c r="F868" s="4" t="str">
        <f t="array" ref="F868">XLOOKUP(A868,'Dados Funil'!$A:$A,'Dados Funil'!$L:$L,"")</f>
        <v/>
      </c>
      <c r="G868" s="4"/>
      <c r="H868" s="4"/>
      <c r="I868" s="7" t="str">
        <f t="shared" si="2"/>
        <v/>
      </c>
      <c r="J868" s="4" t="str">
        <f t="shared" si="10"/>
        <v/>
      </c>
      <c r="K868" s="4" t="str">
        <f t="array" ref="K868">XLOOKUP(G868,'Dados Funil'!A:A,'Dados Funil'!O:O,"")</f>
        <v/>
      </c>
      <c r="L868" s="4"/>
      <c r="M868" s="4"/>
      <c r="N868" s="7" t="str">
        <f t="shared" si="3"/>
        <v/>
      </c>
      <c r="O868" s="4" t="str">
        <f t="shared" si="11"/>
        <v/>
      </c>
      <c r="P868" s="4" t="str">
        <f t="array" ref="P868">XLOOKUP(L868,'Dados Funil'!A:A,'Dados Funil'!AM:AM,"")</f>
        <v/>
      </c>
      <c r="Q868" s="4" t="str">
        <f t="array" ref="Q868">XLOOKUP(L868,'Dados Funil'!A:A,'Dados Funil'!AN:AN,"")</f>
        <v/>
      </c>
      <c r="T868" s="7" t="str">
        <f t="shared" si="4"/>
        <v/>
      </c>
      <c r="U868" s="4" t="str">
        <f t="shared" si="12"/>
        <v/>
      </c>
      <c r="V868" s="4" t="str">
        <f t="array" ref="V868">XLOOKUP(R868,'Dados Funil'!$A:$A,'Dados Funil'!$K:$K,"")</f>
        <v/>
      </c>
      <c r="W868" s="4" t="str">
        <f t="array" ref="W868">XLOOKUP(R868,'Dados Funil'!$A:$A,'Dados Funil'!$L:$L,"")</f>
        <v/>
      </c>
      <c r="X868" s="4"/>
      <c r="Y868" s="4"/>
      <c r="Z868" s="7" t="str">
        <f t="shared" si="5"/>
        <v/>
      </c>
      <c r="AA868" s="4" t="str">
        <f t="shared" si="13"/>
        <v/>
      </c>
      <c r="AB868" s="4" t="str">
        <f t="array" ref="AB868">XLOOKUP(X868,'Dados Funil'!A:A,'Dados Funil'!O:O,"")</f>
        <v/>
      </c>
      <c r="AE868" s="7" t="str">
        <f t="shared" si="6"/>
        <v/>
      </c>
      <c r="AG868" s="4" t="str">
        <f t="array" ref="AG868">XLOOKUP(AC868,'Dados Funil'!A:A,'Dados Funil'!AM:AM,"")</f>
        <v/>
      </c>
      <c r="AH868" s="4" t="str">
        <f t="array" ref="AH868">XLOOKUP(AC868,'Dados Funil'!A:A,'Dados Funil'!AN:AN,"")</f>
        <v/>
      </c>
    </row>
    <row r="869">
      <c r="A869" s="4"/>
      <c r="B869" s="4"/>
      <c r="C869" s="7" t="str">
        <f t="shared" si="1"/>
        <v/>
      </c>
      <c r="D869" s="4" t="str">
        <f t="shared" si="9"/>
        <v/>
      </c>
      <c r="E869" s="4" t="str">
        <f t="array" ref="E869">XLOOKUP(A869,'Dados Funil'!$A:$A,'Dados Funil'!$K:$K,"")</f>
        <v/>
      </c>
      <c r="F869" s="4" t="str">
        <f t="array" ref="F869">XLOOKUP(A869,'Dados Funil'!$A:$A,'Dados Funil'!$L:$L,"")</f>
        <v/>
      </c>
      <c r="G869" s="4"/>
      <c r="H869" s="4"/>
      <c r="I869" s="7" t="str">
        <f t="shared" si="2"/>
        <v/>
      </c>
      <c r="J869" s="4" t="str">
        <f t="shared" si="10"/>
        <v/>
      </c>
      <c r="K869" s="4" t="str">
        <f t="array" ref="K869">XLOOKUP(G869,'Dados Funil'!A:A,'Dados Funil'!O:O,"")</f>
        <v/>
      </c>
      <c r="L869" s="4"/>
      <c r="M869" s="4"/>
      <c r="N869" s="7" t="str">
        <f t="shared" si="3"/>
        <v/>
      </c>
      <c r="O869" s="4" t="str">
        <f t="shared" si="11"/>
        <v/>
      </c>
      <c r="P869" s="4" t="str">
        <f t="array" ref="P869">XLOOKUP(L869,'Dados Funil'!A:A,'Dados Funil'!AM:AM,"")</f>
        <v/>
      </c>
      <c r="Q869" s="4" t="str">
        <f t="array" ref="Q869">XLOOKUP(L869,'Dados Funil'!A:A,'Dados Funil'!AN:AN,"")</f>
        <v/>
      </c>
      <c r="T869" s="7" t="str">
        <f t="shared" si="4"/>
        <v/>
      </c>
      <c r="U869" s="4" t="str">
        <f t="shared" si="12"/>
        <v/>
      </c>
      <c r="V869" s="4" t="str">
        <f t="array" ref="V869">XLOOKUP(R869,'Dados Funil'!$A:$A,'Dados Funil'!$K:$K,"")</f>
        <v/>
      </c>
      <c r="W869" s="4" t="str">
        <f t="array" ref="W869">XLOOKUP(R869,'Dados Funil'!$A:$A,'Dados Funil'!$L:$L,"")</f>
        <v/>
      </c>
      <c r="X869" s="4"/>
      <c r="Y869" s="4"/>
      <c r="Z869" s="7" t="str">
        <f t="shared" si="5"/>
        <v/>
      </c>
      <c r="AA869" s="4" t="str">
        <f t="shared" si="13"/>
        <v/>
      </c>
      <c r="AB869" s="4" t="str">
        <f t="array" ref="AB869">XLOOKUP(X869,'Dados Funil'!A:A,'Dados Funil'!O:O,"")</f>
        <v/>
      </c>
      <c r="AE869" s="7" t="str">
        <f t="shared" si="6"/>
        <v/>
      </c>
      <c r="AG869" s="4" t="str">
        <f t="array" ref="AG869">XLOOKUP(AC869,'Dados Funil'!A:A,'Dados Funil'!AM:AM,"")</f>
        <v/>
      </c>
      <c r="AH869" s="4" t="str">
        <f t="array" ref="AH869">XLOOKUP(AC869,'Dados Funil'!A:A,'Dados Funil'!AN:AN,"")</f>
        <v/>
      </c>
    </row>
    <row r="870">
      <c r="A870" s="4"/>
      <c r="B870" s="4"/>
      <c r="C870" s="7" t="str">
        <f t="shared" si="1"/>
        <v/>
      </c>
      <c r="D870" s="4" t="str">
        <f t="shared" si="9"/>
        <v/>
      </c>
      <c r="E870" s="4" t="str">
        <f t="array" ref="E870">XLOOKUP(A870,'Dados Funil'!$A:$A,'Dados Funil'!$K:$K,"")</f>
        <v/>
      </c>
      <c r="F870" s="4" t="str">
        <f t="array" ref="F870">XLOOKUP(A870,'Dados Funil'!$A:$A,'Dados Funil'!$L:$L,"")</f>
        <v/>
      </c>
      <c r="G870" s="4"/>
      <c r="H870" s="4"/>
      <c r="I870" s="7" t="str">
        <f t="shared" si="2"/>
        <v/>
      </c>
      <c r="J870" s="4" t="str">
        <f t="shared" si="10"/>
        <v/>
      </c>
      <c r="K870" s="4" t="str">
        <f t="array" ref="K870">XLOOKUP(G870,'Dados Funil'!A:A,'Dados Funil'!O:O,"")</f>
        <v/>
      </c>
      <c r="L870" s="4"/>
      <c r="M870" s="4"/>
      <c r="N870" s="7" t="str">
        <f t="shared" si="3"/>
        <v/>
      </c>
      <c r="O870" s="4" t="str">
        <f t="shared" si="11"/>
        <v/>
      </c>
      <c r="P870" s="4" t="str">
        <f t="array" ref="P870">XLOOKUP(L870,'Dados Funil'!A:A,'Dados Funil'!AM:AM,"")</f>
        <v/>
      </c>
      <c r="Q870" s="4" t="str">
        <f t="array" ref="Q870">XLOOKUP(L870,'Dados Funil'!A:A,'Dados Funil'!AN:AN,"")</f>
        <v/>
      </c>
      <c r="T870" s="7" t="str">
        <f t="shared" si="4"/>
        <v/>
      </c>
      <c r="U870" s="4" t="str">
        <f t="shared" si="12"/>
        <v/>
      </c>
      <c r="V870" s="4" t="str">
        <f t="array" ref="V870">XLOOKUP(R870,'Dados Funil'!$A:$A,'Dados Funil'!$K:$K,"")</f>
        <v/>
      </c>
      <c r="W870" s="4" t="str">
        <f t="array" ref="W870">XLOOKUP(R870,'Dados Funil'!$A:$A,'Dados Funil'!$L:$L,"")</f>
        <v/>
      </c>
      <c r="X870" s="4"/>
      <c r="Y870" s="4"/>
      <c r="Z870" s="7" t="str">
        <f t="shared" si="5"/>
        <v/>
      </c>
      <c r="AA870" s="4" t="str">
        <f t="shared" si="13"/>
        <v/>
      </c>
      <c r="AB870" s="4" t="str">
        <f t="array" ref="AB870">XLOOKUP(X870,'Dados Funil'!A:A,'Dados Funil'!O:O,"")</f>
        <v/>
      </c>
      <c r="AE870" s="7" t="str">
        <f t="shared" si="6"/>
        <v/>
      </c>
      <c r="AG870" s="4" t="str">
        <f t="array" ref="AG870">XLOOKUP(AC870,'Dados Funil'!A:A,'Dados Funil'!AM:AM,"")</f>
        <v/>
      </c>
      <c r="AH870" s="4" t="str">
        <f t="array" ref="AH870">XLOOKUP(AC870,'Dados Funil'!A:A,'Dados Funil'!AN:AN,"")</f>
        <v/>
      </c>
    </row>
    <row r="871">
      <c r="A871" s="4"/>
      <c r="B871" s="4"/>
      <c r="C871" s="7" t="str">
        <f t="shared" si="1"/>
        <v/>
      </c>
      <c r="D871" s="4" t="str">
        <f t="shared" si="9"/>
        <v/>
      </c>
      <c r="E871" s="4" t="str">
        <f t="array" ref="E871">XLOOKUP(A871,'Dados Funil'!$A:$A,'Dados Funil'!$K:$K,"")</f>
        <v/>
      </c>
      <c r="F871" s="4" t="str">
        <f t="array" ref="F871">XLOOKUP(A871,'Dados Funil'!$A:$A,'Dados Funil'!$L:$L,"")</f>
        <v/>
      </c>
      <c r="G871" s="4"/>
      <c r="H871" s="4"/>
      <c r="I871" s="7" t="str">
        <f t="shared" si="2"/>
        <v/>
      </c>
      <c r="J871" s="4" t="str">
        <f t="shared" si="10"/>
        <v/>
      </c>
      <c r="K871" s="4" t="str">
        <f t="array" ref="K871">XLOOKUP(G871,'Dados Funil'!A:A,'Dados Funil'!O:O,"")</f>
        <v/>
      </c>
      <c r="L871" s="4"/>
      <c r="M871" s="4"/>
      <c r="N871" s="7" t="str">
        <f t="shared" si="3"/>
        <v/>
      </c>
      <c r="O871" s="4" t="str">
        <f t="shared" si="11"/>
        <v/>
      </c>
      <c r="P871" s="4" t="str">
        <f t="array" ref="P871">XLOOKUP(L871,'Dados Funil'!A:A,'Dados Funil'!AM:AM,"")</f>
        <v/>
      </c>
      <c r="Q871" s="4" t="str">
        <f t="array" ref="Q871">XLOOKUP(L871,'Dados Funil'!A:A,'Dados Funil'!AN:AN,"")</f>
        <v/>
      </c>
      <c r="T871" s="7" t="str">
        <f t="shared" si="4"/>
        <v/>
      </c>
      <c r="U871" s="4" t="str">
        <f t="shared" si="12"/>
        <v/>
      </c>
      <c r="V871" s="4" t="str">
        <f t="array" ref="V871">XLOOKUP(R871,'Dados Funil'!$A:$A,'Dados Funil'!$K:$K,"")</f>
        <v/>
      </c>
      <c r="W871" s="4" t="str">
        <f t="array" ref="W871">XLOOKUP(R871,'Dados Funil'!$A:$A,'Dados Funil'!$L:$L,"")</f>
        <v/>
      </c>
      <c r="X871" s="4"/>
      <c r="Y871" s="4"/>
      <c r="Z871" s="7" t="str">
        <f t="shared" si="5"/>
        <v/>
      </c>
      <c r="AA871" s="4" t="str">
        <f t="shared" si="13"/>
        <v/>
      </c>
      <c r="AB871" s="4" t="str">
        <f t="array" ref="AB871">XLOOKUP(X871,'Dados Funil'!A:A,'Dados Funil'!O:O,"")</f>
        <v/>
      </c>
      <c r="AE871" s="7" t="str">
        <f t="shared" si="6"/>
        <v/>
      </c>
      <c r="AG871" s="4" t="str">
        <f t="array" ref="AG871">XLOOKUP(AC871,'Dados Funil'!A:A,'Dados Funil'!AM:AM,"")</f>
        <v/>
      </c>
      <c r="AH871" s="4" t="str">
        <f t="array" ref="AH871">XLOOKUP(AC871,'Dados Funil'!A:A,'Dados Funil'!AN:AN,"")</f>
        <v/>
      </c>
    </row>
    <row r="872">
      <c r="A872" s="4"/>
      <c r="B872" s="4"/>
      <c r="C872" s="7" t="str">
        <f t="shared" si="1"/>
        <v/>
      </c>
      <c r="D872" s="4" t="str">
        <f t="shared" si="9"/>
        <v/>
      </c>
      <c r="E872" s="4" t="str">
        <f t="array" ref="E872">XLOOKUP(A872,'Dados Funil'!$A:$A,'Dados Funil'!$K:$K,"")</f>
        <v/>
      </c>
      <c r="F872" s="4" t="str">
        <f t="array" ref="F872">XLOOKUP(A872,'Dados Funil'!$A:$A,'Dados Funil'!$L:$L,"")</f>
        <v/>
      </c>
      <c r="G872" s="4"/>
      <c r="H872" s="4"/>
      <c r="I872" s="7" t="str">
        <f t="shared" si="2"/>
        <v/>
      </c>
      <c r="J872" s="4" t="str">
        <f t="shared" si="10"/>
        <v/>
      </c>
      <c r="K872" s="4" t="str">
        <f t="array" ref="K872">XLOOKUP(G872,'Dados Funil'!A:A,'Dados Funil'!O:O,"")</f>
        <v/>
      </c>
      <c r="L872" s="4"/>
      <c r="M872" s="4"/>
      <c r="N872" s="7" t="str">
        <f t="shared" si="3"/>
        <v/>
      </c>
      <c r="O872" s="4" t="str">
        <f t="shared" si="11"/>
        <v/>
      </c>
      <c r="P872" s="4" t="str">
        <f t="array" ref="P872">XLOOKUP(L872,'Dados Funil'!A:A,'Dados Funil'!AM:AM,"")</f>
        <v/>
      </c>
      <c r="Q872" s="4" t="str">
        <f t="array" ref="Q872">XLOOKUP(L872,'Dados Funil'!A:A,'Dados Funil'!AN:AN,"")</f>
        <v/>
      </c>
      <c r="T872" s="7" t="str">
        <f t="shared" si="4"/>
        <v/>
      </c>
      <c r="U872" s="4" t="str">
        <f t="shared" si="12"/>
        <v/>
      </c>
      <c r="V872" s="4" t="str">
        <f t="array" ref="V872">XLOOKUP(R872,'Dados Funil'!$A:$A,'Dados Funil'!$K:$K,"")</f>
        <v/>
      </c>
      <c r="W872" s="4" t="str">
        <f t="array" ref="W872">XLOOKUP(R872,'Dados Funil'!$A:$A,'Dados Funil'!$L:$L,"")</f>
        <v/>
      </c>
      <c r="X872" s="4"/>
      <c r="Y872" s="4"/>
      <c r="Z872" s="7" t="str">
        <f t="shared" si="5"/>
        <v/>
      </c>
      <c r="AA872" s="4" t="str">
        <f t="shared" si="13"/>
        <v/>
      </c>
      <c r="AB872" s="4" t="str">
        <f t="array" ref="AB872">XLOOKUP(X872,'Dados Funil'!A:A,'Dados Funil'!O:O,"")</f>
        <v/>
      </c>
      <c r="AE872" s="7" t="str">
        <f t="shared" si="6"/>
        <v/>
      </c>
      <c r="AG872" s="4" t="str">
        <f t="array" ref="AG872">XLOOKUP(AC872,'Dados Funil'!A:A,'Dados Funil'!AM:AM,"")</f>
        <v/>
      </c>
      <c r="AH872" s="4" t="str">
        <f t="array" ref="AH872">XLOOKUP(AC872,'Dados Funil'!A:A,'Dados Funil'!AN:AN,"")</f>
        <v/>
      </c>
    </row>
    <row r="873">
      <c r="A873" s="4"/>
      <c r="B873" s="4"/>
      <c r="C873" s="7" t="str">
        <f t="shared" si="1"/>
        <v/>
      </c>
      <c r="D873" s="4" t="str">
        <f t="shared" si="9"/>
        <v/>
      </c>
      <c r="E873" s="4" t="str">
        <f t="array" ref="E873">XLOOKUP(A873,'Dados Funil'!$A:$A,'Dados Funil'!$K:$K,"")</f>
        <v/>
      </c>
      <c r="F873" s="4" t="str">
        <f t="array" ref="F873">XLOOKUP(A873,'Dados Funil'!$A:$A,'Dados Funil'!$L:$L,"")</f>
        <v/>
      </c>
      <c r="G873" s="4"/>
      <c r="H873" s="4"/>
      <c r="I873" s="7" t="str">
        <f t="shared" si="2"/>
        <v/>
      </c>
      <c r="J873" s="4" t="str">
        <f t="shared" si="10"/>
        <v/>
      </c>
      <c r="K873" s="4" t="str">
        <f t="array" ref="K873">XLOOKUP(G873,'Dados Funil'!A:A,'Dados Funil'!O:O,"")</f>
        <v/>
      </c>
      <c r="L873" s="4"/>
      <c r="M873" s="4"/>
      <c r="N873" s="7" t="str">
        <f t="shared" si="3"/>
        <v/>
      </c>
      <c r="O873" s="4" t="str">
        <f t="shared" si="11"/>
        <v/>
      </c>
      <c r="P873" s="4" t="str">
        <f t="array" ref="P873">XLOOKUP(L873,'Dados Funil'!A:A,'Dados Funil'!AM:AM,"")</f>
        <v/>
      </c>
      <c r="Q873" s="4" t="str">
        <f t="array" ref="Q873">XLOOKUP(L873,'Dados Funil'!A:A,'Dados Funil'!AN:AN,"")</f>
        <v/>
      </c>
      <c r="T873" s="7" t="str">
        <f t="shared" si="4"/>
        <v/>
      </c>
      <c r="U873" s="4" t="str">
        <f t="shared" si="12"/>
        <v/>
      </c>
      <c r="V873" s="4" t="str">
        <f t="array" ref="V873">XLOOKUP(R873,'Dados Funil'!$A:$A,'Dados Funil'!$K:$K,"")</f>
        <v/>
      </c>
      <c r="W873" s="4" t="str">
        <f t="array" ref="W873">XLOOKUP(R873,'Dados Funil'!$A:$A,'Dados Funil'!$L:$L,"")</f>
        <v/>
      </c>
      <c r="X873" s="4"/>
      <c r="Y873" s="4"/>
      <c r="Z873" s="7" t="str">
        <f t="shared" si="5"/>
        <v/>
      </c>
      <c r="AA873" s="4" t="str">
        <f t="shared" si="13"/>
        <v/>
      </c>
      <c r="AB873" s="4" t="str">
        <f t="array" ref="AB873">XLOOKUP(X873,'Dados Funil'!A:A,'Dados Funil'!O:O,"")</f>
        <v/>
      </c>
      <c r="AE873" s="7" t="str">
        <f t="shared" si="6"/>
        <v/>
      </c>
      <c r="AG873" s="4" t="str">
        <f t="array" ref="AG873">XLOOKUP(AC873,'Dados Funil'!A:A,'Dados Funil'!AM:AM,"")</f>
        <v/>
      </c>
      <c r="AH873" s="4" t="str">
        <f t="array" ref="AH873">XLOOKUP(AC873,'Dados Funil'!A:A,'Dados Funil'!AN:AN,"")</f>
        <v/>
      </c>
    </row>
    <row r="874">
      <c r="A874" s="4"/>
      <c r="B874" s="4"/>
      <c r="C874" s="7" t="str">
        <f t="shared" si="1"/>
        <v/>
      </c>
      <c r="D874" s="4" t="str">
        <f t="shared" si="9"/>
        <v/>
      </c>
      <c r="E874" s="4" t="str">
        <f t="array" ref="E874">XLOOKUP(A874,'Dados Funil'!$A:$A,'Dados Funil'!$K:$K,"")</f>
        <v/>
      </c>
      <c r="F874" s="4" t="str">
        <f t="array" ref="F874">XLOOKUP(A874,'Dados Funil'!$A:$A,'Dados Funil'!$L:$L,"")</f>
        <v/>
      </c>
      <c r="G874" s="4"/>
      <c r="H874" s="4"/>
      <c r="I874" s="7" t="str">
        <f t="shared" si="2"/>
        <v/>
      </c>
      <c r="J874" s="4" t="str">
        <f t="shared" si="10"/>
        <v/>
      </c>
      <c r="K874" s="4" t="str">
        <f t="array" ref="K874">XLOOKUP(G874,'Dados Funil'!A:A,'Dados Funil'!O:O,"")</f>
        <v/>
      </c>
      <c r="L874" s="4"/>
      <c r="M874" s="4"/>
      <c r="N874" s="7" t="str">
        <f t="shared" si="3"/>
        <v/>
      </c>
      <c r="O874" s="4" t="str">
        <f t="shared" si="11"/>
        <v/>
      </c>
      <c r="P874" s="4" t="str">
        <f t="array" ref="P874">XLOOKUP(L874,'Dados Funil'!A:A,'Dados Funil'!AM:AM,"")</f>
        <v/>
      </c>
      <c r="Q874" s="4" t="str">
        <f t="array" ref="Q874">XLOOKUP(L874,'Dados Funil'!A:A,'Dados Funil'!AN:AN,"")</f>
        <v/>
      </c>
      <c r="T874" s="7" t="str">
        <f t="shared" si="4"/>
        <v/>
      </c>
      <c r="U874" s="4" t="str">
        <f t="shared" si="12"/>
        <v/>
      </c>
      <c r="V874" s="4" t="str">
        <f t="array" ref="V874">XLOOKUP(R874,'Dados Funil'!$A:$A,'Dados Funil'!$K:$K,"")</f>
        <v/>
      </c>
      <c r="W874" s="4" t="str">
        <f t="array" ref="W874">XLOOKUP(R874,'Dados Funil'!$A:$A,'Dados Funil'!$L:$L,"")</f>
        <v/>
      </c>
      <c r="X874" s="4"/>
      <c r="Y874" s="4"/>
      <c r="Z874" s="7" t="str">
        <f t="shared" si="5"/>
        <v/>
      </c>
      <c r="AA874" s="4" t="str">
        <f t="shared" si="13"/>
        <v/>
      </c>
      <c r="AB874" s="4" t="str">
        <f t="array" ref="AB874">XLOOKUP(X874,'Dados Funil'!A:A,'Dados Funil'!O:O,"")</f>
        <v/>
      </c>
      <c r="AE874" s="7" t="str">
        <f t="shared" si="6"/>
        <v/>
      </c>
      <c r="AG874" s="4" t="str">
        <f t="array" ref="AG874">XLOOKUP(AC874,'Dados Funil'!A:A,'Dados Funil'!AM:AM,"")</f>
        <v/>
      </c>
      <c r="AH874" s="4" t="str">
        <f t="array" ref="AH874">XLOOKUP(AC874,'Dados Funil'!A:A,'Dados Funil'!AN:AN,"")</f>
        <v/>
      </c>
    </row>
    <row r="875">
      <c r="A875" s="4"/>
      <c r="B875" s="4"/>
      <c r="C875" s="7" t="str">
        <f t="shared" si="1"/>
        <v/>
      </c>
      <c r="D875" s="4" t="str">
        <f t="shared" si="9"/>
        <v/>
      </c>
      <c r="E875" s="4" t="str">
        <f t="array" ref="E875">XLOOKUP(A875,'Dados Funil'!$A:$A,'Dados Funil'!$K:$K,"")</f>
        <v/>
      </c>
      <c r="F875" s="4" t="str">
        <f t="array" ref="F875">XLOOKUP(A875,'Dados Funil'!$A:$A,'Dados Funil'!$L:$L,"")</f>
        <v/>
      </c>
      <c r="G875" s="4"/>
      <c r="H875" s="4"/>
      <c r="I875" s="7" t="str">
        <f t="shared" si="2"/>
        <v/>
      </c>
      <c r="J875" s="4" t="str">
        <f t="shared" si="10"/>
        <v/>
      </c>
      <c r="K875" s="4" t="str">
        <f t="array" ref="K875">XLOOKUP(G875,'Dados Funil'!A:A,'Dados Funil'!O:O,"")</f>
        <v/>
      </c>
      <c r="L875" s="4"/>
      <c r="M875" s="4"/>
      <c r="N875" s="7" t="str">
        <f t="shared" si="3"/>
        <v/>
      </c>
      <c r="O875" s="4" t="str">
        <f t="shared" si="11"/>
        <v/>
      </c>
      <c r="P875" s="4" t="str">
        <f t="array" ref="P875">XLOOKUP(L875,'Dados Funil'!A:A,'Dados Funil'!AM:AM,"")</f>
        <v/>
      </c>
      <c r="Q875" s="4" t="str">
        <f t="array" ref="Q875">XLOOKUP(L875,'Dados Funil'!A:A,'Dados Funil'!AN:AN,"")</f>
        <v/>
      </c>
      <c r="T875" s="7" t="str">
        <f t="shared" si="4"/>
        <v/>
      </c>
      <c r="U875" s="4" t="str">
        <f t="shared" si="12"/>
        <v/>
      </c>
      <c r="V875" s="4" t="str">
        <f t="array" ref="V875">XLOOKUP(R875,'Dados Funil'!$A:$A,'Dados Funil'!$K:$K,"")</f>
        <v/>
      </c>
      <c r="W875" s="4" t="str">
        <f t="array" ref="W875">XLOOKUP(R875,'Dados Funil'!$A:$A,'Dados Funil'!$L:$L,"")</f>
        <v/>
      </c>
      <c r="X875" s="4"/>
      <c r="Y875" s="4"/>
      <c r="Z875" s="7" t="str">
        <f t="shared" si="5"/>
        <v/>
      </c>
      <c r="AA875" s="4" t="str">
        <f t="shared" si="13"/>
        <v/>
      </c>
      <c r="AB875" s="4" t="str">
        <f t="array" ref="AB875">XLOOKUP(X875,'Dados Funil'!A:A,'Dados Funil'!O:O,"")</f>
        <v/>
      </c>
      <c r="AE875" s="7" t="str">
        <f t="shared" si="6"/>
        <v/>
      </c>
      <c r="AG875" s="4" t="str">
        <f t="array" ref="AG875">XLOOKUP(AC875,'Dados Funil'!A:A,'Dados Funil'!AM:AM,"")</f>
        <v/>
      </c>
      <c r="AH875" s="4" t="str">
        <f t="array" ref="AH875">XLOOKUP(AC875,'Dados Funil'!A:A,'Dados Funil'!AN:AN,"")</f>
        <v/>
      </c>
    </row>
    <row r="876">
      <c r="A876" s="4"/>
      <c r="B876" s="4"/>
      <c r="C876" s="7" t="str">
        <f t="shared" si="1"/>
        <v/>
      </c>
      <c r="D876" s="4" t="str">
        <f t="shared" si="9"/>
        <v/>
      </c>
      <c r="E876" s="4" t="str">
        <f t="array" ref="E876">XLOOKUP(A876,'Dados Funil'!$A:$A,'Dados Funil'!$K:$K,"")</f>
        <v/>
      </c>
      <c r="F876" s="4" t="str">
        <f t="array" ref="F876">XLOOKUP(A876,'Dados Funil'!$A:$A,'Dados Funil'!$L:$L,"")</f>
        <v/>
      </c>
      <c r="G876" s="4"/>
      <c r="H876" s="4"/>
      <c r="I876" s="7" t="str">
        <f t="shared" si="2"/>
        <v/>
      </c>
      <c r="J876" s="4" t="str">
        <f t="shared" si="10"/>
        <v/>
      </c>
      <c r="K876" s="4" t="str">
        <f t="array" ref="K876">XLOOKUP(G876,'Dados Funil'!A:A,'Dados Funil'!O:O,"")</f>
        <v/>
      </c>
      <c r="L876" s="4"/>
      <c r="M876" s="4"/>
      <c r="N876" s="7" t="str">
        <f t="shared" si="3"/>
        <v/>
      </c>
      <c r="O876" s="4" t="str">
        <f t="shared" si="11"/>
        <v/>
      </c>
      <c r="P876" s="4" t="str">
        <f t="array" ref="P876">XLOOKUP(L876,'Dados Funil'!A:A,'Dados Funil'!AM:AM,"")</f>
        <v/>
      </c>
      <c r="Q876" s="4" t="str">
        <f t="array" ref="Q876">XLOOKUP(L876,'Dados Funil'!A:A,'Dados Funil'!AN:AN,"")</f>
        <v/>
      </c>
      <c r="T876" s="7" t="str">
        <f t="shared" si="4"/>
        <v/>
      </c>
      <c r="U876" s="4" t="str">
        <f t="shared" si="12"/>
        <v/>
      </c>
      <c r="V876" s="4" t="str">
        <f t="array" ref="V876">XLOOKUP(R876,'Dados Funil'!$A:$A,'Dados Funil'!$K:$K,"")</f>
        <v/>
      </c>
      <c r="W876" s="4" t="str">
        <f t="array" ref="W876">XLOOKUP(R876,'Dados Funil'!$A:$A,'Dados Funil'!$L:$L,"")</f>
        <v/>
      </c>
      <c r="X876" s="4"/>
      <c r="Y876" s="4"/>
      <c r="Z876" s="7" t="str">
        <f t="shared" si="5"/>
        <v/>
      </c>
      <c r="AA876" s="4" t="str">
        <f t="shared" si="13"/>
        <v/>
      </c>
      <c r="AB876" s="4" t="str">
        <f t="array" ref="AB876">XLOOKUP(X876,'Dados Funil'!A:A,'Dados Funil'!O:O,"")</f>
        <v/>
      </c>
      <c r="AE876" s="7" t="str">
        <f t="shared" si="6"/>
        <v/>
      </c>
      <c r="AG876" s="4" t="str">
        <f t="array" ref="AG876">XLOOKUP(AC876,'Dados Funil'!A:A,'Dados Funil'!AM:AM,"")</f>
        <v/>
      </c>
      <c r="AH876" s="4" t="str">
        <f t="array" ref="AH876">XLOOKUP(AC876,'Dados Funil'!A:A,'Dados Funil'!AN:AN,"")</f>
        <v/>
      </c>
    </row>
    <row r="877">
      <c r="A877" s="4"/>
      <c r="B877" s="4"/>
      <c r="C877" s="7" t="str">
        <f t="shared" si="1"/>
        <v/>
      </c>
      <c r="D877" s="4" t="str">
        <f t="shared" si="9"/>
        <v/>
      </c>
      <c r="E877" s="4" t="str">
        <f t="array" ref="E877">XLOOKUP(A877,'Dados Funil'!$A:$A,'Dados Funil'!$K:$K,"")</f>
        <v/>
      </c>
      <c r="F877" s="4" t="str">
        <f t="array" ref="F877">XLOOKUP(A877,'Dados Funil'!$A:$A,'Dados Funil'!$L:$L,"")</f>
        <v/>
      </c>
      <c r="G877" s="4"/>
      <c r="H877" s="4"/>
      <c r="I877" s="7" t="str">
        <f t="shared" si="2"/>
        <v/>
      </c>
      <c r="J877" s="4" t="str">
        <f t="shared" si="10"/>
        <v/>
      </c>
      <c r="K877" s="4" t="str">
        <f t="array" ref="K877">XLOOKUP(G877,'Dados Funil'!A:A,'Dados Funil'!O:O,"")</f>
        <v/>
      </c>
      <c r="L877" s="4"/>
      <c r="M877" s="4"/>
      <c r="N877" s="7" t="str">
        <f t="shared" si="3"/>
        <v/>
      </c>
      <c r="O877" s="4" t="str">
        <f t="shared" si="11"/>
        <v/>
      </c>
      <c r="P877" s="4" t="str">
        <f t="array" ref="P877">XLOOKUP(L877,'Dados Funil'!A:A,'Dados Funil'!AM:AM,"")</f>
        <v/>
      </c>
      <c r="Q877" s="4" t="str">
        <f t="array" ref="Q877">XLOOKUP(L877,'Dados Funil'!A:A,'Dados Funil'!AN:AN,"")</f>
        <v/>
      </c>
      <c r="T877" s="7" t="str">
        <f t="shared" si="4"/>
        <v/>
      </c>
      <c r="U877" s="4" t="str">
        <f t="shared" si="12"/>
        <v/>
      </c>
      <c r="V877" s="4" t="str">
        <f t="array" ref="V877">XLOOKUP(R877,'Dados Funil'!$A:$A,'Dados Funil'!$K:$K,"")</f>
        <v/>
      </c>
      <c r="W877" s="4" t="str">
        <f t="array" ref="W877">XLOOKUP(R877,'Dados Funil'!$A:$A,'Dados Funil'!$L:$L,"")</f>
        <v/>
      </c>
      <c r="X877" s="4"/>
      <c r="Y877" s="4"/>
      <c r="Z877" s="7" t="str">
        <f t="shared" si="5"/>
        <v/>
      </c>
      <c r="AA877" s="4" t="str">
        <f t="shared" si="13"/>
        <v/>
      </c>
      <c r="AB877" s="4" t="str">
        <f t="array" ref="AB877">XLOOKUP(X877,'Dados Funil'!A:A,'Dados Funil'!O:O,"")</f>
        <v/>
      </c>
      <c r="AE877" s="7" t="str">
        <f t="shared" si="6"/>
        <v/>
      </c>
      <c r="AG877" s="4" t="str">
        <f t="array" ref="AG877">XLOOKUP(AC877,'Dados Funil'!A:A,'Dados Funil'!AM:AM,"")</f>
        <v/>
      </c>
      <c r="AH877" s="4" t="str">
        <f t="array" ref="AH877">XLOOKUP(AC877,'Dados Funil'!A:A,'Dados Funil'!AN:AN,"")</f>
        <v/>
      </c>
    </row>
    <row r="878">
      <c r="A878" s="4"/>
      <c r="B878" s="4"/>
      <c r="C878" s="7" t="str">
        <f t="shared" si="1"/>
        <v/>
      </c>
      <c r="D878" s="4" t="str">
        <f t="shared" si="9"/>
        <v/>
      </c>
      <c r="E878" s="4" t="str">
        <f t="array" ref="E878">XLOOKUP(A878,'Dados Funil'!$A:$A,'Dados Funil'!$K:$K,"")</f>
        <v/>
      </c>
      <c r="F878" s="4" t="str">
        <f t="array" ref="F878">XLOOKUP(A878,'Dados Funil'!$A:$A,'Dados Funil'!$L:$L,"")</f>
        <v/>
      </c>
      <c r="G878" s="4"/>
      <c r="H878" s="4"/>
      <c r="I878" s="7" t="str">
        <f t="shared" si="2"/>
        <v/>
      </c>
      <c r="J878" s="4" t="str">
        <f t="shared" si="10"/>
        <v/>
      </c>
      <c r="K878" s="4" t="str">
        <f t="array" ref="K878">XLOOKUP(G878,'Dados Funil'!A:A,'Dados Funil'!O:O,"")</f>
        <v/>
      </c>
      <c r="L878" s="4"/>
      <c r="M878" s="4"/>
      <c r="N878" s="7" t="str">
        <f t="shared" si="3"/>
        <v/>
      </c>
      <c r="O878" s="4" t="str">
        <f t="shared" si="11"/>
        <v/>
      </c>
      <c r="P878" s="4" t="str">
        <f t="array" ref="P878">XLOOKUP(L878,'Dados Funil'!A:A,'Dados Funil'!AM:AM,"")</f>
        <v/>
      </c>
      <c r="Q878" s="4" t="str">
        <f t="array" ref="Q878">XLOOKUP(L878,'Dados Funil'!A:A,'Dados Funil'!AN:AN,"")</f>
        <v/>
      </c>
      <c r="T878" s="7" t="str">
        <f t="shared" si="4"/>
        <v/>
      </c>
      <c r="U878" s="4" t="str">
        <f t="shared" si="12"/>
        <v/>
      </c>
      <c r="V878" s="4" t="str">
        <f t="array" ref="V878">XLOOKUP(R878,'Dados Funil'!$A:$A,'Dados Funil'!$K:$K,"")</f>
        <v/>
      </c>
      <c r="W878" s="4" t="str">
        <f t="array" ref="W878">XLOOKUP(R878,'Dados Funil'!$A:$A,'Dados Funil'!$L:$L,"")</f>
        <v/>
      </c>
      <c r="X878" s="4"/>
      <c r="Y878" s="4"/>
      <c r="Z878" s="7" t="str">
        <f t="shared" si="5"/>
        <v/>
      </c>
      <c r="AA878" s="4" t="str">
        <f t="shared" si="13"/>
        <v/>
      </c>
      <c r="AB878" s="4" t="str">
        <f t="array" ref="AB878">XLOOKUP(X878,'Dados Funil'!A:A,'Dados Funil'!O:O,"")</f>
        <v/>
      </c>
      <c r="AE878" s="7" t="str">
        <f t="shared" si="6"/>
        <v/>
      </c>
      <c r="AG878" s="4" t="str">
        <f t="array" ref="AG878">XLOOKUP(AC878,'Dados Funil'!A:A,'Dados Funil'!AM:AM,"")</f>
        <v/>
      </c>
      <c r="AH878" s="4" t="str">
        <f t="array" ref="AH878">XLOOKUP(AC878,'Dados Funil'!A:A,'Dados Funil'!AN:AN,"")</f>
        <v/>
      </c>
    </row>
    <row r="879">
      <c r="A879" s="4"/>
      <c r="B879" s="4"/>
      <c r="C879" s="7" t="str">
        <f t="shared" si="1"/>
        <v/>
      </c>
      <c r="D879" s="4" t="str">
        <f t="shared" si="9"/>
        <v/>
      </c>
      <c r="E879" s="4" t="str">
        <f t="array" ref="E879">XLOOKUP(A879,'Dados Funil'!$A:$A,'Dados Funil'!$K:$K,"")</f>
        <v/>
      </c>
      <c r="F879" s="4" t="str">
        <f t="array" ref="F879">XLOOKUP(A879,'Dados Funil'!$A:$A,'Dados Funil'!$L:$L,"")</f>
        <v/>
      </c>
      <c r="G879" s="4"/>
      <c r="H879" s="4"/>
      <c r="I879" s="7" t="str">
        <f t="shared" si="2"/>
        <v/>
      </c>
      <c r="J879" s="4" t="str">
        <f t="shared" si="10"/>
        <v/>
      </c>
      <c r="K879" s="4" t="str">
        <f t="array" ref="K879">XLOOKUP(G879,'Dados Funil'!A:A,'Dados Funil'!O:O,"")</f>
        <v/>
      </c>
      <c r="L879" s="4"/>
      <c r="M879" s="4"/>
      <c r="N879" s="7" t="str">
        <f t="shared" si="3"/>
        <v/>
      </c>
      <c r="O879" s="4" t="str">
        <f t="shared" si="11"/>
        <v/>
      </c>
      <c r="P879" s="4" t="str">
        <f t="array" ref="P879">XLOOKUP(L879,'Dados Funil'!A:A,'Dados Funil'!AM:AM,"")</f>
        <v/>
      </c>
      <c r="Q879" s="4" t="str">
        <f t="array" ref="Q879">XLOOKUP(L879,'Dados Funil'!A:A,'Dados Funil'!AN:AN,"")</f>
        <v/>
      </c>
      <c r="T879" s="7" t="str">
        <f t="shared" si="4"/>
        <v/>
      </c>
      <c r="U879" s="4" t="str">
        <f t="shared" si="12"/>
        <v/>
      </c>
      <c r="V879" s="4" t="str">
        <f t="array" ref="V879">XLOOKUP(R879,'Dados Funil'!$A:$A,'Dados Funil'!$K:$K,"")</f>
        <v/>
      </c>
      <c r="W879" s="4" t="str">
        <f t="array" ref="W879">XLOOKUP(R879,'Dados Funil'!$A:$A,'Dados Funil'!$L:$L,"")</f>
        <v/>
      </c>
      <c r="X879" s="4"/>
      <c r="Y879" s="4"/>
      <c r="Z879" s="7" t="str">
        <f t="shared" si="5"/>
        <v/>
      </c>
      <c r="AA879" s="4" t="str">
        <f t="shared" si="13"/>
        <v/>
      </c>
      <c r="AB879" s="4" t="str">
        <f t="array" ref="AB879">XLOOKUP(X879,'Dados Funil'!A:A,'Dados Funil'!O:O,"")</f>
        <v/>
      </c>
      <c r="AE879" s="7" t="str">
        <f t="shared" si="6"/>
        <v/>
      </c>
      <c r="AG879" s="4" t="str">
        <f t="array" ref="AG879">XLOOKUP(AC879,'Dados Funil'!A:A,'Dados Funil'!AM:AM,"")</f>
        <v/>
      </c>
      <c r="AH879" s="4" t="str">
        <f t="array" ref="AH879">XLOOKUP(AC879,'Dados Funil'!A:A,'Dados Funil'!AN:AN,"")</f>
        <v/>
      </c>
    </row>
    <row r="880">
      <c r="A880" s="4"/>
      <c r="B880" s="4"/>
      <c r="C880" s="7" t="str">
        <f t="shared" si="1"/>
        <v/>
      </c>
      <c r="D880" s="4" t="str">
        <f t="shared" si="9"/>
        <v/>
      </c>
      <c r="E880" s="4" t="str">
        <f t="array" ref="E880">XLOOKUP(A880,'Dados Funil'!$A:$A,'Dados Funil'!$K:$K,"")</f>
        <v/>
      </c>
      <c r="F880" s="4" t="str">
        <f t="array" ref="F880">XLOOKUP(A880,'Dados Funil'!$A:$A,'Dados Funil'!$L:$L,"")</f>
        <v/>
      </c>
      <c r="G880" s="4"/>
      <c r="H880" s="4"/>
      <c r="I880" s="7" t="str">
        <f t="shared" si="2"/>
        <v/>
      </c>
      <c r="J880" s="4" t="str">
        <f t="shared" si="10"/>
        <v/>
      </c>
      <c r="K880" s="4" t="str">
        <f t="array" ref="K880">XLOOKUP(G880,'Dados Funil'!A:A,'Dados Funil'!O:O,"")</f>
        <v/>
      </c>
      <c r="L880" s="4"/>
      <c r="M880" s="4"/>
      <c r="N880" s="7" t="str">
        <f t="shared" si="3"/>
        <v/>
      </c>
      <c r="O880" s="4" t="str">
        <f t="shared" si="11"/>
        <v/>
      </c>
      <c r="P880" s="4" t="str">
        <f t="array" ref="P880">XLOOKUP(L880,'Dados Funil'!A:A,'Dados Funil'!AM:AM,"")</f>
        <v/>
      </c>
      <c r="Q880" s="4" t="str">
        <f t="array" ref="Q880">XLOOKUP(L880,'Dados Funil'!A:A,'Dados Funil'!AN:AN,"")</f>
        <v/>
      </c>
      <c r="T880" s="7" t="str">
        <f t="shared" si="4"/>
        <v/>
      </c>
      <c r="U880" s="4" t="str">
        <f t="shared" si="12"/>
        <v/>
      </c>
      <c r="V880" s="4" t="str">
        <f t="array" ref="V880">XLOOKUP(R880,'Dados Funil'!$A:$A,'Dados Funil'!$K:$K,"")</f>
        <v/>
      </c>
      <c r="W880" s="4" t="str">
        <f t="array" ref="W880">XLOOKUP(R880,'Dados Funil'!$A:$A,'Dados Funil'!$L:$L,"")</f>
        <v/>
      </c>
      <c r="X880" s="4"/>
      <c r="Y880" s="4"/>
      <c r="Z880" s="7" t="str">
        <f t="shared" si="5"/>
        <v/>
      </c>
      <c r="AA880" s="4" t="str">
        <f t="shared" si="13"/>
        <v/>
      </c>
      <c r="AB880" s="4" t="str">
        <f t="array" ref="AB880">XLOOKUP(X880,'Dados Funil'!A:A,'Dados Funil'!O:O,"")</f>
        <v/>
      </c>
      <c r="AE880" s="7" t="str">
        <f t="shared" si="6"/>
        <v/>
      </c>
      <c r="AG880" s="4" t="str">
        <f t="array" ref="AG880">XLOOKUP(AC880,'Dados Funil'!A:A,'Dados Funil'!AM:AM,"")</f>
        <v/>
      </c>
      <c r="AH880" s="4" t="str">
        <f t="array" ref="AH880">XLOOKUP(AC880,'Dados Funil'!A:A,'Dados Funil'!AN:AN,"")</f>
        <v/>
      </c>
    </row>
    <row r="881">
      <c r="A881" s="4"/>
      <c r="B881" s="4"/>
      <c r="C881" s="7" t="str">
        <f t="shared" si="1"/>
        <v/>
      </c>
      <c r="D881" s="4" t="str">
        <f t="shared" si="9"/>
        <v/>
      </c>
      <c r="E881" s="4" t="str">
        <f t="array" ref="E881">XLOOKUP(A881,'Dados Funil'!$A:$A,'Dados Funil'!$K:$K,"")</f>
        <v/>
      </c>
      <c r="F881" s="4" t="str">
        <f t="array" ref="F881">XLOOKUP(A881,'Dados Funil'!$A:$A,'Dados Funil'!$L:$L,"")</f>
        <v/>
      </c>
      <c r="G881" s="4"/>
      <c r="H881" s="4"/>
      <c r="I881" s="7" t="str">
        <f t="shared" si="2"/>
        <v/>
      </c>
      <c r="J881" s="4" t="str">
        <f t="shared" si="10"/>
        <v/>
      </c>
      <c r="K881" s="4" t="str">
        <f t="array" ref="K881">XLOOKUP(G881,'Dados Funil'!A:A,'Dados Funil'!O:O,"")</f>
        <v/>
      </c>
      <c r="L881" s="4"/>
      <c r="M881" s="4"/>
      <c r="N881" s="7" t="str">
        <f t="shared" si="3"/>
        <v/>
      </c>
      <c r="O881" s="4" t="str">
        <f t="shared" si="11"/>
        <v/>
      </c>
      <c r="P881" s="4" t="str">
        <f t="array" ref="P881">XLOOKUP(L881,'Dados Funil'!A:A,'Dados Funil'!AM:AM,"")</f>
        <v/>
      </c>
      <c r="Q881" s="4" t="str">
        <f t="array" ref="Q881">XLOOKUP(L881,'Dados Funil'!A:A,'Dados Funil'!AN:AN,"")</f>
        <v/>
      </c>
      <c r="T881" s="7" t="str">
        <f t="shared" si="4"/>
        <v/>
      </c>
      <c r="U881" s="4" t="str">
        <f t="shared" si="12"/>
        <v/>
      </c>
      <c r="V881" s="4" t="str">
        <f t="array" ref="V881">XLOOKUP(R881,'Dados Funil'!$A:$A,'Dados Funil'!$K:$K,"")</f>
        <v/>
      </c>
      <c r="W881" s="4" t="str">
        <f t="array" ref="W881">XLOOKUP(R881,'Dados Funil'!$A:$A,'Dados Funil'!$L:$L,"")</f>
        <v/>
      </c>
      <c r="X881" s="4"/>
      <c r="Y881" s="4"/>
      <c r="Z881" s="7" t="str">
        <f t="shared" si="5"/>
        <v/>
      </c>
      <c r="AA881" s="4" t="str">
        <f t="shared" si="13"/>
        <v/>
      </c>
      <c r="AB881" s="4" t="str">
        <f t="array" ref="AB881">XLOOKUP(X881,'Dados Funil'!A:A,'Dados Funil'!O:O,"")</f>
        <v/>
      </c>
      <c r="AE881" s="7" t="str">
        <f t="shared" si="6"/>
        <v/>
      </c>
      <c r="AG881" s="4" t="str">
        <f t="array" ref="AG881">XLOOKUP(AC881,'Dados Funil'!A:A,'Dados Funil'!AM:AM,"")</f>
        <v/>
      </c>
      <c r="AH881" s="4" t="str">
        <f t="array" ref="AH881">XLOOKUP(AC881,'Dados Funil'!A:A,'Dados Funil'!AN:AN,"")</f>
        <v/>
      </c>
    </row>
    <row r="882">
      <c r="A882" s="4"/>
      <c r="B882" s="4"/>
      <c r="C882" s="7" t="str">
        <f t="shared" si="1"/>
        <v/>
      </c>
      <c r="D882" s="4" t="str">
        <f t="shared" si="9"/>
        <v/>
      </c>
      <c r="E882" s="4" t="str">
        <f t="array" ref="E882">XLOOKUP(A882,'Dados Funil'!$A:$A,'Dados Funil'!$K:$K,"")</f>
        <v/>
      </c>
      <c r="F882" s="4" t="str">
        <f t="array" ref="F882">XLOOKUP(A882,'Dados Funil'!$A:$A,'Dados Funil'!$L:$L,"")</f>
        <v/>
      </c>
      <c r="G882" s="4"/>
      <c r="H882" s="4"/>
      <c r="I882" s="7" t="str">
        <f t="shared" si="2"/>
        <v/>
      </c>
      <c r="J882" s="4" t="str">
        <f t="shared" si="10"/>
        <v/>
      </c>
      <c r="K882" s="4" t="str">
        <f t="array" ref="K882">XLOOKUP(G882,'Dados Funil'!A:A,'Dados Funil'!O:O,"")</f>
        <v/>
      </c>
      <c r="L882" s="4"/>
      <c r="M882" s="4"/>
      <c r="N882" s="7" t="str">
        <f t="shared" si="3"/>
        <v/>
      </c>
      <c r="O882" s="4" t="str">
        <f t="shared" si="11"/>
        <v/>
      </c>
      <c r="P882" s="4" t="str">
        <f t="array" ref="P882">XLOOKUP(L882,'Dados Funil'!A:A,'Dados Funil'!AM:AM,"")</f>
        <v/>
      </c>
      <c r="Q882" s="4" t="str">
        <f t="array" ref="Q882">XLOOKUP(L882,'Dados Funil'!A:A,'Dados Funil'!AN:AN,"")</f>
        <v/>
      </c>
      <c r="T882" s="7" t="str">
        <f t="shared" si="4"/>
        <v/>
      </c>
      <c r="U882" s="4" t="str">
        <f t="shared" si="12"/>
        <v/>
      </c>
      <c r="V882" s="4" t="str">
        <f t="array" ref="V882">XLOOKUP(R882,'Dados Funil'!$A:$A,'Dados Funil'!$K:$K,"")</f>
        <v/>
      </c>
      <c r="W882" s="4" t="str">
        <f t="array" ref="W882">XLOOKUP(R882,'Dados Funil'!$A:$A,'Dados Funil'!$L:$L,"")</f>
        <v/>
      </c>
      <c r="X882" s="4"/>
      <c r="Y882" s="4"/>
      <c r="Z882" s="7" t="str">
        <f t="shared" si="5"/>
        <v/>
      </c>
      <c r="AA882" s="4" t="str">
        <f t="shared" si="13"/>
        <v/>
      </c>
      <c r="AB882" s="4" t="str">
        <f t="array" ref="AB882">XLOOKUP(X882,'Dados Funil'!A:A,'Dados Funil'!O:O,"")</f>
        <v/>
      </c>
      <c r="AE882" s="7" t="str">
        <f t="shared" si="6"/>
        <v/>
      </c>
      <c r="AG882" s="4" t="str">
        <f t="array" ref="AG882">XLOOKUP(AC882,'Dados Funil'!A:A,'Dados Funil'!AM:AM,"")</f>
        <v/>
      </c>
      <c r="AH882" s="4" t="str">
        <f t="array" ref="AH882">XLOOKUP(AC882,'Dados Funil'!A:A,'Dados Funil'!AN:AN,"")</f>
        <v/>
      </c>
    </row>
    <row r="883">
      <c r="A883" s="4"/>
      <c r="B883" s="4"/>
      <c r="C883" s="7" t="str">
        <f t="shared" si="1"/>
        <v/>
      </c>
      <c r="D883" s="4" t="str">
        <f t="shared" si="9"/>
        <v/>
      </c>
      <c r="E883" s="4" t="str">
        <f t="array" ref="E883">XLOOKUP(A883,'Dados Funil'!$A:$A,'Dados Funil'!$K:$K,"")</f>
        <v/>
      </c>
      <c r="F883" s="4" t="str">
        <f t="array" ref="F883">XLOOKUP(A883,'Dados Funil'!$A:$A,'Dados Funil'!$L:$L,"")</f>
        <v/>
      </c>
      <c r="G883" s="4"/>
      <c r="H883" s="4"/>
      <c r="I883" s="7" t="str">
        <f t="shared" si="2"/>
        <v/>
      </c>
      <c r="J883" s="4" t="str">
        <f t="shared" si="10"/>
        <v/>
      </c>
      <c r="K883" s="4" t="str">
        <f t="array" ref="K883">XLOOKUP(G883,'Dados Funil'!A:A,'Dados Funil'!O:O,"")</f>
        <v/>
      </c>
      <c r="L883" s="4"/>
      <c r="M883" s="4"/>
      <c r="N883" s="7" t="str">
        <f t="shared" si="3"/>
        <v/>
      </c>
      <c r="O883" s="4" t="str">
        <f t="shared" si="11"/>
        <v/>
      </c>
      <c r="P883" s="4" t="str">
        <f t="array" ref="P883">XLOOKUP(L883,'Dados Funil'!A:A,'Dados Funil'!AM:AM,"")</f>
        <v/>
      </c>
      <c r="Q883" s="4" t="str">
        <f t="array" ref="Q883">XLOOKUP(L883,'Dados Funil'!A:A,'Dados Funil'!AN:AN,"")</f>
        <v/>
      </c>
      <c r="T883" s="7" t="str">
        <f t="shared" si="4"/>
        <v/>
      </c>
      <c r="U883" s="4" t="str">
        <f t="shared" si="12"/>
        <v/>
      </c>
      <c r="V883" s="4" t="str">
        <f t="array" ref="V883">XLOOKUP(R883,'Dados Funil'!$A:$A,'Dados Funil'!$K:$K,"")</f>
        <v/>
      </c>
      <c r="W883" s="4" t="str">
        <f t="array" ref="W883">XLOOKUP(R883,'Dados Funil'!$A:$A,'Dados Funil'!$L:$L,"")</f>
        <v/>
      </c>
      <c r="X883" s="4"/>
      <c r="Y883" s="4"/>
      <c r="Z883" s="7" t="str">
        <f t="shared" si="5"/>
        <v/>
      </c>
      <c r="AA883" s="4" t="str">
        <f t="shared" si="13"/>
        <v/>
      </c>
      <c r="AB883" s="4" t="str">
        <f t="array" ref="AB883">XLOOKUP(X883,'Dados Funil'!A:A,'Dados Funil'!O:O,"")</f>
        <v/>
      </c>
      <c r="AE883" s="7" t="str">
        <f t="shared" si="6"/>
        <v/>
      </c>
      <c r="AG883" s="4" t="str">
        <f t="array" ref="AG883">XLOOKUP(AC883,'Dados Funil'!A:A,'Dados Funil'!AM:AM,"")</f>
        <v/>
      </c>
      <c r="AH883" s="4" t="str">
        <f t="array" ref="AH883">XLOOKUP(AC883,'Dados Funil'!A:A,'Dados Funil'!AN:AN,"")</f>
        <v/>
      </c>
    </row>
    <row r="884">
      <c r="A884" s="4"/>
      <c r="B884" s="4"/>
      <c r="C884" s="7" t="str">
        <f t="shared" si="1"/>
        <v/>
      </c>
      <c r="D884" s="4" t="str">
        <f t="shared" si="9"/>
        <v/>
      </c>
      <c r="E884" s="4" t="str">
        <f t="array" ref="E884">XLOOKUP(A884,'Dados Funil'!$A:$A,'Dados Funil'!$K:$K,"")</f>
        <v/>
      </c>
      <c r="F884" s="4" t="str">
        <f t="array" ref="F884">XLOOKUP(A884,'Dados Funil'!$A:$A,'Dados Funil'!$L:$L,"")</f>
        <v/>
      </c>
      <c r="G884" s="4"/>
      <c r="H884" s="4"/>
      <c r="I884" s="7" t="str">
        <f t="shared" si="2"/>
        <v/>
      </c>
      <c r="J884" s="4" t="str">
        <f t="shared" si="10"/>
        <v/>
      </c>
      <c r="K884" s="4" t="str">
        <f t="array" ref="K884">XLOOKUP(G884,'Dados Funil'!A:A,'Dados Funil'!O:O,"")</f>
        <v/>
      </c>
      <c r="L884" s="4"/>
      <c r="M884" s="4"/>
      <c r="N884" s="7" t="str">
        <f t="shared" si="3"/>
        <v/>
      </c>
      <c r="O884" s="4" t="str">
        <f t="shared" si="11"/>
        <v/>
      </c>
      <c r="P884" s="4" t="str">
        <f t="array" ref="P884">XLOOKUP(L884,'Dados Funil'!A:A,'Dados Funil'!AM:AM,"")</f>
        <v/>
      </c>
      <c r="Q884" s="4" t="str">
        <f t="array" ref="Q884">XLOOKUP(L884,'Dados Funil'!A:A,'Dados Funil'!AN:AN,"")</f>
        <v/>
      </c>
      <c r="T884" s="7" t="str">
        <f t="shared" si="4"/>
        <v/>
      </c>
      <c r="U884" s="4" t="str">
        <f t="shared" si="12"/>
        <v/>
      </c>
      <c r="V884" s="4" t="str">
        <f t="array" ref="V884">XLOOKUP(R884,'Dados Funil'!$A:$A,'Dados Funil'!$K:$K,"")</f>
        <v/>
      </c>
      <c r="W884" s="4" t="str">
        <f t="array" ref="W884">XLOOKUP(R884,'Dados Funil'!$A:$A,'Dados Funil'!$L:$L,"")</f>
        <v/>
      </c>
      <c r="X884" s="4"/>
      <c r="Y884" s="4"/>
      <c r="Z884" s="7" t="str">
        <f t="shared" si="5"/>
        <v/>
      </c>
      <c r="AA884" s="4" t="str">
        <f t="shared" si="13"/>
        <v/>
      </c>
      <c r="AB884" s="4" t="str">
        <f t="array" ref="AB884">XLOOKUP(X884,'Dados Funil'!A:A,'Dados Funil'!O:O,"")</f>
        <v/>
      </c>
      <c r="AE884" s="7" t="str">
        <f t="shared" si="6"/>
        <v/>
      </c>
      <c r="AG884" s="4" t="str">
        <f t="array" ref="AG884">XLOOKUP(AC884,'Dados Funil'!A:A,'Dados Funil'!AM:AM,"")</f>
        <v/>
      </c>
      <c r="AH884" s="4" t="str">
        <f t="array" ref="AH884">XLOOKUP(AC884,'Dados Funil'!A:A,'Dados Funil'!AN:AN,"")</f>
        <v/>
      </c>
    </row>
    <row r="885">
      <c r="A885" s="4"/>
      <c r="B885" s="4"/>
      <c r="C885" s="7" t="str">
        <f t="shared" si="1"/>
        <v/>
      </c>
      <c r="D885" s="4" t="str">
        <f t="shared" si="9"/>
        <v/>
      </c>
      <c r="E885" s="4" t="str">
        <f t="array" ref="E885">XLOOKUP(A885,'Dados Funil'!$A:$A,'Dados Funil'!$K:$K,"")</f>
        <v/>
      </c>
      <c r="F885" s="4" t="str">
        <f t="array" ref="F885">XLOOKUP(A885,'Dados Funil'!$A:$A,'Dados Funil'!$L:$L,"")</f>
        <v/>
      </c>
      <c r="G885" s="4"/>
      <c r="H885" s="4"/>
      <c r="I885" s="7" t="str">
        <f t="shared" si="2"/>
        <v/>
      </c>
      <c r="J885" s="4" t="str">
        <f t="shared" si="10"/>
        <v/>
      </c>
      <c r="K885" s="4" t="str">
        <f t="array" ref="K885">XLOOKUP(G885,'Dados Funil'!A:A,'Dados Funil'!O:O,"")</f>
        <v/>
      </c>
      <c r="L885" s="4"/>
      <c r="M885" s="4"/>
      <c r="N885" s="7" t="str">
        <f t="shared" si="3"/>
        <v/>
      </c>
      <c r="O885" s="4" t="str">
        <f t="shared" si="11"/>
        <v/>
      </c>
      <c r="P885" s="4" t="str">
        <f t="array" ref="P885">XLOOKUP(L885,'Dados Funil'!A:A,'Dados Funil'!AM:AM,"")</f>
        <v/>
      </c>
      <c r="Q885" s="4" t="str">
        <f t="array" ref="Q885">XLOOKUP(L885,'Dados Funil'!A:A,'Dados Funil'!AN:AN,"")</f>
        <v/>
      </c>
      <c r="T885" s="7" t="str">
        <f t="shared" si="4"/>
        <v/>
      </c>
      <c r="U885" s="4" t="str">
        <f t="shared" si="12"/>
        <v/>
      </c>
      <c r="V885" s="4" t="str">
        <f t="array" ref="V885">XLOOKUP(R885,'Dados Funil'!$A:$A,'Dados Funil'!$K:$K,"")</f>
        <v/>
      </c>
      <c r="W885" s="4" t="str">
        <f t="array" ref="W885">XLOOKUP(R885,'Dados Funil'!$A:$A,'Dados Funil'!$L:$L,"")</f>
        <v/>
      </c>
      <c r="X885" s="4"/>
      <c r="Y885" s="4"/>
      <c r="Z885" s="7" t="str">
        <f t="shared" si="5"/>
        <v/>
      </c>
      <c r="AA885" s="4" t="str">
        <f t="shared" si="13"/>
        <v/>
      </c>
      <c r="AB885" s="4" t="str">
        <f t="array" ref="AB885">XLOOKUP(X885,'Dados Funil'!A:A,'Dados Funil'!O:O,"")</f>
        <v/>
      </c>
      <c r="AE885" s="7" t="str">
        <f t="shared" si="6"/>
        <v/>
      </c>
      <c r="AG885" s="4" t="str">
        <f t="array" ref="AG885">XLOOKUP(AC885,'Dados Funil'!A:A,'Dados Funil'!AM:AM,"")</f>
        <v/>
      </c>
      <c r="AH885" s="4" t="str">
        <f t="array" ref="AH885">XLOOKUP(AC885,'Dados Funil'!A:A,'Dados Funil'!AN:AN,"")</f>
        <v/>
      </c>
    </row>
    <row r="886">
      <c r="A886" s="4"/>
      <c r="B886" s="4"/>
      <c r="C886" s="7" t="str">
        <f t="shared" si="1"/>
        <v/>
      </c>
      <c r="D886" s="4" t="str">
        <f t="shared" si="9"/>
        <v/>
      </c>
      <c r="E886" s="4" t="str">
        <f t="array" ref="E886">XLOOKUP(A886,'Dados Funil'!$A:$A,'Dados Funil'!$K:$K,"")</f>
        <v/>
      </c>
      <c r="F886" s="4" t="str">
        <f t="array" ref="F886">XLOOKUP(A886,'Dados Funil'!$A:$A,'Dados Funil'!$L:$L,"")</f>
        <v/>
      </c>
      <c r="G886" s="4"/>
      <c r="H886" s="4"/>
      <c r="I886" s="7" t="str">
        <f t="shared" si="2"/>
        <v/>
      </c>
      <c r="J886" s="4" t="str">
        <f t="shared" si="10"/>
        <v/>
      </c>
      <c r="K886" s="4" t="str">
        <f t="array" ref="K886">XLOOKUP(G886,'Dados Funil'!A:A,'Dados Funil'!O:O,"")</f>
        <v/>
      </c>
      <c r="L886" s="4"/>
      <c r="M886" s="4"/>
      <c r="N886" s="7" t="str">
        <f t="shared" si="3"/>
        <v/>
      </c>
      <c r="O886" s="4" t="str">
        <f t="shared" si="11"/>
        <v/>
      </c>
      <c r="P886" s="4" t="str">
        <f t="array" ref="P886">XLOOKUP(L886,'Dados Funil'!A:A,'Dados Funil'!AM:AM,"")</f>
        <v/>
      </c>
      <c r="Q886" s="4" t="str">
        <f t="array" ref="Q886">XLOOKUP(L886,'Dados Funil'!A:A,'Dados Funil'!AN:AN,"")</f>
        <v/>
      </c>
      <c r="T886" s="7" t="str">
        <f t="shared" si="4"/>
        <v/>
      </c>
      <c r="U886" s="4" t="str">
        <f t="shared" si="12"/>
        <v/>
      </c>
      <c r="V886" s="4" t="str">
        <f t="array" ref="V886">XLOOKUP(R886,'Dados Funil'!$A:$A,'Dados Funil'!$K:$K,"")</f>
        <v/>
      </c>
      <c r="W886" s="4" t="str">
        <f t="array" ref="W886">XLOOKUP(R886,'Dados Funil'!$A:$A,'Dados Funil'!$L:$L,"")</f>
        <v/>
      </c>
      <c r="X886" s="4"/>
      <c r="Y886" s="4"/>
      <c r="Z886" s="7" t="str">
        <f t="shared" si="5"/>
        <v/>
      </c>
      <c r="AA886" s="4" t="str">
        <f t="shared" si="13"/>
        <v/>
      </c>
      <c r="AB886" s="4" t="str">
        <f t="array" ref="AB886">XLOOKUP(X886,'Dados Funil'!A:A,'Dados Funil'!O:O,"")</f>
        <v/>
      </c>
      <c r="AE886" s="7" t="str">
        <f t="shared" si="6"/>
        <v/>
      </c>
      <c r="AG886" s="4" t="str">
        <f t="array" ref="AG886">XLOOKUP(AC886,'Dados Funil'!A:A,'Dados Funil'!AM:AM,"")</f>
        <v/>
      </c>
      <c r="AH886" s="4" t="str">
        <f t="array" ref="AH886">XLOOKUP(AC886,'Dados Funil'!A:A,'Dados Funil'!AN:AN,"")</f>
        <v/>
      </c>
    </row>
    <row r="887">
      <c r="A887" s="4"/>
      <c r="B887" s="4"/>
      <c r="C887" s="7" t="str">
        <f t="shared" si="1"/>
        <v/>
      </c>
      <c r="D887" s="4" t="str">
        <f t="shared" si="9"/>
        <v/>
      </c>
      <c r="E887" s="4" t="str">
        <f t="array" ref="E887">XLOOKUP(A887,'Dados Funil'!$A:$A,'Dados Funil'!$K:$K,"")</f>
        <v/>
      </c>
      <c r="F887" s="4" t="str">
        <f t="array" ref="F887">XLOOKUP(A887,'Dados Funil'!$A:$A,'Dados Funil'!$L:$L,"")</f>
        <v/>
      </c>
      <c r="G887" s="4"/>
      <c r="H887" s="4"/>
      <c r="I887" s="7" t="str">
        <f t="shared" si="2"/>
        <v/>
      </c>
      <c r="J887" s="4" t="str">
        <f t="shared" si="10"/>
        <v/>
      </c>
      <c r="K887" s="4" t="str">
        <f t="array" ref="K887">XLOOKUP(G887,'Dados Funil'!A:A,'Dados Funil'!O:O,"")</f>
        <v/>
      </c>
      <c r="L887" s="4"/>
      <c r="M887" s="4"/>
      <c r="N887" s="7" t="str">
        <f t="shared" si="3"/>
        <v/>
      </c>
      <c r="O887" s="4" t="str">
        <f t="shared" si="11"/>
        <v/>
      </c>
      <c r="P887" s="4" t="str">
        <f t="array" ref="P887">XLOOKUP(L887,'Dados Funil'!A:A,'Dados Funil'!AM:AM,"")</f>
        <v/>
      </c>
      <c r="Q887" s="4" t="str">
        <f t="array" ref="Q887">XLOOKUP(L887,'Dados Funil'!A:A,'Dados Funil'!AN:AN,"")</f>
        <v/>
      </c>
      <c r="T887" s="7" t="str">
        <f t="shared" si="4"/>
        <v/>
      </c>
      <c r="U887" s="4" t="str">
        <f t="shared" si="12"/>
        <v/>
      </c>
      <c r="V887" s="4" t="str">
        <f t="array" ref="V887">XLOOKUP(R887,'Dados Funil'!$A:$A,'Dados Funil'!$K:$K,"")</f>
        <v/>
      </c>
      <c r="W887" s="4" t="str">
        <f t="array" ref="W887">XLOOKUP(R887,'Dados Funil'!$A:$A,'Dados Funil'!$L:$L,"")</f>
        <v/>
      </c>
      <c r="X887" s="4"/>
      <c r="Y887" s="4"/>
      <c r="Z887" s="7" t="str">
        <f t="shared" si="5"/>
        <v/>
      </c>
      <c r="AA887" s="4" t="str">
        <f t="shared" si="13"/>
        <v/>
      </c>
      <c r="AB887" s="4" t="str">
        <f t="array" ref="AB887">XLOOKUP(X887,'Dados Funil'!A:A,'Dados Funil'!O:O,"")</f>
        <v/>
      </c>
      <c r="AE887" s="7" t="str">
        <f t="shared" si="6"/>
        <v/>
      </c>
      <c r="AG887" s="4" t="str">
        <f t="array" ref="AG887">XLOOKUP(AC887,'Dados Funil'!A:A,'Dados Funil'!AM:AM,"")</f>
        <v/>
      </c>
      <c r="AH887" s="4" t="str">
        <f t="array" ref="AH887">XLOOKUP(AC887,'Dados Funil'!A:A,'Dados Funil'!AN:AN,"")</f>
        <v/>
      </c>
    </row>
    <row r="888">
      <c r="A888" s="4"/>
      <c r="B888" s="4"/>
      <c r="C888" s="7" t="str">
        <f t="shared" si="1"/>
        <v/>
      </c>
      <c r="D888" s="4" t="str">
        <f t="shared" si="9"/>
        <v/>
      </c>
      <c r="E888" s="4" t="str">
        <f t="array" ref="E888">XLOOKUP(A888,'Dados Funil'!$A:$A,'Dados Funil'!$K:$K,"")</f>
        <v/>
      </c>
      <c r="F888" s="4" t="str">
        <f t="array" ref="F888">XLOOKUP(A888,'Dados Funil'!$A:$A,'Dados Funil'!$L:$L,"")</f>
        <v/>
      </c>
      <c r="G888" s="4"/>
      <c r="H888" s="4"/>
      <c r="I888" s="7" t="str">
        <f t="shared" si="2"/>
        <v/>
      </c>
      <c r="J888" s="4" t="str">
        <f t="shared" si="10"/>
        <v/>
      </c>
      <c r="K888" s="4" t="str">
        <f t="array" ref="K888">XLOOKUP(G888,'Dados Funil'!A:A,'Dados Funil'!O:O,"")</f>
        <v/>
      </c>
      <c r="L888" s="4"/>
      <c r="M888" s="4"/>
      <c r="N888" s="7" t="str">
        <f t="shared" si="3"/>
        <v/>
      </c>
      <c r="O888" s="4" t="str">
        <f t="shared" si="11"/>
        <v/>
      </c>
      <c r="P888" s="4" t="str">
        <f t="array" ref="P888">XLOOKUP(L888,'Dados Funil'!A:A,'Dados Funil'!AM:AM,"")</f>
        <v/>
      </c>
      <c r="Q888" s="4" t="str">
        <f t="array" ref="Q888">XLOOKUP(L888,'Dados Funil'!A:A,'Dados Funil'!AN:AN,"")</f>
        <v/>
      </c>
      <c r="T888" s="7" t="str">
        <f t="shared" si="4"/>
        <v/>
      </c>
      <c r="U888" s="4" t="str">
        <f t="shared" si="12"/>
        <v/>
      </c>
      <c r="V888" s="4" t="str">
        <f t="array" ref="V888">XLOOKUP(R888,'Dados Funil'!$A:$A,'Dados Funil'!$K:$K,"")</f>
        <v/>
      </c>
      <c r="W888" s="4" t="str">
        <f t="array" ref="W888">XLOOKUP(R888,'Dados Funil'!$A:$A,'Dados Funil'!$L:$L,"")</f>
        <v/>
      </c>
      <c r="X888" s="4"/>
      <c r="Y888" s="4"/>
      <c r="Z888" s="7" t="str">
        <f t="shared" si="5"/>
        <v/>
      </c>
      <c r="AA888" s="4" t="str">
        <f t="shared" si="13"/>
        <v/>
      </c>
      <c r="AB888" s="4" t="str">
        <f t="array" ref="AB888">XLOOKUP(X888,'Dados Funil'!A:A,'Dados Funil'!O:O,"")</f>
        <v/>
      </c>
      <c r="AE888" s="7" t="str">
        <f t="shared" si="6"/>
        <v/>
      </c>
      <c r="AG888" s="4" t="str">
        <f t="array" ref="AG888">XLOOKUP(AC888,'Dados Funil'!A:A,'Dados Funil'!AM:AM,"")</f>
        <v/>
      </c>
      <c r="AH888" s="4" t="str">
        <f t="array" ref="AH888">XLOOKUP(AC888,'Dados Funil'!A:A,'Dados Funil'!AN:AN,"")</f>
        <v/>
      </c>
    </row>
    <row r="889">
      <c r="A889" s="4"/>
      <c r="B889" s="4"/>
      <c r="C889" s="7" t="str">
        <f t="shared" si="1"/>
        <v/>
      </c>
      <c r="D889" s="4" t="str">
        <f t="shared" si="9"/>
        <v/>
      </c>
      <c r="E889" s="4" t="str">
        <f t="array" ref="E889">XLOOKUP(A889,'Dados Funil'!$A:$A,'Dados Funil'!$K:$K,"")</f>
        <v/>
      </c>
      <c r="F889" s="4" t="str">
        <f t="array" ref="F889">XLOOKUP(A889,'Dados Funil'!$A:$A,'Dados Funil'!$L:$L,"")</f>
        <v/>
      </c>
      <c r="G889" s="4"/>
      <c r="H889" s="4"/>
      <c r="I889" s="7" t="str">
        <f t="shared" si="2"/>
        <v/>
      </c>
      <c r="J889" s="4" t="str">
        <f t="shared" si="10"/>
        <v/>
      </c>
      <c r="K889" s="4" t="str">
        <f t="array" ref="K889">XLOOKUP(G889,'Dados Funil'!A:A,'Dados Funil'!O:O,"")</f>
        <v/>
      </c>
      <c r="L889" s="4"/>
      <c r="M889" s="4"/>
      <c r="N889" s="7" t="str">
        <f t="shared" si="3"/>
        <v/>
      </c>
      <c r="O889" s="4" t="str">
        <f t="shared" si="11"/>
        <v/>
      </c>
      <c r="P889" s="4" t="str">
        <f t="array" ref="P889">XLOOKUP(L889,'Dados Funil'!A:A,'Dados Funil'!AM:AM,"")</f>
        <v/>
      </c>
      <c r="Q889" s="4" t="str">
        <f t="array" ref="Q889">XLOOKUP(L889,'Dados Funil'!A:A,'Dados Funil'!AN:AN,"")</f>
        <v/>
      </c>
      <c r="T889" s="7" t="str">
        <f t="shared" si="4"/>
        <v/>
      </c>
      <c r="U889" s="4" t="str">
        <f t="shared" si="12"/>
        <v/>
      </c>
      <c r="V889" s="4" t="str">
        <f t="array" ref="V889">XLOOKUP(R889,'Dados Funil'!$A:$A,'Dados Funil'!$K:$K,"")</f>
        <v/>
      </c>
      <c r="W889" s="4" t="str">
        <f t="array" ref="W889">XLOOKUP(R889,'Dados Funil'!$A:$A,'Dados Funil'!$L:$L,"")</f>
        <v/>
      </c>
      <c r="X889" s="4"/>
      <c r="Y889" s="4"/>
      <c r="Z889" s="7" t="str">
        <f t="shared" si="5"/>
        <v/>
      </c>
      <c r="AA889" s="4" t="str">
        <f t="shared" si="13"/>
        <v/>
      </c>
      <c r="AB889" s="4" t="str">
        <f t="array" ref="AB889">XLOOKUP(X889,'Dados Funil'!A:A,'Dados Funil'!O:O,"")</f>
        <v/>
      </c>
      <c r="AE889" s="7" t="str">
        <f t="shared" si="6"/>
        <v/>
      </c>
      <c r="AG889" s="4" t="str">
        <f t="array" ref="AG889">XLOOKUP(AC889,'Dados Funil'!A:A,'Dados Funil'!AM:AM,"")</f>
        <v/>
      </c>
      <c r="AH889" s="4" t="str">
        <f t="array" ref="AH889">XLOOKUP(AC889,'Dados Funil'!A:A,'Dados Funil'!AN:AN,"")</f>
        <v/>
      </c>
    </row>
    <row r="890">
      <c r="A890" s="4"/>
      <c r="B890" s="4"/>
      <c r="C890" s="7" t="str">
        <f t="shared" si="1"/>
        <v/>
      </c>
      <c r="D890" s="4" t="str">
        <f t="shared" si="9"/>
        <v/>
      </c>
      <c r="E890" s="4" t="str">
        <f t="array" ref="E890">XLOOKUP(A890,'Dados Funil'!$A:$A,'Dados Funil'!$K:$K,"")</f>
        <v/>
      </c>
      <c r="F890" s="4" t="str">
        <f t="array" ref="F890">XLOOKUP(A890,'Dados Funil'!$A:$A,'Dados Funil'!$L:$L,"")</f>
        <v/>
      </c>
      <c r="G890" s="4"/>
      <c r="H890" s="4"/>
      <c r="I890" s="7" t="str">
        <f t="shared" si="2"/>
        <v/>
      </c>
      <c r="J890" s="4" t="str">
        <f t="shared" si="10"/>
        <v/>
      </c>
      <c r="K890" s="4" t="str">
        <f t="array" ref="K890">XLOOKUP(G890,'Dados Funil'!A:A,'Dados Funil'!O:O,"")</f>
        <v/>
      </c>
      <c r="L890" s="4"/>
      <c r="M890" s="4"/>
      <c r="N890" s="7" t="str">
        <f t="shared" si="3"/>
        <v/>
      </c>
      <c r="O890" s="4" t="str">
        <f t="shared" si="11"/>
        <v/>
      </c>
      <c r="P890" s="4" t="str">
        <f t="array" ref="P890">XLOOKUP(L890,'Dados Funil'!A:A,'Dados Funil'!AM:AM,"")</f>
        <v/>
      </c>
      <c r="Q890" s="4" t="str">
        <f t="array" ref="Q890">XLOOKUP(L890,'Dados Funil'!A:A,'Dados Funil'!AN:AN,"")</f>
        <v/>
      </c>
      <c r="T890" s="7" t="str">
        <f t="shared" si="4"/>
        <v/>
      </c>
      <c r="U890" s="4" t="str">
        <f t="shared" si="12"/>
        <v/>
      </c>
      <c r="V890" s="4" t="str">
        <f t="array" ref="V890">XLOOKUP(R890,'Dados Funil'!$A:$A,'Dados Funil'!$K:$K,"")</f>
        <v/>
      </c>
      <c r="W890" s="4" t="str">
        <f t="array" ref="W890">XLOOKUP(R890,'Dados Funil'!$A:$A,'Dados Funil'!$L:$L,"")</f>
        <v/>
      </c>
      <c r="X890" s="4"/>
      <c r="Y890" s="4"/>
      <c r="Z890" s="7" t="str">
        <f t="shared" si="5"/>
        <v/>
      </c>
      <c r="AA890" s="4" t="str">
        <f t="shared" si="13"/>
        <v/>
      </c>
      <c r="AB890" s="4" t="str">
        <f t="array" ref="AB890">XLOOKUP(X890,'Dados Funil'!A:A,'Dados Funil'!O:O,"")</f>
        <v/>
      </c>
      <c r="AE890" s="7" t="str">
        <f t="shared" si="6"/>
        <v/>
      </c>
      <c r="AG890" s="4" t="str">
        <f t="array" ref="AG890">XLOOKUP(AC890,'Dados Funil'!A:A,'Dados Funil'!AM:AM,"")</f>
        <v/>
      </c>
      <c r="AH890" s="4" t="str">
        <f t="array" ref="AH890">XLOOKUP(AC890,'Dados Funil'!A:A,'Dados Funil'!AN:AN,"")</f>
        <v/>
      </c>
    </row>
    <row r="891">
      <c r="A891" s="4"/>
      <c r="B891" s="4"/>
      <c r="C891" s="7" t="str">
        <f t="shared" si="1"/>
        <v/>
      </c>
      <c r="D891" s="4" t="str">
        <f t="shared" si="9"/>
        <v/>
      </c>
      <c r="E891" s="4" t="str">
        <f t="array" ref="E891">XLOOKUP(A891,'Dados Funil'!$A:$A,'Dados Funil'!$K:$K,"")</f>
        <v/>
      </c>
      <c r="F891" s="4" t="str">
        <f t="array" ref="F891">XLOOKUP(A891,'Dados Funil'!$A:$A,'Dados Funil'!$L:$L,"")</f>
        <v/>
      </c>
      <c r="G891" s="4"/>
      <c r="H891" s="4"/>
      <c r="I891" s="7" t="str">
        <f t="shared" si="2"/>
        <v/>
      </c>
      <c r="J891" s="4" t="str">
        <f t="shared" si="10"/>
        <v/>
      </c>
      <c r="K891" s="4" t="str">
        <f t="array" ref="K891">XLOOKUP(G891,'Dados Funil'!A:A,'Dados Funil'!O:O,"")</f>
        <v/>
      </c>
      <c r="L891" s="4"/>
      <c r="M891" s="4"/>
      <c r="N891" s="7" t="str">
        <f t="shared" si="3"/>
        <v/>
      </c>
      <c r="O891" s="4" t="str">
        <f t="shared" si="11"/>
        <v/>
      </c>
      <c r="P891" s="4" t="str">
        <f t="array" ref="P891">XLOOKUP(L891,'Dados Funil'!A:A,'Dados Funil'!AM:AM,"")</f>
        <v/>
      </c>
      <c r="Q891" s="4" t="str">
        <f t="array" ref="Q891">XLOOKUP(L891,'Dados Funil'!A:A,'Dados Funil'!AN:AN,"")</f>
        <v/>
      </c>
      <c r="T891" s="7" t="str">
        <f t="shared" si="4"/>
        <v/>
      </c>
      <c r="U891" s="4" t="str">
        <f t="shared" si="12"/>
        <v/>
      </c>
      <c r="V891" s="4" t="str">
        <f t="array" ref="V891">XLOOKUP(R891,'Dados Funil'!$A:$A,'Dados Funil'!$K:$K,"")</f>
        <v/>
      </c>
      <c r="W891" s="4" t="str">
        <f t="array" ref="W891">XLOOKUP(R891,'Dados Funil'!$A:$A,'Dados Funil'!$L:$L,"")</f>
        <v/>
      </c>
      <c r="X891" s="4"/>
      <c r="Y891" s="4"/>
      <c r="Z891" s="7" t="str">
        <f t="shared" si="5"/>
        <v/>
      </c>
      <c r="AA891" s="4" t="str">
        <f t="shared" si="13"/>
        <v/>
      </c>
      <c r="AB891" s="4" t="str">
        <f t="array" ref="AB891">XLOOKUP(X891,'Dados Funil'!A:A,'Dados Funil'!O:O,"")</f>
        <v/>
      </c>
      <c r="AE891" s="7" t="str">
        <f t="shared" si="6"/>
        <v/>
      </c>
      <c r="AG891" s="4" t="str">
        <f t="array" ref="AG891">XLOOKUP(AC891,'Dados Funil'!A:A,'Dados Funil'!AM:AM,"")</f>
        <v/>
      </c>
      <c r="AH891" s="4" t="str">
        <f t="array" ref="AH891">XLOOKUP(AC891,'Dados Funil'!A:A,'Dados Funil'!AN:AN,"")</f>
        <v/>
      </c>
    </row>
    <row r="892">
      <c r="A892" s="4"/>
      <c r="B892" s="4"/>
      <c r="C892" s="7" t="str">
        <f t="shared" si="1"/>
        <v/>
      </c>
      <c r="D892" s="4" t="str">
        <f t="shared" si="9"/>
        <v/>
      </c>
      <c r="E892" s="4" t="str">
        <f t="array" ref="E892">XLOOKUP(A892,'Dados Funil'!$A:$A,'Dados Funil'!$K:$K,"")</f>
        <v/>
      </c>
      <c r="F892" s="4" t="str">
        <f t="array" ref="F892">XLOOKUP(A892,'Dados Funil'!$A:$A,'Dados Funil'!$L:$L,"")</f>
        <v/>
      </c>
      <c r="G892" s="4"/>
      <c r="H892" s="4"/>
      <c r="I892" s="7" t="str">
        <f t="shared" si="2"/>
        <v/>
      </c>
      <c r="J892" s="4" t="str">
        <f t="shared" si="10"/>
        <v/>
      </c>
      <c r="K892" s="4" t="str">
        <f t="array" ref="K892">XLOOKUP(G892,'Dados Funil'!A:A,'Dados Funil'!O:O,"")</f>
        <v/>
      </c>
      <c r="L892" s="4"/>
      <c r="M892" s="4"/>
      <c r="N892" s="7" t="str">
        <f t="shared" si="3"/>
        <v/>
      </c>
      <c r="O892" s="4" t="str">
        <f t="shared" si="11"/>
        <v/>
      </c>
      <c r="P892" s="4" t="str">
        <f t="array" ref="P892">XLOOKUP(L892,'Dados Funil'!A:A,'Dados Funil'!AM:AM,"")</f>
        <v/>
      </c>
      <c r="Q892" s="4" t="str">
        <f t="array" ref="Q892">XLOOKUP(L892,'Dados Funil'!A:A,'Dados Funil'!AN:AN,"")</f>
        <v/>
      </c>
      <c r="T892" s="7" t="str">
        <f t="shared" si="4"/>
        <v/>
      </c>
      <c r="U892" s="4" t="str">
        <f t="shared" si="12"/>
        <v/>
      </c>
      <c r="V892" s="4" t="str">
        <f t="array" ref="V892">XLOOKUP(R892,'Dados Funil'!$A:$A,'Dados Funil'!$K:$K,"")</f>
        <v/>
      </c>
      <c r="W892" s="4" t="str">
        <f t="array" ref="W892">XLOOKUP(R892,'Dados Funil'!$A:$A,'Dados Funil'!$L:$L,"")</f>
        <v/>
      </c>
      <c r="X892" s="4"/>
      <c r="Y892" s="4"/>
      <c r="Z892" s="7" t="str">
        <f t="shared" si="5"/>
        <v/>
      </c>
      <c r="AA892" s="4" t="str">
        <f t="shared" si="13"/>
        <v/>
      </c>
      <c r="AB892" s="4" t="str">
        <f t="array" ref="AB892">XLOOKUP(X892,'Dados Funil'!A:A,'Dados Funil'!O:O,"")</f>
        <v/>
      </c>
      <c r="AE892" s="7" t="str">
        <f t="shared" si="6"/>
        <v/>
      </c>
      <c r="AG892" s="4" t="str">
        <f t="array" ref="AG892">XLOOKUP(AC892,'Dados Funil'!A:A,'Dados Funil'!AM:AM,"")</f>
        <v/>
      </c>
      <c r="AH892" s="4" t="str">
        <f t="array" ref="AH892">XLOOKUP(AC892,'Dados Funil'!A:A,'Dados Funil'!AN:AN,"")</f>
        <v/>
      </c>
    </row>
    <row r="893">
      <c r="A893" s="4"/>
      <c r="B893" s="4"/>
      <c r="C893" s="7" t="str">
        <f t="shared" si="1"/>
        <v/>
      </c>
      <c r="D893" s="4" t="str">
        <f t="shared" si="9"/>
        <v/>
      </c>
      <c r="E893" s="4" t="str">
        <f t="array" ref="E893">XLOOKUP(A893,'Dados Funil'!$A:$A,'Dados Funil'!$K:$K,"")</f>
        <v/>
      </c>
      <c r="F893" s="4" t="str">
        <f t="array" ref="F893">XLOOKUP(A893,'Dados Funil'!$A:$A,'Dados Funil'!$L:$L,"")</f>
        <v/>
      </c>
      <c r="G893" s="4"/>
      <c r="H893" s="4"/>
      <c r="I893" s="7" t="str">
        <f t="shared" si="2"/>
        <v/>
      </c>
      <c r="J893" s="4" t="str">
        <f t="shared" si="10"/>
        <v/>
      </c>
      <c r="K893" s="4" t="str">
        <f t="array" ref="K893">XLOOKUP(G893,'Dados Funil'!A:A,'Dados Funil'!O:O,"")</f>
        <v/>
      </c>
      <c r="L893" s="4"/>
      <c r="M893" s="4"/>
      <c r="N893" s="7" t="str">
        <f t="shared" si="3"/>
        <v/>
      </c>
      <c r="O893" s="4" t="str">
        <f t="shared" si="11"/>
        <v/>
      </c>
      <c r="P893" s="4" t="str">
        <f t="array" ref="P893">XLOOKUP(L893,'Dados Funil'!A:A,'Dados Funil'!AM:AM,"")</f>
        <v/>
      </c>
      <c r="Q893" s="4" t="str">
        <f t="array" ref="Q893">XLOOKUP(L893,'Dados Funil'!A:A,'Dados Funil'!AN:AN,"")</f>
        <v/>
      </c>
      <c r="T893" s="7" t="str">
        <f t="shared" si="4"/>
        <v/>
      </c>
      <c r="U893" s="4" t="str">
        <f t="shared" si="12"/>
        <v/>
      </c>
      <c r="V893" s="4" t="str">
        <f t="array" ref="V893">XLOOKUP(R893,'Dados Funil'!$A:$A,'Dados Funil'!$K:$K,"")</f>
        <v/>
      </c>
      <c r="W893" s="4" t="str">
        <f t="array" ref="W893">XLOOKUP(R893,'Dados Funil'!$A:$A,'Dados Funil'!$L:$L,"")</f>
        <v/>
      </c>
      <c r="X893" s="4"/>
      <c r="Y893" s="4"/>
      <c r="Z893" s="7" t="str">
        <f t="shared" si="5"/>
        <v/>
      </c>
      <c r="AA893" s="4" t="str">
        <f t="shared" si="13"/>
        <v/>
      </c>
      <c r="AB893" s="4" t="str">
        <f t="array" ref="AB893">XLOOKUP(X893,'Dados Funil'!A:A,'Dados Funil'!O:O,"")</f>
        <v/>
      </c>
      <c r="AE893" s="7" t="str">
        <f t="shared" si="6"/>
        <v/>
      </c>
      <c r="AG893" s="4" t="str">
        <f t="array" ref="AG893">XLOOKUP(AC893,'Dados Funil'!A:A,'Dados Funil'!AM:AM,"")</f>
        <v/>
      </c>
      <c r="AH893" s="4" t="str">
        <f t="array" ref="AH893">XLOOKUP(AC893,'Dados Funil'!A:A,'Dados Funil'!AN:AN,"")</f>
        <v/>
      </c>
    </row>
    <row r="894">
      <c r="A894" s="4"/>
      <c r="B894" s="4"/>
      <c r="C894" s="7" t="str">
        <f t="shared" si="1"/>
        <v/>
      </c>
      <c r="D894" s="4" t="str">
        <f t="shared" si="9"/>
        <v/>
      </c>
      <c r="E894" s="4" t="str">
        <f t="array" ref="E894">XLOOKUP(A894,'Dados Funil'!$A:$A,'Dados Funil'!$K:$K,"")</f>
        <v/>
      </c>
      <c r="F894" s="4" t="str">
        <f t="array" ref="F894">XLOOKUP(A894,'Dados Funil'!$A:$A,'Dados Funil'!$L:$L,"")</f>
        <v/>
      </c>
      <c r="G894" s="4"/>
      <c r="H894" s="4"/>
      <c r="I894" s="7" t="str">
        <f t="shared" si="2"/>
        <v/>
      </c>
      <c r="J894" s="4" t="str">
        <f t="shared" si="10"/>
        <v/>
      </c>
      <c r="K894" s="4" t="str">
        <f t="array" ref="K894">XLOOKUP(G894,'Dados Funil'!A:A,'Dados Funil'!O:O,"")</f>
        <v/>
      </c>
      <c r="L894" s="4"/>
      <c r="M894" s="4"/>
      <c r="N894" s="7" t="str">
        <f t="shared" si="3"/>
        <v/>
      </c>
      <c r="O894" s="4" t="str">
        <f t="shared" si="11"/>
        <v/>
      </c>
      <c r="P894" s="4" t="str">
        <f t="array" ref="P894">XLOOKUP(L894,'Dados Funil'!A:A,'Dados Funil'!AM:AM,"")</f>
        <v/>
      </c>
      <c r="Q894" s="4" t="str">
        <f t="array" ref="Q894">XLOOKUP(L894,'Dados Funil'!A:A,'Dados Funil'!AN:AN,"")</f>
        <v/>
      </c>
      <c r="T894" s="7" t="str">
        <f t="shared" si="4"/>
        <v/>
      </c>
      <c r="U894" s="4" t="str">
        <f t="shared" si="12"/>
        <v/>
      </c>
      <c r="V894" s="4" t="str">
        <f t="array" ref="V894">XLOOKUP(R894,'Dados Funil'!$A:$A,'Dados Funil'!$K:$K,"")</f>
        <v/>
      </c>
      <c r="W894" s="4" t="str">
        <f t="array" ref="W894">XLOOKUP(R894,'Dados Funil'!$A:$A,'Dados Funil'!$L:$L,"")</f>
        <v/>
      </c>
      <c r="X894" s="4"/>
      <c r="Y894" s="4"/>
      <c r="Z894" s="7" t="str">
        <f t="shared" si="5"/>
        <v/>
      </c>
      <c r="AA894" s="4" t="str">
        <f t="shared" si="13"/>
        <v/>
      </c>
      <c r="AB894" s="4" t="str">
        <f t="array" ref="AB894">XLOOKUP(X894,'Dados Funil'!A:A,'Dados Funil'!O:O,"")</f>
        <v/>
      </c>
      <c r="AE894" s="7" t="str">
        <f t="shared" si="6"/>
        <v/>
      </c>
      <c r="AG894" s="4" t="str">
        <f t="array" ref="AG894">XLOOKUP(AC894,'Dados Funil'!A:A,'Dados Funil'!AM:AM,"")</f>
        <v/>
      </c>
      <c r="AH894" s="4" t="str">
        <f t="array" ref="AH894">XLOOKUP(AC894,'Dados Funil'!A:A,'Dados Funil'!AN:AN,"")</f>
        <v/>
      </c>
    </row>
    <row r="895">
      <c r="A895" s="4"/>
      <c r="B895" s="4"/>
      <c r="C895" s="7" t="str">
        <f t="shared" si="1"/>
        <v/>
      </c>
      <c r="D895" s="4" t="str">
        <f t="shared" si="9"/>
        <v/>
      </c>
      <c r="E895" s="4" t="str">
        <f t="array" ref="E895">XLOOKUP(A895,'Dados Funil'!$A:$A,'Dados Funil'!$K:$K,"")</f>
        <v/>
      </c>
      <c r="F895" s="4" t="str">
        <f t="array" ref="F895">XLOOKUP(A895,'Dados Funil'!$A:$A,'Dados Funil'!$L:$L,"")</f>
        <v/>
      </c>
      <c r="G895" s="4"/>
      <c r="H895" s="4"/>
      <c r="I895" s="7" t="str">
        <f t="shared" si="2"/>
        <v/>
      </c>
      <c r="J895" s="4" t="str">
        <f t="shared" si="10"/>
        <v/>
      </c>
      <c r="K895" s="4" t="str">
        <f t="array" ref="K895">XLOOKUP(G895,'Dados Funil'!A:A,'Dados Funil'!O:O,"")</f>
        <v/>
      </c>
      <c r="L895" s="4"/>
      <c r="M895" s="4"/>
      <c r="N895" s="7" t="str">
        <f t="shared" si="3"/>
        <v/>
      </c>
      <c r="O895" s="4" t="str">
        <f t="shared" si="11"/>
        <v/>
      </c>
      <c r="P895" s="4" t="str">
        <f t="array" ref="P895">XLOOKUP(L895,'Dados Funil'!A:A,'Dados Funil'!AM:AM,"")</f>
        <v/>
      </c>
      <c r="Q895" s="4" t="str">
        <f t="array" ref="Q895">XLOOKUP(L895,'Dados Funil'!A:A,'Dados Funil'!AN:AN,"")</f>
        <v/>
      </c>
      <c r="T895" s="7" t="str">
        <f t="shared" si="4"/>
        <v/>
      </c>
      <c r="U895" s="4" t="str">
        <f t="shared" si="12"/>
        <v/>
      </c>
      <c r="V895" s="4" t="str">
        <f t="array" ref="V895">XLOOKUP(R895,'Dados Funil'!$A:$A,'Dados Funil'!$K:$K,"")</f>
        <v/>
      </c>
      <c r="W895" s="4" t="str">
        <f t="array" ref="W895">XLOOKUP(R895,'Dados Funil'!$A:$A,'Dados Funil'!$L:$L,"")</f>
        <v/>
      </c>
      <c r="X895" s="4"/>
      <c r="Y895" s="4"/>
      <c r="Z895" s="7" t="str">
        <f t="shared" si="5"/>
        <v/>
      </c>
      <c r="AA895" s="4" t="str">
        <f t="shared" si="13"/>
        <v/>
      </c>
      <c r="AB895" s="4" t="str">
        <f t="array" ref="AB895">XLOOKUP(X895,'Dados Funil'!A:A,'Dados Funil'!O:O,"")</f>
        <v/>
      </c>
      <c r="AE895" s="7" t="str">
        <f t="shared" si="6"/>
        <v/>
      </c>
      <c r="AG895" s="4" t="str">
        <f t="array" ref="AG895">XLOOKUP(AC895,'Dados Funil'!A:A,'Dados Funil'!AM:AM,"")</f>
        <v/>
      </c>
      <c r="AH895" s="4" t="str">
        <f t="array" ref="AH895">XLOOKUP(AC895,'Dados Funil'!A:A,'Dados Funil'!AN:AN,"")</f>
        <v/>
      </c>
    </row>
    <row r="896">
      <c r="A896" s="4"/>
      <c r="B896" s="4"/>
      <c r="C896" s="7" t="str">
        <f t="shared" si="1"/>
        <v/>
      </c>
      <c r="D896" s="4" t="str">
        <f t="shared" si="9"/>
        <v/>
      </c>
      <c r="E896" s="4" t="str">
        <f t="array" ref="E896">XLOOKUP(A896,'Dados Funil'!$A:$A,'Dados Funil'!$K:$K,"")</f>
        <v/>
      </c>
      <c r="F896" s="4" t="str">
        <f t="array" ref="F896">XLOOKUP(A896,'Dados Funil'!$A:$A,'Dados Funil'!$L:$L,"")</f>
        <v/>
      </c>
      <c r="G896" s="4"/>
      <c r="H896" s="4"/>
      <c r="I896" s="7" t="str">
        <f t="shared" si="2"/>
        <v/>
      </c>
      <c r="J896" s="4" t="str">
        <f t="shared" si="10"/>
        <v/>
      </c>
      <c r="K896" s="4" t="str">
        <f t="array" ref="K896">XLOOKUP(G896,'Dados Funil'!A:A,'Dados Funil'!O:O,"")</f>
        <v/>
      </c>
      <c r="L896" s="4"/>
      <c r="M896" s="4"/>
      <c r="N896" s="7" t="str">
        <f t="shared" si="3"/>
        <v/>
      </c>
      <c r="O896" s="4" t="str">
        <f t="shared" si="11"/>
        <v/>
      </c>
      <c r="P896" s="4" t="str">
        <f t="array" ref="P896">XLOOKUP(L896,'Dados Funil'!A:A,'Dados Funil'!AM:AM,"")</f>
        <v/>
      </c>
      <c r="Q896" s="4" t="str">
        <f t="array" ref="Q896">XLOOKUP(L896,'Dados Funil'!A:A,'Dados Funil'!AN:AN,"")</f>
        <v/>
      </c>
      <c r="T896" s="7" t="str">
        <f t="shared" si="4"/>
        <v/>
      </c>
      <c r="U896" s="4" t="str">
        <f t="shared" si="12"/>
        <v/>
      </c>
      <c r="V896" s="4" t="str">
        <f t="array" ref="V896">XLOOKUP(R896,'Dados Funil'!$A:$A,'Dados Funil'!$K:$K,"")</f>
        <v/>
      </c>
      <c r="W896" s="4" t="str">
        <f t="array" ref="W896">XLOOKUP(R896,'Dados Funil'!$A:$A,'Dados Funil'!$L:$L,"")</f>
        <v/>
      </c>
      <c r="X896" s="4"/>
      <c r="Y896" s="4"/>
      <c r="Z896" s="7" t="str">
        <f t="shared" si="5"/>
        <v/>
      </c>
      <c r="AA896" s="4" t="str">
        <f t="shared" si="13"/>
        <v/>
      </c>
      <c r="AB896" s="4" t="str">
        <f t="array" ref="AB896">XLOOKUP(X896,'Dados Funil'!A:A,'Dados Funil'!O:O,"")</f>
        <v/>
      </c>
      <c r="AE896" s="7" t="str">
        <f t="shared" si="6"/>
        <v/>
      </c>
      <c r="AG896" s="4" t="str">
        <f t="array" ref="AG896">XLOOKUP(AC896,'Dados Funil'!A:A,'Dados Funil'!AM:AM,"")</f>
        <v/>
      </c>
      <c r="AH896" s="4" t="str">
        <f t="array" ref="AH896">XLOOKUP(AC896,'Dados Funil'!A:A,'Dados Funil'!AN:AN,"")</f>
        <v/>
      </c>
    </row>
    <row r="897">
      <c r="A897" s="4"/>
      <c r="B897" s="4"/>
      <c r="C897" s="7" t="str">
        <f t="shared" si="1"/>
        <v/>
      </c>
      <c r="D897" s="4" t="str">
        <f t="shared" si="9"/>
        <v/>
      </c>
      <c r="E897" s="4" t="str">
        <f t="array" ref="E897">XLOOKUP(A897,'Dados Funil'!$A:$A,'Dados Funil'!$K:$K,"")</f>
        <v/>
      </c>
      <c r="F897" s="4" t="str">
        <f t="array" ref="F897">XLOOKUP(A897,'Dados Funil'!$A:$A,'Dados Funil'!$L:$L,"")</f>
        <v/>
      </c>
      <c r="G897" s="4"/>
      <c r="H897" s="4"/>
      <c r="I897" s="7" t="str">
        <f t="shared" si="2"/>
        <v/>
      </c>
      <c r="J897" s="4" t="str">
        <f t="shared" si="10"/>
        <v/>
      </c>
      <c r="K897" s="4" t="str">
        <f t="array" ref="K897">XLOOKUP(G897,'Dados Funil'!A:A,'Dados Funil'!O:O,"")</f>
        <v/>
      </c>
      <c r="L897" s="4"/>
      <c r="M897" s="4"/>
      <c r="N897" s="7" t="str">
        <f t="shared" si="3"/>
        <v/>
      </c>
      <c r="O897" s="4" t="str">
        <f t="shared" si="11"/>
        <v/>
      </c>
      <c r="P897" s="4" t="str">
        <f t="array" ref="P897">XLOOKUP(L897,'Dados Funil'!A:A,'Dados Funil'!AM:AM,"")</f>
        <v/>
      </c>
      <c r="Q897" s="4" t="str">
        <f t="array" ref="Q897">XLOOKUP(L897,'Dados Funil'!A:A,'Dados Funil'!AN:AN,"")</f>
        <v/>
      </c>
      <c r="T897" s="7" t="str">
        <f t="shared" si="4"/>
        <v/>
      </c>
      <c r="U897" s="4" t="str">
        <f t="shared" si="12"/>
        <v/>
      </c>
      <c r="V897" s="4" t="str">
        <f t="array" ref="V897">XLOOKUP(R897,'Dados Funil'!$A:$A,'Dados Funil'!$K:$K,"")</f>
        <v/>
      </c>
      <c r="W897" s="4" t="str">
        <f t="array" ref="W897">XLOOKUP(R897,'Dados Funil'!$A:$A,'Dados Funil'!$L:$L,"")</f>
        <v/>
      </c>
      <c r="X897" s="4"/>
      <c r="Y897" s="4"/>
      <c r="Z897" s="7" t="str">
        <f t="shared" si="5"/>
        <v/>
      </c>
      <c r="AA897" s="4" t="str">
        <f t="shared" si="13"/>
        <v/>
      </c>
      <c r="AB897" s="4" t="str">
        <f t="array" ref="AB897">XLOOKUP(X897,'Dados Funil'!A:A,'Dados Funil'!O:O,"")</f>
        <v/>
      </c>
      <c r="AE897" s="7" t="str">
        <f t="shared" si="6"/>
        <v/>
      </c>
      <c r="AG897" s="4" t="str">
        <f t="array" ref="AG897">XLOOKUP(AC897,'Dados Funil'!A:A,'Dados Funil'!AM:AM,"")</f>
        <v/>
      </c>
      <c r="AH897" s="4" t="str">
        <f t="array" ref="AH897">XLOOKUP(AC897,'Dados Funil'!A:A,'Dados Funil'!AN:AN,"")</f>
        <v/>
      </c>
    </row>
    <row r="898">
      <c r="A898" s="4"/>
      <c r="B898" s="4"/>
      <c r="C898" s="7" t="str">
        <f t="shared" si="1"/>
        <v/>
      </c>
      <c r="D898" s="4" t="str">
        <f t="shared" si="9"/>
        <v/>
      </c>
      <c r="E898" s="4" t="str">
        <f t="array" ref="E898">XLOOKUP(A898,'Dados Funil'!$A:$A,'Dados Funil'!$K:$K,"")</f>
        <v/>
      </c>
      <c r="F898" s="4" t="str">
        <f t="array" ref="F898">XLOOKUP(A898,'Dados Funil'!$A:$A,'Dados Funil'!$L:$L,"")</f>
        <v/>
      </c>
      <c r="G898" s="4"/>
      <c r="H898" s="4"/>
      <c r="I898" s="7" t="str">
        <f t="shared" si="2"/>
        <v/>
      </c>
      <c r="J898" s="4" t="str">
        <f t="shared" si="10"/>
        <v/>
      </c>
      <c r="K898" s="4" t="str">
        <f t="array" ref="K898">XLOOKUP(G898,'Dados Funil'!A:A,'Dados Funil'!O:O,"")</f>
        <v/>
      </c>
      <c r="L898" s="4"/>
      <c r="M898" s="4"/>
      <c r="N898" s="7" t="str">
        <f t="shared" si="3"/>
        <v/>
      </c>
      <c r="O898" s="4" t="str">
        <f t="shared" si="11"/>
        <v/>
      </c>
      <c r="P898" s="4" t="str">
        <f t="array" ref="P898">XLOOKUP(L898,'Dados Funil'!A:A,'Dados Funil'!AM:AM,"")</f>
        <v/>
      </c>
      <c r="Q898" s="4" t="str">
        <f t="array" ref="Q898">XLOOKUP(L898,'Dados Funil'!A:A,'Dados Funil'!AN:AN,"")</f>
        <v/>
      </c>
      <c r="T898" s="7" t="str">
        <f t="shared" si="4"/>
        <v/>
      </c>
      <c r="U898" s="4" t="str">
        <f t="shared" si="12"/>
        <v/>
      </c>
      <c r="V898" s="4" t="str">
        <f t="array" ref="V898">XLOOKUP(R898,'Dados Funil'!$A:$A,'Dados Funil'!$K:$K,"")</f>
        <v/>
      </c>
      <c r="W898" s="4" t="str">
        <f t="array" ref="W898">XLOOKUP(R898,'Dados Funil'!$A:$A,'Dados Funil'!$L:$L,"")</f>
        <v/>
      </c>
      <c r="X898" s="4"/>
      <c r="Y898" s="4"/>
      <c r="Z898" s="7" t="str">
        <f t="shared" si="5"/>
        <v/>
      </c>
      <c r="AA898" s="4" t="str">
        <f t="shared" si="13"/>
        <v/>
      </c>
      <c r="AB898" s="4" t="str">
        <f t="array" ref="AB898">XLOOKUP(X898,'Dados Funil'!A:A,'Dados Funil'!O:O,"")</f>
        <v/>
      </c>
      <c r="AE898" s="7" t="str">
        <f t="shared" si="6"/>
        <v/>
      </c>
      <c r="AG898" s="4" t="str">
        <f t="array" ref="AG898">XLOOKUP(AC898,'Dados Funil'!A:A,'Dados Funil'!AM:AM,"")</f>
        <v/>
      </c>
      <c r="AH898" s="4" t="str">
        <f t="array" ref="AH898">XLOOKUP(AC898,'Dados Funil'!A:A,'Dados Funil'!AN:AN,"")</f>
        <v/>
      </c>
    </row>
    <row r="899">
      <c r="A899" s="4"/>
      <c r="B899" s="4"/>
      <c r="C899" s="7" t="str">
        <f t="shared" si="1"/>
        <v/>
      </c>
      <c r="D899" s="4" t="str">
        <f t="shared" si="9"/>
        <v/>
      </c>
      <c r="E899" s="4" t="str">
        <f t="array" ref="E899">XLOOKUP(A899,'Dados Funil'!$A:$A,'Dados Funil'!$K:$K,"")</f>
        <v/>
      </c>
      <c r="F899" s="4" t="str">
        <f t="array" ref="F899">XLOOKUP(A899,'Dados Funil'!$A:$A,'Dados Funil'!$L:$L,"")</f>
        <v/>
      </c>
      <c r="G899" s="4"/>
      <c r="H899" s="4"/>
      <c r="I899" s="7" t="str">
        <f t="shared" si="2"/>
        <v/>
      </c>
      <c r="J899" s="4" t="str">
        <f t="shared" si="10"/>
        <v/>
      </c>
      <c r="K899" s="4" t="str">
        <f t="array" ref="K899">XLOOKUP(G899,'Dados Funil'!A:A,'Dados Funil'!O:O,"")</f>
        <v/>
      </c>
      <c r="L899" s="4"/>
      <c r="M899" s="4"/>
      <c r="N899" s="7" t="str">
        <f t="shared" si="3"/>
        <v/>
      </c>
      <c r="O899" s="4" t="str">
        <f t="shared" si="11"/>
        <v/>
      </c>
      <c r="P899" s="4" t="str">
        <f t="array" ref="P899">XLOOKUP(L899,'Dados Funil'!A:A,'Dados Funil'!AM:AM,"")</f>
        <v/>
      </c>
      <c r="Q899" s="4" t="str">
        <f t="array" ref="Q899">XLOOKUP(L899,'Dados Funil'!A:A,'Dados Funil'!AN:AN,"")</f>
        <v/>
      </c>
      <c r="T899" s="7" t="str">
        <f t="shared" si="4"/>
        <v/>
      </c>
      <c r="U899" s="4" t="str">
        <f t="shared" si="12"/>
        <v/>
      </c>
      <c r="V899" s="4" t="str">
        <f t="array" ref="V899">XLOOKUP(R899,'Dados Funil'!$A:$A,'Dados Funil'!$K:$K,"")</f>
        <v/>
      </c>
      <c r="W899" s="4" t="str">
        <f t="array" ref="W899">XLOOKUP(R899,'Dados Funil'!$A:$A,'Dados Funil'!$L:$L,"")</f>
        <v/>
      </c>
      <c r="X899" s="4"/>
      <c r="Y899" s="4"/>
      <c r="Z899" s="7" t="str">
        <f t="shared" si="5"/>
        <v/>
      </c>
      <c r="AA899" s="4" t="str">
        <f t="shared" si="13"/>
        <v/>
      </c>
      <c r="AB899" s="4" t="str">
        <f t="array" ref="AB899">XLOOKUP(X899,'Dados Funil'!A:A,'Dados Funil'!O:O,"")</f>
        <v/>
      </c>
      <c r="AE899" s="7" t="str">
        <f t="shared" si="6"/>
        <v/>
      </c>
      <c r="AG899" s="4" t="str">
        <f t="array" ref="AG899">XLOOKUP(AC899,'Dados Funil'!A:A,'Dados Funil'!AM:AM,"")</f>
        <v/>
      </c>
      <c r="AH899" s="4" t="str">
        <f t="array" ref="AH899">XLOOKUP(AC899,'Dados Funil'!A:A,'Dados Funil'!AN:AN,"")</f>
        <v/>
      </c>
    </row>
    <row r="900">
      <c r="A900" s="4"/>
      <c r="B900" s="4"/>
      <c r="C900" s="7" t="str">
        <f t="shared" si="1"/>
        <v/>
      </c>
      <c r="D900" s="4" t="str">
        <f t="shared" si="9"/>
        <v/>
      </c>
      <c r="E900" s="4" t="str">
        <f t="array" ref="E900">XLOOKUP(A900,'Dados Funil'!$A:$A,'Dados Funil'!$K:$K,"")</f>
        <v/>
      </c>
      <c r="F900" s="4" t="str">
        <f t="array" ref="F900">XLOOKUP(A900,'Dados Funil'!$A:$A,'Dados Funil'!$L:$L,"")</f>
        <v/>
      </c>
      <c r="G900" s="4"/>
      <c r="H900" s="4"/>
      <c r="I900" s="7" t="str">
        <f t="shared" si="2"/>
        <v/>
      </c>
      <c r="J900" s="4" t="str">
        <f t="shared" si="10"/>
        <v/>
      </c>
      <c r="K900" s="4" t="str">
        <f t="array" ref="K900">XLOOKUP(G900,'Dados Funil'!A:A,'Dados Funil'!O:O,"")</f>
        <v/>
      </c>
      <c r="L900" s="4"/>
      <c r="M900" s="4"/>
      <c r="N900" s="7" t="str">
        <f t="shared" si="3"/>
        <v/>
      </c>
      <c r="O900" s="4" t="str">
        <f t="shared" si="11"/>
        <v/>
      </c>
      <c r="P900" s="4" t="str">
        <f t="array" ref="P900">XLOOKUP(L900,'Dados Funil'!A:A,'Dados Funil'!AM:AM,"")</f>
        <v/>
      </c>
      <c r="Q900" s="4" t="str">
        <f t="array" ref="Q900">XLOOKUP(L900,'Dados Funil'!A:A,'Dados Funil'!AN:AN,"")</f>
        <v/>
      </c>
      <c r="T900" s="7" t="str">
        <f t="shared" si="4"/>
        <v/>
      </c>
      <c r="U900" s="4" t="str">
        <f t="shared" si="12"/>
        <v/>
      </c>
      <c r="V900" s="4" t="str">
        <f t="array" ref="V900">XLOOKUP(R900,'Dados Funil'!$A:$A,'Dados Funil'!$K:$K,"")</f>
        <v/>
      </c>
      <c r="W900" s="4" t="str">
        <f t="array" ref="W900">XLOOKUP(R900,'Dados Funil'!$A:$A,'Dados Funil'!$L:$L,"")</f>
        <v/>
      </c>
      <c r="X900" s="4"/>
      <c r="Y900" s="4"/>
      <c r="Z900" s="7" t="str">
        <f t="shared" si="5"/>
        <v/>
      </c>
      <c r="AA900" s="4" t="str">
        <f t="shared" si="13"/>
        <v/>
      </c>
      <c r="AB900" s="4" t="str">
        <f t="array" ref="AB900">XLOOKUP(X900,'Dados Funil'!A:A,'Dados Funil'!O:O,"")</f>
        <v/>
      </c>
      <c r="AE900" s="7" t="str">
        <f t="shared" si="6"/>
        <v/>
      </c>
      <c r="AG900" s="4" t="str">
        <f t="array" ref="AG900">XLOOKUP(AC900,'Dados Funil'!A:A,'Dados Funil'!AM:AM,"")</f>
        <v/>
      </c>
      <c r="AH900" s="4" t="str">
        <f t="array" ref="AH900">XLOOKUP(AC900,'Dados Funil'!A:A,'Dados Funil'!AN:AN,"")</f>
        <v/>
      </c>
    </row>
    <row r="901">
      <c r="A901" s="4"/>
      <c r="B901" s="4"/>
      <c r="C901" s="7" t="str">
        <f t="shared" si="1"/>
        <v/>
      </c>
      <c r="D901" s="4" t="str">
        <f t="shared" si="9"/>
        <v/>
      </c>
      <c r="E901" s="4" t="str">
        <f t="array" ref="E901">XLOOKUP(A901,'Dados Funil'!$A:$A,'Dados Funil'!$K:$K,"")</f>
        <v/>
      </c>
      <c r="F901" s="4" t="str">
        <f t="array" ref="F901">XLOOKUP(A901,'Dados Funil'!$A:$A,'Dados Funil'!$L:$L,"")</f>
        <v/>
      </c>
      <c r="G901" s="4"/>
      <c r="H901" s="4"/>
      <c r="I901" s="7" t="str">
        <f t="shared" si="2"/>
        <v/>
      </c>
      <c r="J901" s="4" t="str">
        <f t="shared" si="10"/>
        <v/>
      </c>
      <c r="K901" s="4" t="str">
        <f t="array" ref="K901">XLOOKUP(G901,'Dados Funil'!A:A,'Dados Funil'!O:O,"")</f>
        <v/>
      </c>
      <c r="L901" s="4"/>
      <c r="M901" s="4"/>
      <c r="N901" s="7" t="str">
        <f t="shared" si="3"/>
        <v/>
      </c>
      <c r="O901" s="4" t="str">
        <f t="shared" si="11"/>
        <v/>
      </c>
      <c r="P901" s="4" t="str">
        <f t="array" ref="P901">XLOOKUP(L901,'Dados Funil'!A:A,'Dados Funil'!AM:AM,"")</f>
        <v/>
      </c>
      <c r="Q901" s="4" t="str">
        <f t="array" ref="Q901">XLOOKUP(L901,'Dados Funil'!A:A,'Dados Funil'!AN:AN,"")</f>
        <v/>
      </c>
      <c r="T901" s="7" t="str">
        <f t="shared" si="4"/>
        <v/>
      </c>
      <c r="U901" s="4" t="str">
        <f t="shared" si="12"/>
        <v/>
      </c>
      <c r="V901" s="4" t="str">
        <f t="array" ref="V901">XLOOKUP(R901,'Dados Funil'!$A:$A,'Dados Funil'!$K:$K,"")</f>
        <v/>
      </c>
      <c r="W901" s="4" t="str">
        <f t="array" ref="W901">XLOOKUP(R901,'Dados Funil'!$A:$A,'Dados Funil'!$L:$L,"")</f>
        <v/>
      </c>
      <c r="X901" s="4"/>
      <c r="Y901" s="4"/>
      <c r="Z901" s="7" t="str">
        <f t="shared" si="5"/>
        <v/>
      </c>
      <c r="AA901" s="4" t="str">
        <f t="shared" si="13"/>
        <v/>
      </c>
      <c r="AB901" s="4" t="str">
        <f t="array" ref="AB901">XLOOKUP(X901,'Dados Funil'!A:A,'Dados Funil'!O:O,"")</f>
        <v/>
      </c>
      <c r="AE901" s="7" t="str">
        <f t="shared" si="6"/>
        <v/>
      </c>
      <c r="AG901" s="4" t="str">
        <f t="array" ref="AG901">XLOOKUP(AC901,'Dados Funil'!A:A,'Dados Funil'!AM:AM,"")</f>
        <v/>
      </c>
      <c r="AH901" s="4" t="str">
        <f t="array" ref="AH901">XLOOKUP(AC901,'Dados Funil'!A:A,'Dados Funil'!AN:AN,"")</f>
        <v/>
      </c>
    </row>
    <row r="902">
      <c r="A902" s="4"/>
      <c r="B902" s="4"/>
      <c r="C902" s="7" t="str">
        <f t="shared" si="1"/>
        <v/>
      </c>
      <c r="D902" s="4" t="str">
        <f t="shared" si="9"/>
        <v/>
      </c>
      <c r="E902" s="4" t="str">
        <f t="array" ref="E902">XLOOKUP(A902,'Dados Funil'!$A:$A,'Dados Funil'!$K:$K,"")</f>
        <v/>
      </c>
      <c r="F902" s="4" t="str">
        <f t="array" ref="F902">XLOOKUP(A902,'Dados Funil'!$A:$A,'Dados Funil'!$L:$L,"")</f>
        <v/>
      </c>
      <c r="G902" s="4"/>
      <c r="H902" s="4"/>
      <c r="I902" s="7" t="str">
        <f t="shared" si="2"/>
        <v/>
      </c>
      <c r="J902" s="4" t="str">
        <f t="shared" si="10"/>
        <v/>
      </c>
      <c r="K902" s="4" t="str">
        <f t="array" ref="K902">XLOOKUP(G902,'Dados Funil'!A:A,'Dados Funil'!O:O,"")</f>
        <v/>
      </c>
      <c r="L902" s="4"/>
      <c r="M902" s="4"/>
      <c r="N902" s="7" t="str">
        <f t="shared" si="3"/>
        <v/>
      </c>
      <c r="O902" s="4" t="str">
        <f t="shared" si="11"/>
        <v/>
      </c>
      <c r="P902" s="4" t="str">
        <f t="array" ref="P902">XLOOKUP(L902,'Dados Funil'!A:A,'Dados Funil'!AM:AM,"")</f>
        <v/>
      </c>
      <c r="Q902" s="4" t="str">
        <f t="array" ref="Q902">XLOOKUP(L902,'Dados Funil'!A:A,'Dados Funil'!AN:AN,"")</f>
        <v/>
      </c>
      <c r="T902" s="7" t="str">
        <f t="shared" si="4"/>
        <v/>
      </c>
      <c r="U902" s="4" t="str">
        <f t="shared" si="12"/>
        <v/>
      </c>
      <c r="V902" s="4" t="str">
        <f t="array" ref="V902">XLOOKUP(R902,'Dados Funil'!$A:$A,'Dados Funil'!$K:$K,"")</f>
        <v/>
      </c>
      <c r="W902" s="4" t="str">
        <f t="array" ref="W902">XLOOKUP(R902,'Dados Funil'!$A:$A,'Dados Funil'!$L:$L,"")</f>
        <v/>
      </c>
      <c r="X902" s="4"/>
      <c r="Y902" s="4"/>
      <c r="Z902" s="7" t="str">
        <f t="shared" si="5"/>
        <v/>
      </c>
      <c r="AA902" s="4" t="str">
        <f t="shared" si="13"/>
        <v/>
      </c>
      <c r="AB902" s="4" t="str">
        <f t="array" ref="AB902">XLOOKUP(X902,'Dados Funil'!A:A,'Dados Funil'!O:O,"")</f>
        <v/>
      </c>
      <c r="AE902" s="7" t="str">
        <f t="shared" si="6"/>
        <v/>
      </c>
      <c r="AG902" s="4" t="str">
        <f t="array" ref="AG902">XLOOKUP(AC902,'Dados Funil'!A:A,'Dados Funil'!AM:AM,"")</f>
        <v/>
      </c>
      <c r="AH902" s="4" t="str">
        <f t="array" ref="AH902">XLOOKUP(AC902,'Dados Funil'!A:A,'Dados Funil'!AN:AN,"")</f>
        <v/>
      </c>
    </row>
    <row r="903">
      <c r="A903" s="4"/>
      <c r="B903" s="4"/>
      <c r="C903" s="7" t="str">
        <f t="shared" si="1"/>
        <v/>
      </c>
      <c r="D903" s="4" t="str">
        <f t="shared" si="9"/>
        <v/>
      </c>
      <c r="E903" s="4" t="str">
        <f t="array" ref="E903">XLOOKUP(A903,'Dados Funil'!$A:$A,'Dados Funil'!$K:$K,"")</f>
        <v/>
      </c>
      <c r="F903" s="4" t="str">
        <f t="array" ref="F903">XLOOKUP(A903,'Dados Funil'!$A:$A,'Dados Funil'!$L:$L,"")</f>
        <v/>
      </c>
      <c r="G903" s="4"/>
      <c r="H903" s="4"/>
      <c r="I903" s="7" t="str">
        <f t="shared" si="2"/>
        <v/>
      </c>
      <c r="J903" s="4" t="str">
        <f t="shared" si="10"/>
        <v/>
      </c>
      <c r="K903" s="4" t="str">
        <f t="array" ref="K903">XLOOKUP(G903,'Dados Funil'!A:A,'Dados Funil'!O:O,"")</f>
        <v/>
      </c>
      <c r="L903" s="4"/>
      <c r="M903" s="4"/>
      <c r="N903" s="7" t="str">
        <f t="shared" si="3"/>
        <v/>
      </c>
      <c r="O903" s="4" t="str">
        <f t="shared" si="11"/>
        <v/>
      </c>
      <c r="P903" s="4" t="str">
        <f t="array" ref="P903">XLOOKUP(L903,'Dados Funil'!A:A,'Dados Funil'!AM:AM,"")</f>
        <v/>
      </c>
      <c r="Q903" s="4" t="str">
        <f t="array" ref="Q903">XLOOKUP(L903,'Dados Funil'!A:A,'Dados Funil'!AN:AN,"")</f>
        <v/>
      </c>
      <c r="T903" s="7" t="str">
        <f t="shared" si="4"/>
        <v/>
      </c>
      <c r="U903" s="4" t="str">
        <f t="shared" si="12"/>
        <v/>
      </c>
      <c r="V903" s="4" t="str">
        <f t="array" ref="V903">XLOOKUP(R903,'Dados Funil'!$A:$A,'Dados Funil'!$K:$K,"")</f>
        <v/>
      </c>
      <c r="W903" s="4" t="str">
        <f t="array" ref="W903">XLOOKUP(R903,'Dados Funil'!$A:$A,'Dados Funil'!$L:$L,"")</f>
        <v/>
      </c>
      <c r="X903" s="4"/>
      <c r="Y903" s="4"/>
      <c r="Z903" s="7" t="str">
        <f t="shared" si="5"/>
        <v/>
      </c>
      <c r="AA903" s="4" t="str">
        <f t="shared" si="13"/>
        <v/>
      </c>
      <c r="AB903" s="4" t="str">
        <f t="array" ref="AB903">XLOOKUP(X903,'Dados Funil'!A:A,'Dados Funil'!O:O,"")</f>
        <v/>
      </c>
      <c r="AE903" s="7" t="str">
        <f t="shared" si="6"/>
        <v/>
      </c>
      <c r="AG903" s="4" t="str">
        <f t="array" ref="AG903">XLOOKUP(AC903,'Dados Funil'!A:A,'Dados Funil'!AM:AM,"")</f>
        <v/>
      </c>
      <c r="AH903" s="4" t="str">
        <f t="array" ref="AH903">XLOOKUP(AC903,'Dados Funil'!A:A,'Dados Funil'!AN:AN,"")</f>
        <v/>
      </c>
    </row>
    <row r="904">
      <c r="A904" s="4"/>
      <c r="B904" s="4"/>
      <c r="C904" s="7" t="str">
        <f t="shared" si="1"/>
        <v/>
      </c>
      <c r="D904" s="4" t="str">
        <f t="shared" si="9"/>
        <v/>
      </c>
      <c r="E904" s="4" t="str">
        <f t="array" ref="E904">XLOOKUP(A904,'Dados Funil'!$A:$A,'Dados Funil'!$K:$K,"")</f>
        <v/>
      </c>
      <c r="F904" s="4" t="str">
        <f t="array" ref="F904">XLOOKUP(A904,'Dados Funil'!$A:$A,'Dados Funil'!$L:$L,"")</f>
        <v/>
      </c>
      <c r="G904" s="4"/>
      <c r="H904" s="4"/>
      <c r="I904" s="7" t="str">
        <f t="shared" si="2"/>
        <v/>
      </c>
      <c r="J904" s="4" t="str">
        <f t="shared" si="10"/>
        <v/>
      </c>
      <c r="K904" s="4" t="str">
        <f t="array" ref="K904">XLOOKUP(G904,'Dados Funil'!A:A,'Dados Funil'!O:O,"")</f>
        <v/>
      </c>
      <c r="L904" s="4"/>
      <c r="M904" s="4"/>
      <c r="N904" s="7" t="str">
        <f t="shared" si="3"/>
        <v/>
      </c>
      <c r="O904" s="4" t="str">
        <f t="shared" si="11"/>
        <v/>
      </c>
      <c r="P904" s="4" t="str">
        <f t="array" ref="P904">XLOOKUP(L904,'Dados Funil'!A:A,'Dados Funil'!AM:AM,"")</f>
        <v/>
      </c>
      <c r="Q904" s="4" t="str">
        <f t="array" ref="Q904">XLOOKUP(L904,'Dados Funil'!A:A,'Dados Funil'!AN:AN,"")</f>
        <v/>
      </c>
      <c r="T904" s="7" t="str">
        <f t="shared" si="4"/>
        <v/>
      </c>
      <c r="U904" s="4" t="str">
        <f t="shared" si="12"/>
        <v/>
      </c>
      <c r="V904" s="4" t="str">
        <f t="array" ref="V904">XLOOKUP(R904,'Dados Funil'!$A:$A,'Dados Funil'!$K:$K,"")</f>
        <v/>
      </c>
      <c r="W904" s="4" t="str">
        <f t="array" ref="W904">XLOOKUP(R904,'Dados Funil'!$A:$A,'Dados Funil'!$L:$L,"")</f>
        <v/>
      </c>
      <c r="X904" s="4"/>
      <c r="Y904" s="4"/>
      <c r="Z904" s="7" t="str">
        <f t="shared" si="5"/>
        <v/>
      </c>
      <c r="AA904" s="4" t="str">
        <f t="shared" si="13"/>
        <v/>
      </c>
      <c r="AB904" s="4" t="str">
        <f t="array" ref="AB904">XLOOKUP(X904,'Dados Funil'!A:A,'Dados Funil'!O:O,"")</f>
        <v/>
      </c>
      <c r="AE904" s="7" t="str">
        <f t="shared" si="6"/>
        <v/>
      </c>
      <c r="AG904" s="4" t="str">
        <f t="array" ref="AG904">XLOOKUP(AC904,'Dados Funil'!A:A,'Dados Funil'!AM:AM,"")</f>
        <v/>
      </c>
      <c r="AH904" s="4" t="str">
        <f t="array" ref="AH904">XLOOKUP(AC904,'Dados Funil'!A:A,'Dados Funil'!AN:AN,"")</f>
        <v/>
      </c>
    </row>
    <row r="905">
      <c r="A905" s="4"/>
      <c r="B905" s="4"/>
      <c r="C905" s="7" t="str">
        <f t="shared" si="1"/>
        <v/>
      </c>
      <c r="D905" s="4" t="str">
        <f t="shared" si="9"/>
        <v/>
      </c>
      <c r="E905" s="4" t="str">
        <f t="array" ref="E905">XLOOKUP(A905,'Dados Funil'!$A:$A,'Dados Funil'!$K:$K,"")</f>
        <v/>
      </c>
      <c r="F905" s="4" t="str">
        <f t="array" ref="F905">XLOOKUP(A905,'Dados Funil'!$A:$A,'Dados Funil'!$L:$L,"")</f>
        <v/>
      </c>
      <c r="G905" s="4"/>
      <c r="H905" s="4"/>
      <c r="I905" s="7" t="str">
        <f t="shared" si="2"/>
        <v/>
      </c>
      <c r="J905" s="4" t="str">
        <f t="shared" si="10"/>
        <v/>
      </c>
      <c r="K905" s="4" t="str">
        <f t="array" ref="K905">XLOOKUP(G905,'Dados Funil'!A:A,'Dados Funil'!O:O,"")</f>
        <v/>
      </c>
      <c r="L905" s="4"/>
      <c r="M905" s="4"/>
      <c r="N905" s="7" t="str">
        <f t="shared" si="3"/>
        <v/>
      </c>
      <c r="O905" s="4" t="str">
        <f t="shared" si="11"/>
        <v/>
      </c>
      <c r="P905" s="4" t="str">
        <f t="array" ref="P905">XLOOKUP(L905,'Dados Funil'!A:A,'Dados Funil'!AM:AM,"")</f>
        <v/>
      </c>
      <c r="Q905" s="4" t="str">
        <f t="array" ref="Q905">XLOOKUP(L905,'Dados Funil'!A:A,'Dados Funil'!AN:AN,"")</f>
        <v/>
      </c>
      <c r="T905" s="7" t="str">
        <f t="shared" si="4"/>
        <v/>
      </c>
      <c r="U905" s="4" t="str">
        <f t="shared" si="12"/>
        <v/>
      </c>
      <c r="V905" s="4" t="str">
        <f t="array" ref="V905">XLOOKUP(R905,'Dados Funil'!$A:$A,'Dados Funil'!$K:$K,"")</f>
        <v/>
      </c>
      <c r="W905" s="4" t="str">
        <f t="array" ref="W905">XLOOKUP(R905,'Dados Funil'!$A:$A,'Dados Funil'!$L:$L,"")</f>
        <v/>
      </c>
      <c r="X905" s="4"/>
      <c r="Y905" s="4"/>
      <c r="Z905" s="7" t="str">
        <f t="shared" si="5"/>
        <v/>
      </c>
      <c r="AA905" s="4" t="str">
        <f t="shared" si="13"/>
        <v/>
      </c>
      <c r="AB905" s="4" t="str">
        <f t="array" ref="AB905">XLOOKUP(X905,'Dados Funil'!A:A,'Dados Funil'!O:O,"")</f>
        <v/>
      </c>
      <c r="AE905" s="7" t="str">
        <f t="shared" si="6"/>
        <v/>
      </c>
      <c r="AG905" s="4" t="str">
        <f t="array" ref="AG905">XLOOKUP(AC905,'Dados Funil'!A:A,'Dados Funil'!AM:AM,"")</f>
        <v/>
      </c>
      <c r="AH905" s="4" t="str">
        <f t="array" ref="AH905">XLOOKUP(AC905,'Dados Funil'!A:A,'Dados Funil'!AN:AN,"")</f>
        <v/>
      </c>
    </row>
    <row r="906">
      <c r="A906" s="4"/>
      <c r="B906" s="4"/>
      <c r="C906" s="7" t="str">
        <f t="shared" si="1"/>
        <v/>
      </c>
      <c r="D906" s="4" t="str">
        <f t="shared" si="9"/>
        <v/>
      </c>
      <c r="E906" s="4" t="str">
        <f t="array" ref="E906">XLOOKUP(A906,'Dados Funil'!$A:$A,'Dados Funil'!$K:$K,"")</f>
        <v/>
      </c>
      <c r="F906" s="4" t="str">
        <f t="array" ref="F906">XLOOKUP(A906,'Dados Funil'!$A:$A,'Dados Funil'!$L:$L,"")</f>
        <v/>
      </c>
      <c r="G906" s="4"/>
      <c r="H906" s="4"/>
      <c r="I906" s="7" t="str">
        <f t="shared" si="2"/>
        <v/>
      </c>
      <c r="J906" s="4" t="str">
        <f t="shared" si="10"/>
        <v/>
      </c>
      <c r="K906" s="4" t="str">
        <f t="array" ref="K906">XLOOKUP(G906,'Dados Funil'!A:A,'Dados Funil'!O:O,"")</f>
        <v/>
      </c>
      <c r="L906" s="4"/>
      <c r="M906" s="4"/>
      <c r="N906" s="7" t="str">
        <f t="shared" si="3"/>
        <v/>
      </c>
      <c r="O906" s="4" t="str">
        <f t="shared" si="11"/>
        <v/>
      </c>
      <c r="P906" s="4" t="str">
        <f t="array" ref="P906">XLOOKUP(L906,'Dados Funil'!A:A,'Dados Funil'!AM:AM,"")</f>
        <v/>
      </c>
      <c r="Q906" s="4" t="str">
        <f t="array" ref="Q906">XLOOKUP(L906,'Dados Funil'!A:A,'Dados Funil'!AN:AN,"")</f>
        <v/>
      </c>
      <c r="T906" s="7" t="str">
        <f t="shared" si="4"/>
        <v/>
      </c>
      <c r="U906" s="4" t="str">
        <f t="shared" si="12"/>
        <v/>
      </c>
      <c r="V906" s="4" t="str">
        <f t="array" ref="V906">XLOOKUP(R906,'Dados Funil'!$A:$A,'Dados Funil'!$K:$K,"")</f>
        <v/>
      </c>
      <c r="W906" s="4" t="str">
        <f t="array" ref="W906">XLOOKUP(R906,'Dados Funil'!$A:$A,'Dados Funil'!$L:$L,"")</f>
        <v/>
      </c>
      <c r="X906" s="4"/>
      <c r="Y906" s="4"/>
      <c r="Z906" s="7" t="str">
        <f t="shared" si="5"/>
        <v/>
      </c>
      <c r="AA906" s="4" t="str">
        <f t="shared" si="13"/>
        <v/>
      </c>
      <c r="AB906" s="4" t="str">
        <f t="array" ref="AB906">XLOOKUP(X906,'Dados Funil'!A:A,'Dados Funil'!O:O,"")</f>
        <v/>
      </c>
      <c r="AE906" s="7" t="str">
        <f t="shared" si="6"/>
        <v/>
      </c>
      <c r="AG906" s="4" t="str">
        <f t="array" ref="AG906">XLOOKUP(AC906,'Dados Funil'!A:A,'Dados Funil'!AM:AM,"")</f>
        <v/>
      </c>
      <c r="AH906" s="4" t="str">
        <f t="array" ref="AH906">XLOOKUP(AC906,'Dados Funil'!A:A,'Dados Funil'!AN:AN,"")</f>
        <v/>
      </c>
    </row>
    <row r="907">
      <c r="A907" s="4"/>
      <c r="B907" s="4"/>
      <c r="C907" s="7" t="str">
        <f t="shared" si="1"/>
        <v/>
      </c>
      <c r="D907" s="4" t="str">
        <f t="shared" si="9"/>
        <v/>
      </c>
      <c r="E907" s="4" t="str">
        <f t="array" ref="E907">XLOOKUP(A907,'Dados Funil'!$A:$A,'Dados Funil'!$K:$K,"")</f>
        <v/>
      </c>
      <c r="F907" s="4" t="str">
        <f t="array" ref="F907">XLOOKUP(A907,'Dados Funil'!$A:$A,'Dados Funil'!$L:$L,"")</f>
        <v/>
      </c>
      <c r="G907" s="4"/>
      <c r="H907" s="4"/>
      <c r="I907" s="7" t="str">
        <f t="shared" si="2"/>
        <v/>
      </c>
      <c r="J907" s="4" t="str">
        <f t="shared" si="10"/>
        <v/>
      </c>
      <c r="K907" s="4" t="str">
        <f t="array" ref="K907">XLOOKUP(G907,'Dados Funil'!A:A,'Dados Funil'!O:O,"")</f>
        <v/>
      </c>
      <c r="L907" s="4"/>
      <c r="M907" s="4"/>
      <c r="N907" s="7" t="str">
        <f t="shared" si="3"/>
        <v/>
      </c>
      <c r="O907" s="4" t="str">
        <f t="shared" si="11"/>
        <v/>
      </c>
      <c r="P907" s="4" t="str">
        <f t="array" ref="P907">XLOOKUP(L907,'Dados Funil'!A:A,'Dados Funil'!AM:AM,"")</f>
        <v/>
      </c>
      <c r="Q907" s="4" t="str">
        <f t="array" ref="Q907">XLOOKUP(L907,'Dados Funil'!A:A,'Dados Funil'!AN:AN,"")</f>
        <v/>
      </c>
      <c r="T907" s="7" t="str">
        <f t="shared" si="4"/>
        <v/>
      </c>
      <c r="U907" s="4" t="str">
        <f t="shared" si="12"/>
        <v/>
      </c>
      <c r="V907" s="4" t="str">
        <f t="array" ref="V907">XLOOKUP(R907,'Dados Funil'!$A:$A,'Dados Funil'!$K:$K,"")</f>
        <v/>
      </c>
      <c r="W907" s="4" t="str">
        <f t="array" ref="W907">XLOOKUP(R907,'Dados Funil'!$A:$A,'Dados Funil'!$L:$L,"")</f>
        <v/>
      </c>
      <c r="X907" s="4"/>
      <c r="Y907" s="4"/>
      <c r="Z907" s="7" t="str">
        <f t="shared" si="5"/>
        <v/>
      </c>
      <c r="AA907" s="4" t="str">
        <f t="shared" si="13"/>
        <v/>
      </c>
      <c r="AB907" s="4" t="str">
        <f t="array" ref="AB907">XLOOKUP(X907,'Dados Funil'!A:A,'Dados Funil'!O:O,"")</f>
        <v/>
      </c>
      <c r="AE907" s="7" t="str">
        <f t="shared" si="6"/>
        <v/>
      </c>
      <c r="AG907" s="4" t="str">
        <f t="array" ref="AG907">XLOOKUP(AC907,'Dados Funil'!A:A,'Dados Funil'!AM:AM,"")</f>
        <v/>
      </c>
      <c r="AH907" s="4" t="str">
        <f t="array" ref="AH907">XLOOKUP(AC907,'Dados Funil'!A:A,'Dados Funil'!AN:AN,"")</f>
        <v/>
      </c>
    </row>
    <row r="908">
      <c r="A908" s="4"/>
      <c r="B908" s="4"/>
      <c r="C908" s="7" t="str">
        <f t="shared" si="1"/>
        <v/>
      </c>
      <c r="D908" s="4" t="str">
        <f t="shared" si="9"/>
        <v/>
      </c>
      <c r="E908" s="4" t="str">
        <f t="array" ref="E908">XLOOKUP(A908,'Dados Funil'!$A:$A,'Dados Funil'!$K:$K,"")</f>
        <v/>
      </c>
      <c r="F908" s="4" t="str">
        <f t="array" ref="F908">XLOOKUP(A908,'Dados Funil'!$A:$A,'Dados Funil'!$L:$L,"")</f>
        <v/>
      </c>
      <c r="G908" s="4"/>
      <c r="H908" s="4"/>
      <c r="I908" s="7" t="str">
        <f t="shared" si="2"/>
        <v/>
      </c>
      <c r="J908" s="4" t="str">
        <f t="shared" si="10"/>
        <v/>
      </c>
      <c r="K908" s="4" t="str">
        <f t="array" ref="K908">XLOOKUP(G908,'Dados Funil'!A:A,'Dados Funil'!O:O,"")</f>
        <v/>
      </c>
      <c r="L908" s="4"/>
      <c r="M908" s="4"/>
      <c r="N908" s="7" t="str">
        <f t="shared" si="3"/>
        <v/>
      </c>
      <c r="O908" s="4" t="str">
        <f t="shared" si="11"/>
        <v/>
      </c>
      <c r="P908" s="4" t="str">
        <f t="array" ref="P908">XLOOKUP(L908,'Dados Funil'!A:A,'Dados Funil'!AM:AM,"")</f>
        <v/>
      </c>
      <c r="Q908" s="4" t="str">
        <f t="array" ref="Q908">XLOOKUP(L908,'Dados Funil'!A:A,'Dados Funil'!AN:AN,"")</f>
        <v/>
      </c>
      <c r="T908" s="7" t="str">
        <f t="shared" si="4"/>
        <v/>
      </c>
      <c r="U908" s="4" t="str">
        <f t="shared" si="12"/>
        <v/>
      </c>
      <c r="V908" s="4" t="str">
        <f t="array" ref="V908">XLOOKUP(R908,'Dados Funil'!$A:$A,'Dados Funil'!$K:$K,"")</f>
        <v/>
      </c>
      <c r="W908" s="4" t="str">
        <f t="array" ref="W908">XLOOKUP(R908,'Dados Funil'!$A:$A,'Dados Funil'!$L:$L,"")</f>
        <v/>
      </c>
      <c r="X908" s="4"/>
      <c r="Y908" s="4"/>
      <c r="Z908" s="7" t="str">
        <f t="shared" si="5"/>
        <v/>
      </c>
      <c r="AA908" s="4" t="str">
        <f t="shared" si="13"/>
        <v/>
      </c>
      <c r="AB908" s="4" t="str">
        <f t="array" ref="AB908">XLOOKUP(X908,'Dados Funil'!A:A,'Dados Funil'!O:O,"")</f>
        <v/>
      </c>
      <c r="AE908" s="7" t="str">
        <f t="shared" si="6"/>
        <v/>
      </c>
      <c r="AG908" s="4" t="str">
        <f t="array" ref="AG908">XLOOKUP(AC908,'Dados Funil'!A:A,'Dados Funil'!AM:AM,"")</f>
        <v/>
      </c>
      <c r="AH908" s="4" t="str">
        <f t="array" ref="AH908">XLOOKUP(AC908,'Dados Funil'!A:A,'Dados Funil'!AN:AN,"")</f>
        <v/>
      </c>
    </row>
    <row r="909">
      <c r="A909" s="4"/>
      <c r="B909" s="4"/>
      <c r="C909" s="7" t="str">
        <f t="shared" si="1"/>
        <v/>
      </c>
      <c r="D909" s="4" t="str">
        <f t="shared" si="9"/>
        <v/>
      </c>
      <c r="E909" s="4" t="str">
        <f t="array" ref="E909">XLOOKUP(A909,'Dados Funil'!$A:$A,'Dados Funil'!$K:$K,"")</f>
        <v/>
      </c>
      <c r="F909" s="4" t="str">
        <f t="array" ref="F909">XLOOKUP(A909,'Dados Funil'!$A:$A,'Dados Funil'!$L:$L,"")</f>
        <v/>
      </c>
      <c r="G909" s="4"/>
      <c r="H909" s="4"/>
      <c r="I909" s="7" t="str">
        <f t="shared" si="2"/>
        <v/>
      </c>
      <c r="J909" s="4" t="str">
        <f t="shared" si="10"/>
        <v/>
      </c>
      <c r="K909" s="4" t="str">
        <f t="array" ref="K909">XLOOKUP(G909,'Dados Funil'!A:A,'Dados Funil'!O:O,"")</f>
        <v/>
      </c>
      <c r="L909" s="4"/>
      <c r="M909" s="4"/>
      <c r="N909" s="7" t="str">
        <f t="shared" si="3"/>
        <v/>
      </c>
      <c r="O909" s="4" t="str">
        <f t="shared" si="11"/>
        <v/>
      </c>
      <c r="P909" s="4" t="str">
        <f t="array" ref="P909">XLOOKUP(L909,'Dados Funil'!A:A,'Dados Funil'!AM:AM,"")</f>
        <v/>
      </c>
      <c r="Q909" s="4" t="str">
        <f t="array" ref="Q909">XLOOKUP(L909,'Dados Funil'!A:A,'Dados Funil'!AN:AN,"")</f>
        <v/>
      </c>
      <c r="T909" s="7" t="str">
        <f t="shared" si="4"/>
        <v/>
      </c>
      <c r="U909" s="4" t="str">
        <f t="shared" si="12"/>
        <v/>
      </c>
      <c r="V909" s="4" t="str">
        <f t="array" ref="V909">XLOOKUP(R909,'Dados Funil'!$A:$A,'Dados Funil'!$K:$K,"")</f>
        <v/>
      </c>
      <c r="W909" s="4" t="str">
        <f t="array" ref="W909">XLOOKUP(R909,'Dados Funil'!$A:$A,'Dados Funil'!$L:$L,"")</f>
        <v/>
      </c>
      <c r="X909" s="4"/>
      <c r="Y909" s="4"/>
      <c r="Z909" s="7" t="str">
        <f t="shared" si="5"/>
        <v/>
      </c>
      <c r="AA909" s="4" t="str">
        <f t="shared" si="13"/>
        <v/>
      </c>
      <c r="AB909" s="4" t="str">
        <f t="array" ref="AB909">XLOOKUP(X909,'Dados Funil'!A:A,'Dados Funil'!O:O,"")</f>
        <v/>
      </c>
      <c r="AE909" s="7" t="str">
        <f t="shared" si="6"/>
        <v/>
      </c>
      <c r="AG909" s="4" t="str">
        <f t="array" ref="AG909">XLOOKUP(AC909,'Dados Funil'!A:A,'Dados Funil'!AM:AM,"")</f>
        <v/>
      </c>
      <c r="AH909" s="4" t="str">
        <f t="array" ref="AH909">XLOOKUP(AC909,'Dados Funil'!A:A,'Dados Funil'!AN:AN,"")</f>
        <v/>
      </c>
    </row>
    <row r="910">
      <c r="A910" s="4"/>
      <c r="B910" s="4"/>
      <c r="C910" s="7" t="str">
        <f t="shared" si="1"/>
        <v/>
      </c>
      <c r="D910" s="4" t="str">
        <f t="shared" si="9"/>
        <v/>
      </c>
      <c r="E910" s="4" t="str">
        <f t="array" ref="E910">XLOOKUP(A910,'Dados Funil'!$A:$A,'Dados Funil'!$K:$K,"")</f>
        <v/>
      </c>
      <c r="F910" s="4" t="str">
        <f t="array" ref="F910">XLOOKUP(A910,'Dados Funil'!$A:$A,'Dados Funil'!$L:$L,"")</f>
        <v/>
      </c>
      <c r="G910" s="4"/>
      <c r="H910" s="4"/>
      <c r="I910" s="7" t="str">
        <f t="shared" si="2"/>
        <v/>
      </c>
      <c r="J910" s="4" t="str">
        <f t="shared" si="10"/>
        <v/>
      </c>
      <c r="K910" s="4" t="str">
        <f t="array" ref="K910">XLOOKUP(G910,'Dados Funil'!A:A,'Dados Funil'!O:O,"")</f>
        <v/>
      </c>
      <c r="L910" s="4"/>
      <c r="M910" s="4"/>
      <c r="N910" s="7" t="str">
        <f t="shared" si="3"/>
        <v/>
      </c>
      <c r="O910" s="4" t="str">
        <f t="shared" si="11"/>
        <v/>
      </c>
      <c r="P910" s="4" t="str">
        <f t="array" ref="P910">XLOOKUP(L910,'Dados Funil'!A:A,'Dados Funil'!AM:AM,"")</f>
        <v/>
      </c>
      <c r="Q910" s="4" t="str">
        <f t="array" ref="Q910">XLOOKUP(L910,'Dados Funil'!A:A,'Dados Funil'!AN:AN,"")</f>
        <v/>
      </c>
      <c r="T910" s="7" t="str">
        <f t="shared" si="4"/>
        <v/>
      </c>
      <c r="U910" s="4" t="str">
        <f t="shared" si="12"/>
        <v/>
      </c>
      <c r="V910" s="4" t="str">
        <f t="array" ref="V910">XLOOKUP(R910,'Dados Funil'!$A:$A,'Dados Funil'!$K:$K,"")</f>
        <v/>
      </c>
      <c r="W910" s="4" t="str">
        <f t="array" ref="W910">XLOOKUP(R910,'Dados Funil'!$A:$A,'Dados Funil'!$L:$L,"")</f>
        <v/>
      </c>
      <c r="X910" s="4"/>
      <c r="Y910" s="4"/>
      <c r="Z910" s="7" t="str">
        <f t="shared" si="5"/>
        <v/>
      </c>
      <c r="AA910" s="4" t="str">
        <f t="shared" si="13"/>
        <v/>
      </c>
      <c r="AB910" s="4" t="str">
        <f t="array" ref="AB910">XLOOKUP(X910,'Dados Funil'!A:A,'Dados Funil'!O:O,"")</f>
        <v/>
      </c>
      <c r="AE910" s="7" t="str">
        <f t="shared" si="6"/>
        <v/>
      </c>
      <c r="AG910" s="4" t="str">
        <f t="array" ref="AG910">XLOOKUP(AC910,'Dados Funil'!A:A,'Dados Funil'!AM:AM,"")</f>
        <v/>
      </c>
      <c r="AH910" s="4" t="str">
        <f t="array" ref="AH910">XLOOKUP(AC910,'Dados Funil'!A:A,'Dados Funil'!AN:AN,"")</f>
        <v/>
      </c>
    </row>
    <row r="911">
      <c r="A911" s="4"/>
      <c r="B911" s="4"/>
      <c r="C911" s="7" t="str">
        <f t="shared" si="1"/>
        <v/>
      </c>
      <c r="D911" s="4" t="str">
        <f t="shared" si="9"/>
        <v/>
      </c>
      <c r="E911" s="4" t="str">
        <f t="array" ref="E911">XLOOKUP(A911,'Dados Funil'!$A:$A,'Dados Funil'!$K:$K,"")</f>
        <v/>
      </c>
      <c r="F911" s="4" t="str">
        <f t="array" ref="F911">XLOOKUP(A911,'Dados Funil'!$A:$A,'Dados Funil'!$L:$L,"")</f>
        <v/>
      </c>
      <c r="G911" s="4"/>
      <c r="H911" s="4"/>
      <c r="I911" s="7" t="str">
        <f t="shared" si="2"/>
        <v/>
      </c>
      <c r="J911" s="4" t="str">
        <f t="shared" si="10"/>
        <v/>
      </c>
      <c r="K911" s="4" t="str">
        <f t="array" ref="K911">XLOOKUP(G911,'Dados Funil'!A:A,'Dados Funil'!O:O,"")</f>
        <v/>
      </c>
      <c r="L911" s="4"/>
      <c r="M911" s="4"/>
      <c r="N911" s="7" t="str">
        <f t="shared" si="3"/>
        <v/>
      </c>
      <c r="O911" s="4" t="str">
        <f t="shared" si="11"/>
        <v/>
      </c>
      <c r="P911" s="4" t="str">
        <f t="array" ref="P911">XLOOKUP(L911,'Dados Funil'!A:A,'Dados Funil'!AM:AM,"")</f>
        <v/>
      </c>
      <c r="Q911" s="4" t="str">
        <f t="array" ref="Q911">XLOOKUP(L911,'Dados Funil'!A:A,'Dados Funil'!AN:AN,"")</f>
        <v/>
      </c>
      <c r="T911" s="7" t="str">
        <f t="shared" si="4"/>
        <v/>
      </c>
      <c r="U911" s="4" t="str">
        <f t="shared" si="12"/>
        <v/>
      </c>
      <c r="V911" s="4" t="str">
        <f t="array" ref="V911">XLOOKUP(R911,'Dados Funil'!$A:$A,'Dados Funil'!$K:$K,"")</f>
        <v/>
      </c>
      <c r="W911" s="4" t="str">
        <f t="array" ref="W911">XLOOKUP(R911,'Dados Funil'!$A:$A,'Dados Funil'!$L:$L,"")</f>
        <v/>
      </c>
      <c r="X911" s="4"/>
      <c r="Y911" s="4"/>
      <c r="Z911" s="7" t="str">
        <f t="shared" si="5"/>
        <v/>
      </c>
      <c r="AA911" s="4" t="str">
        <f t="shared" si="13"/>
        <v/>
      </c>
      <c r="AB911" s="4" t="str">
        <f t="array" ref="AB911">XLOOKUP(X911,'Dados Funil'!A:A,'Dados Funil'!O:O,"")</f>
        <v/>
      </c>
      <c r="AE911" s="7" t="str">
        <f t="shared" si="6"/>
        <v/>
      </c>
      <c r="AG911" s="4" t="str">
        <f t="array" ref="AG911">XLOOKUP(AC911,'Dados Funil'!A:A,'Dados Funil'!AM:AM,"")</f>
        <v/>
      </c>
      <c r="AH911" s="4" t="str">
        <f t="array" ref="AH911">XLOOKUP(AC911,'Dados Funil'!A:A,'Dados Funil'!AN:AN,"")</f>
        <v/>
      </c>
    </row>
    <row r="912">
      <c r="A912" s="4"/>
      <c r="B912" s="4"/>
      <c r="C912" s="7" t="str">
        <f t="shared" si="1"/>
        <v/>
      </c>
      <c r="D912" s="4" t="str">
        <f t="shared" si="9"/>
        <v/>
      </c>
      <c r="E912" s="4" t="str">
        <f t="array" ref="E912">XLOOKUP(A912,'Dados Funil'!$A:$A,'Dados Funil'!$K:$K,"")</f>
        <v/>
      </c>
      <c r="F912" s="4" t="str">
        <f t="array" ref="F912">XLOOKUP(A912,'Dados Funil'!$A:$A,'Dados Funil'!$L:$L,"")</f>
        <v/>
      </c>
      <c r="G912" s="4"/>
      <c r="H912" s="4"/>
      <c r="I912" s="7" t="str">
        <f t="shared" si="2"/>
        <v/>
      </c>
      <c r="J912" s="4" t="str">
        <f t="shared" si="10"/>
        <v/>
      </c>
      <c r="K912" s="4" t="str">
        <f t="array" ref="K912">XLOOKUP(G912,'Dados Funil'!A:A,'Dados Funil'!O:O,"")</f>
        <v/>
      </c>
      <c r="L912" s="4"/>
      <c r="M912" s="4"/>
      <c r="N912" s="7" t="str">
        <f t="shared" si="3"/>
        <v/>
      </c>
      <c r="O912" s="4" t="str">
        <f t="shared" si="11"/>
        <v/>
      </c>
      <c r="P912" s="4" t="str">
        <f t="array" ref="P912">XLOOKUP(L912,'Dados Funil'!A:A,'Dados Funil'!AM:AM,"")</f>
        <v/>
      </c>
      <c r="Q912" s="4" t="str">
        <f t="array" ref="Q912">XLOOKUP(L912,'Dados Funil'!A:A,'Dados Funil'!AN:AN,"")</f>
        <v/>
      </c>
      <c r="T912" s="7" t="str">
        <f t="shared" si="4"/>
        <v/>
      </c>
      <c r="U912" s="4" t="str">
        <f t="shared" si="12"/>
        <v/>
      </c>
      <c r="V912" s="4" t="str">
        <f t="array" ref="V912">XLOOKUP(R912,'Dados Funil'!$A:$A,'Dados Funil'!$K:$K,"")</f>
        <v/>
      </c>
      <c r="W912" s="4" t="str">
        <f t="array" ref="W912">XLOOKUP(R912,'Dados Funil'!$A:$A,'Dados Funil'!$L:$L,"")</f>
        <v/>
      </c>
      <c r="X912" s="4"/>
      <c r="Y912" s="4"/>
      <c r="Z912" s="7" t="str">
        <f t="shared" si="5"/>
        <v/>
      </c>
      <c r="AA912" s="4" t="str">
        <f t="shared" si="13"/>
        <v/>
      </c>
      <c r="AB912" s="4" t="str">
        <f t="array" ref="AB912">XLOOKUP(X912,'Dados Funil'!A:A,'Dados Funil'!O:O,"")</f>
        <v/>
      </c>
      <c r="AE912" s="7" t="str">
        <f t="shared" si="6"/>
        <v/>
      </c>
      <c r="AG912" s="4" t="str">
        <f t="array" ref="AG912">XLOOKUP(AC912,'Dados Funil'!A:A,'Dados Funil'!AM:AM,"")</f>
        <v/>
      </c>
      <c r="AH912" s="4" t="str">
        <f t="array" ref="AH912">XLOOKUP(AC912,'Dados Funil'!A:A,'Dados Funil'!AN:AN,"")</f>
        <v/>
      </c>
    </row>
    <row r="913">
      <c r="A913" s="4"/>
      <c r="B913" s="4"/>
      <c r="C913" s="7" t="str">
        <f t="shared" si="1"/>
        <v/>
      </c>
      <c r="D913" s="4" t="str">
        <f t="shared" si="9"/>
        <v/>
      </c>
      <c r="E913" s="4" t="str">
        <f t="array" ref="E913">XLOOKUP(A913,'Dados Funil'!$A:$A,'Dados Funil'!$K:$K,"")</f>
        <v/>
      </c>
      <c r="F913" s="4" t="str">
        <f t="array" ref="F913">XLOOKUP(A913,'Dados Funil'!$A:$A,'Dados Funil'!$L:$L,"")</f>
        <v/>
      </c>
      <c r="G913" s="4"/>
      <c r="H913" s="4"/>
      <c r="I913" s="7" t="str">
        <f t="shared" si="2"/>
        <v/>
      </c>
      <c r="J913" s="4" t="str">
        <f t="shared" si="10"/>
        <v/>
      </c>
      <c r="K913" s="4" t="str">
        <f t="array" ref="K913">XLOOKUP(G913,'Dados Funil'!A:A,'Dados Funil'!O:O,"")</f>
        <v/>
      </c>
      <c r="L913" s="4"/>
      <c r="M913" s="4"/>
      <c r="N913" s="7" t="str">
        <f t="shared" si="3"/>
        <v/>
      </c>
      <c r="O913" s="4" t="str">
        <f t="shared" si="11"/>
        <v/>
      </c>
      <c r="P913" s="4" t="str">
        <f t="array" ref="P913">XLOOKUP(L913,'Dados Funil'!A:A,'Dados Funil'!AM:AM,"")</f>
        <v/>
      </c>
      <c r="Q913" s="4" t="str">
        <f t="array" ref="Q913">XLOOKUP(L913,'Dados Funil'!A:A,'Dados Funil'!AN:AN,"")</f>
        <v/>
      </c>
      <c r="T913" s="7" t="str">
        <f t="shared" si="4"/>
        <v/>
      </c>
      <c r="U913" s="4" t="str">
        <f t="shared" si="12"/>
        <v/>
      </c>
      <c r="V913" s="4" t="str">
        <f t="array" ref="V913">XLOOKUP(R913,'Dados Funil'!$A:$A,'Dados Funil'!$K:$K,"")</f>
        <v/>
      </c>
      <c r="W913" s="4" t="str">
        <f t="array" ref="W913">XLOOKUP(R913,'Dados Funil'!$A:$A,'Dados Funil'!$L:$L,"")</f>
        <v/>
      </c>
      <c r="X913" s="4"/>
      <c r="Y913" s="4"/>
      <c r="Z913" s="7" t="str">
        <f t="shared" si="5"/>
        <v/>
      </c>
      <c r="AA913" s="4" t="str">
        <f t="shared" si="13"/>
        <v/>
      </c>
      <c r="AB913" s="4" t="str">
        <f t="array" ref="AB913">XLOOKUP(X913,'Dados Funil'!A:A,'Dados Funil'!O:O,"")</f>
        <v/>
      </c>
      <c r="AE913" s="7" t="str">
        <f t="shared" si="6"/>
        <v/>
      </c>
      <c r="AG913" s="4" t="str">
        <f t="array" ref="AG913">XLOOKUP(AC913,'Dados Funil'!A:A,'Dados Funil'!AM:AM,"")</f>
        <v/>
      </c>
      <c r="AH913" s="4" t="str">
        <f t="array" ref="AH913">XLOOKUP(AC913,'Dados Funil'!A:A,'Dados Funil'!AN:AN,"")</f>
        <v/>
      </c>
    </row>
    <row r="914">
      <c r="A914" s="4"/>
      <c r="B914" s="4"/>
      <c r="C914" s="7" t="str">
        <f t="shared" si="1"/>
        <v/>
      </c>
      <c r="D914" s="4" t="str">
        <f t="shared" si="9"/>
        <v/>
      </c>
      <c r="E914" s="4" t="str">
        <f t="array" ref="E914">XLOOKUP(A914,'Dados Funil'!$A:$A,'Dados Funil'!$K:$K,"")</f>
        <v/>
      </c>
      <c r="F914" s="4" t="str">
        <f t="array" ref="F914">XLOOKUP(A914,'Dados Funil'!$A:$A,'Dados Funil'!$L:$L,"")</f>
        <v/>
      </c>
      <c r="G914" s="4"/>
      <c r="H914" s="4"/>
      <c r="I914" s="7" t="str">
        <f t="shared" si="2"/>
        <v/>
      </c>
      <c r="J914" s="4" t="str">
        <f t="shared" si="10"/>
        <v/>
      </c>
      <c r="K914" s="4" t="str">
        <f t="array" ref="K914">XLOOKUP(G914,'Dados Funil'!A:A,'Dados Funil'!O:O,"")</f>
        <v/>
      </c>
      <c r="L914" s="4"/>
      <c r="M914" s="4"/>
      <c r="N914" s="7" t="str">
        <f t="shared" si="3"/>
        <v/>
      </c>
      <c r="O914" s="4" t="str">
        <f t="shared" si="11"/>
        <v/>
      </c>
      <c r="P914" s="4" t="str">
        <f t="array" ref="P914">XLOOKUP(L914,'Dados Funil'!A:A,'Dados Funil'!AM:AM,"")</f>
        <v/>
      </c>
      <c r="Q914" s="4" t="str">
        <f t="array" ref="Q914">XLOOKUP(L914,'Dados Funil'!A:A,'Dados Funil'!AN:AN,"")</f>
        <v/>
      </c>
      <c r="T914" s="7" t="str">
        <f t="shared" si="4"/>
        <v/>
      </c>
      <c r="U914" s="4" t="str">
        <f t="shared" si="12"/>
        <v/>
      </c>
      <c r="V914" s="4" t="str">
        <f t="array" ref="V914">XLOOKUP(R914,'Dados Funil'!$A:$A,'Dados Funil'!$K:$K,"")</f>
        <v/>
      </c>
      <c r="W914" s="4" t="str">
        <f t="array" ref="W914">XLOOKUP(R914,'Dados Funil'!$A:$A,'Dados Funil'!$L:$L,"")</f>
        <v/>
      </c>
      <c r="X914" s="4"/>
      <c r="Y914" s="4"/>
      <c r="Z914" s="7" t="str">
        <f t="shared" si="5"/>
        <v/>
      </c>
      <c r="AA914" s="4" t="str">
        <f t="shared" si="13"/>
        <v/>
      </c>
      <c r="AB914" s="4" t="str">
        <f t="array" ref="AB914">XLOOKUP(X914,'Dados Funil'!A:A,'Dados Funil'!O:O,"")</f>
        <v/>
      </c>
      <c r="AE914" s="7" t="str">
        <f t="shared" si="6"/>
        <v/>
      </c>
      <c r="AG914" s="4" t="str">
        <f t="array" ref="AG914">XLOOKUP(AC914,'Dados Funil'!A:A,'Dados Funil'!AM:AM,"")</f>
        <v/>
      </c>
      <c r="AH914" s="4" t="str">
        <f t="array" ref="AH914">XLOOKUP(AC914,'Dados Funil'!A:A,'Dados Funil'!AN:AN,"")</f>
        <v/>
      </c>
    </row>
    <row r="915">
      <c r="A915" s="4"/>
      <c r="B915" s="4"/>
      <c r="C915" s="7" t="str">
        <f t="shared" si="1"/>
        <v/>
      </c>
      <c r="D915" s="4" t="str">
        <f t="shared" si="9"/>
        <v/>
      </c>
      <c r="E915" s="4" t="str">
        <f t="array" ref="E915">XLOOKUP(A915,'Dados Funil'!$A:$A,'Dados Funil'!$K:$K,"")</f>
        <v/>
      </c>
      <c r="F915" s="4" t="str">
        <f t="array" ref="F915">XLOOKUP(A915,'Dados Funil'!$A:$A,'Dados Funil'!$L:$L,"")</f>
        <v/>
      </c>
      <c r="G915" s="4"/>
      <c r="H915" s="4"/>
      <c r="I915" s="7" t="str">
        <f t="shared" si="2"/>
        <v/>
      </c>
      <c r="J915" s="4" t="str">
        <f t="shared" si="10"/>
        <v/>
      </c>
      <c r="K915" s="4" t="str">
        <f t="array" ref="K915">XLOOKUP(G915,'Dados Funil'!A:A,'Dados Funil'!O:O,"")</f>
        <v/>
      </c>
      <c r="L915" s="4"/>
      <c r="M915" s="4"/>
      <c r="N915" s="7" t="str">
        <f t="shared" si="3"/>
        <v/>
      </c>
      <c r="O915" s="4" t="str">
        <f t="shared" si="11"/>
        <v/>
      </c>
      <c r="P915" s="4" t="str">
        <f t="array" ref="P915">XLOOKUP(L915,'Dados Funil'!A:A,'Dados Funil'!AM:AM,"")</f>
        <v/>
      </c>
      <c r="Q915" s="4" t="str">
        <f t="array" ref="Q915">XLOOKUP(L915,'Dados Funil'!A:A,'Dados Funil'!AN:AN,"")</f>
        <v/>
      </c>
      <c r="T915" s="7" t="str">
        <f t="shared" si="4"/>
        <v/>
      </c>
      <c r="U915" s="4" t="str">
        <f t="shared" si="12"/>
        <v/>
      </c>
      <c r="V915" s="4" t="str">
        <f t="array" ref="V915">XLOOKUP(R915,'Dados Funil'!$A:$A,'Dados Funil'!$K:$K,"")</f>
        <v/>
      </c>
      <c r="W915" s="4" t="str">
        <f t="array" ref="W915">XLOOKUP(R915,'Dados Funil'!$A:$A,'Dados Funil'!$L:$L,"")</f>
        <v/>
      </c>
      <c r="X915" s="4"/>
      <c r="Y915" s="4"/>
      <c r="Z915" s="7" t="str">
        <f t="shared" si="5"/>
        <v/>
      </c>
      <c r="AA915" s="4" t="str">
        <f t="shared" si="13"/>
        <v/>
      </c>
      <c r="AB915" s="4" t="str">
        <f t="array" ref="AB915">XLOOKUP(X915,'Dados Funil'!A:A,'Dados Funil'!O:O,"")</f>
        <v/>
      </c>
      <c r="AE915" s="7" t="str">
        <f t="shared" si="6"/>
        <v/>
      </c>
      <c r="AG915" s="4" t="str">
        <f t="array" ref="AG915">XLOOKUP(AC915,'Dados Funil'!A:A,'Dados Funil'!AM:AM,"")</f>
        <v/>
      </c>
      <c r="AH915" s="4" t="str">
        <f t="array" ref="AH915">XLOOKUP(AC915,'Dados Funil'!A:A,'Dados Funil'!AN:AN,"")</f>
        <v/>
      </c>
    </row>
    <row r="916">
      <c r="A916" s="4"/>
      <c r="B916" s="4"/>
      <c r="C916" s="7" t="str">
        <f t="shared" si="1"/>
        <v/>
      </c>
      <c r="D916" s="4" t="str">
        <f t="shared" si="9"/>
        <v/>
      </c>
      <c r="E916" s="4" t="str">
        <f t="array" ref="E916">XLOOKUP(A916,'Dados Funil'!$A:$A,'Dados Funil'!$K:$K,"")</f>
        <v/>
      </c>
      <c r="F916" s="4" t="str">
        <f t="array" ref="F916">XLOOKUP(A916,'Dados Funil'!$A:$A,'Dados Funil'!$L:$L,"")</f>
        <v/>
      </c>
      <c r="G916" s="4"/>
      <c r="H916" s="4"/>
      <c r="I916" s="7" t="str">
        <f t="shared" si="2"/>
        <v/>
      </c>
      <c r="J916" s="4" t="str">
        <f t="shared" si="10"/>
        <v/>
      </c>
      <c r="K916" s="4" t="str">
        <f t="array" ref="K916">XLOOKUP(G916,'Dados Funil'!A:A,'Dados Funil'!O:O,"")</f>
        <v/>
      </c>
      <c r="L916" s="4"/>
      <c r="M916" s="4"/>
      <c r="N916" s="7" t="str">
        <f t="shared" si="3"/>
        <v/>
      </c>
      <c r="O916" s="4" t="str">
        <f t="shared" si="11"/>
        <v/>
      </c>
      <c r="P916" s="4" t="str">
        <f t="array" ref="P916">XLOOKUP(L916,'Dados Funil'!A:A,'Dados Funil'!AM:AM,"")</f>
        <v/>
      </c>
      <c r="Q916" s="4" t="str">
        <f t="array" ref="Q916">XLOOKUP(L916,'Dados Funil'!A:A,'Dados Funil'!AN:AN,"")</f>
        <v/>
      </c>
      <c r="T916" s="7" t="str">
        <f t="shared" si="4"/>
        <v/>
      </c>
      <c r="U916" s="4" t="str">
        <f t="shared" si="12"/>
        <v/>
      </c>
      <c r="V916" s="4" t="str">
        <f t="array" ref="V916">XLOOKUP(R916,'Dados Funil'!$A:$A,'Dados Funil'!$K:$K,"")</f>
        <v/>
      </c>
      <c r="W916" s="4" t="str">
        <f t="array" ref="W916">XLOOKUP(R916,'Dados Funil'!$A:$A,'Dados Funil'!$L:$L,"")</f>
        <v/>
      </c>
      <c r="X916" s="4"/>
      <c r="Y916" s="4"/>
      <c r="Z916" s="7" t="str">
        <f t="shared" si="5"/>
        <v/>
      </c>
      <c r="AA916" s="4" t="str">
        <f t="shared" si="13"/>
        <v/>
      </c>
      <c r="AB916" s="4" t="str">
        <f t="array" ref="AB916">XLOOKUP(X916,'Dados Funil'!A:A,'Dados Funil'!O:O,"")</f>
        <v/>
      </c>
      <c r="AE916" s="7" t="str">
        <f t="shared" si="6"/>
        <v/>
      </c>
      <c r="AG916" s="4" t="str">
        <f t="array" ref="AG916">XLOOKUP(AC916,'Dados Funil'!A:A,'Dados Funil'!AM:AM,"")</f>
        <v/>
      </c>
      <c r="AH916" s="4" t="str">
        <f t="array" ref="AH916">XLOOKUP(AC916,'Dados Funil'!A:A,'Dados Funil'!AN:AN,"")</f>
        <v/>
      </c>
    </row>
    <row r="917">
      <c r="A917" s="4"/>
      <c r="B917" s="4"/>
      <c r="C917" s="7" t="str">
        <f t="shared" si="1"/>
        <v/>
      </c>
      <c r="D917" s="4" t="str">
        <f t="shared" si="9"/>
        <v/>
      </c>
      <c r="E917" s="4" t="str">
        <f t="array" ref="E917">XLOOKUP(A917,'Dados Funil'!$A:$A,'Dados Funil'!$K:$K,"")</f>
        <v/>
      </c>
      <c r="F917" s="4" t="str">
        <f t="array" ref="F917">XLOOKUP(A917,'Dados Funil'!$A:$A,'Dados Funil'!$L:$L,"")</f>
        <v/>
      </c>
      <c r="G917" s="4"/>
      <c r="H917" s="4"/>
      <c r="I917" s="7" t="str">
        <f t="shared" si="2"/>
        <v/>
      </c>
      <c r="J917" s="4" t="str">
        <f t="shared" si="10"/>
        <v/>
      </c>
      <c r="K917" s="4" t="str">
        <f t="array" ref="K917">XLOOKUP(G917,'Dados Funil'!A:A,'Dados Funil'!O:O,"")</f>
        <v/>
      </c>
      <c r="L917" s="4"/>
      <c r="M917" s="4"/>
      <c r="N917" s="7" t="str">
        <f t="shared" si="3"/>
        <v/>
      </c>
      <c r="O917" s="4" t="str">
        <f t="shared" si="11"/>
        <v/>
      </c>
      <c r="P917" s="4" t="str">
        <f t="array" ref="P917">XLOOKUP(L917,'Dados Funil'!A:A,'Dados Funil'!AM:AM,"")</f>
        <v/>
      </c>
      <c r="Q917" s="4" t="str">
        <f t="array" ref="Q917">XLOOKUP(L917,'Dados Funil'!A:A,'Dados Funil'!AN:AN,"")</f>
        <v/>
      </c>
      <c r="T917" s="7" t="str">
        <f t="shared" si="4"/>
        <v/>
      </c>
      <c r="U917" s="4" t="str">
        <f t="shared" si="12"/>
        <v/>
      </c>
      <c r="V917" s="4" t="str">
        <f t="array" ref="V917">XLOOKUP(R917,'Dados Funil'!$A:$A,'Dados Funil'!$K:$K,"")</f>
        <v/>
      </c>
      <c r="W917" s="4" t="str">
        <f t="array" ref="W917">XLOOKUP(R917,'Dados Funil'!$A:$A,'Dados Funil'!$L:$L,"")</f>
        <v/>
      </c>
      <c r="X917" s="4"/>
      <c r="Y917" s="4"/>
      <c r="Z917" s="7" t="str">
        <f t="shared" si="5"/>
        <v/>
      </c>
      <c r="AA917" s="4" t="str">
        <f t="shared" si="13"/>
        <v/>
      </c>
      <c r="AB917" s="4" t="str">
        <f t="array" ref="AB917">XLOOKUP(X917,'Dados Funil'!A:A,'Dados Funil'!O:O,"")</f>
        <v/>
      </c>
      <c r="AE917" s="7" t="str">
        <f t="shared" si="6"/>
        <v/>
      </c>
      <c r="AG917" s="4" t="str">
        <f t="array" ref="AG917">XLOOKUP(AC917,'Dados Funil'!A:A,'Dados Funil'!AM:AM,"")</f>
        <v/>
      </c>
      <c r="AH917" s="4" t="str">
        <f t="array" ref="AH917">XLOOKUP(AC917,'Dados Funil'!A:A,'Dados Funil'!AN:AN,"")</f>
        <v/>
      </c>
    </row>
    <row r="918">
      <c r="A918" s="4"/>
      <c r="B918" s="4"/>
      <c r="C918" s="7" t="str">
        <f t="shared" si="1"/>
        <v/>
      </c>
      <c r="D918" s="4" t="str">
        <f t="shared" si="9"/>
        <v/>
      </c>
      <c r="E918" s="4" t="str">
        <f t="array" ref="E918">XLOOKUP(A918,'Dados Funil'!$A:$A,'Dados Funil'!$K:$K,"")</f>
        <v/>
      </c>
      <c r="F918" s="4" t="str">
        <f t="array" ref="F918">XLOOKUP(A918,'Dados Funil'!$A:$A,'Dados Funil'!$L:$L,"")</f>
        <v/>
      </c>
      <c r="G918" s="4"/>
      <c r="H918" s="4"/>
      <c r="I918" s="7" t="str">
        <f t="shared" si="2"/>
        <v/>
      </c>
      <c r="J918" s="4" t="str">
        <f t="shared" si="10"/>
        <v/>
      </c>
      <c r="K918" s="4" t="str">
        <f t="array" ref="K918">XLOOKUP(G918,'Dados Funil'!A:A,'Dados Funil'!O:O,"")</f>
        <v/>
      </c>
      <c r="L918" s="4"/>
      <c r="M918" s="4"/>
      <c r="N918" s="7" t="str">
        <f t="shared" si="3"/>
        <v/>
      </c>
      <c r="O918" s="4" t="str">
        <f t="shared" si="11"/>
        <v/>
      </c>
      <c r="P918" s="4" t="str">
        <f t="array" ref="P918">XLOOKUP(L918,'Dados Funil'!A:A,'Dados Funil'!AM:AM,"")</f>
        <v/>
      </c>
      <c r="Q918" s="4" t="str">
        <f t="array" ref="Q918">XLOOKUP(L918,'Dados Funil'!A:A,'Dados Funil'!AN:AN,"")</f>
        <v/>
      </c>
      <c r="T918" s="7" t="str">
        <f t="shared" si="4"/>
        <v/>
      </c>
      <c r="U918" s="4" t="str">
        <f t="shared" si="12"/>
        <v/>
      </c>
      <c r="V918" s="4" t="str">
        <f t="array" ref="V918">XLOOKUP(R918,'Dados Funil'!$A:$A,'Dados Funil'!$K:$K,"")</f>
        <v/>
      </c>
      <c r="W918" s="4" t="str">
        <f t="array" ref="W918">XLOOKUP(R918,'Dados Funil'!$A:$A,'Dados Funil'!$L:$L,"")</f>
        <v/>
      </c>
      <c r="X918" s="4"/>
      <c r="Y918" s="4"/>
      <c r="Z918" s="7" t="str">
        <f t="shared" si="5"/>
        <v/>
      </c>
      <c r="AA918" s="4" t="str">
        <f t="shared" si="13"/>
        <v/>
      </c>
      <c r="AB918" s="4" t="str">
        <f t="array" ref="AB918">XLOOKUP(X918,'Dados Funil'!A:A,'Dados Funil'!O:O,"")</f>
        <v/>
      </c>
      <c r="AE918" s="7" t="str">
        <f t="shared" si="6"/>
        <v/>
      </c>
      <c r="AG918" s="4" t="str">
        <f t="array" ref="AG918">XLOOKUP(AC918,'Dados Funil'!A:A,'Dados Funil'!AM:AM,"")</f>
        <v/>
      </c>
      <c r="AH918" s="4" t="str">
        <f t="array" ref="AH918">XLOOKUP(AC918,'Dados Funil'!A:A,'Dados Funil'!AN:AN,"")</f>
        <v/>
      </c>
    </row>
    <row r="919">
      <c r="A919" s="4"/>
      <c r="B919" s="4"/>
      <c r="C919" s="7" t="str">
        <f t="shared" si="1"/>
        <v/>
      </c>
      <c r="D919" s="4" t="str">
        <f t="shared" si="9"/>
        <v/>
      </c>
      <c r="E919" s="4" t="str">
        <f t="array" ref="E919">XLOOKUP(A919,'Dados Funil'!$A:$A,'Dados Funil'!$K:$K,"")</f>
        <v/>
      </c>
      <c r="F919" s="4" t="str">
        <f t="array" ref="F919">XLOOKUP(A919,'Dados Funil'!$A:$A,'Dados Funil'!$L:$L,"")</f>
        <v/>
      </c>
      <c r="G919" s="4"/>
      <c r="H919" s="4"/>
      <c r="I919" s="7" t="str">
        <f t="shared" si="2"/>
        <v/>
      </c>
      <c r="J919" s="4" t="str">
        <f t="shared" si="10"/>
        <v/>
      </c>
      <c r="K919" s="4" t="str">
        <f t="array" ref="K919">XLOOKUP(G919,'Dados Funil'!A:A,'Dados Funil'!O:O,"")</f>
        <v/>
      </c>
      <c r="L919" s="4"/>
      <c r="M919" s="4"/>
      <c r="N919" s="7" t="str">
        <f t="shared" si="3"/>
        <v/>
      </c>
      <c r="O919" s="4" t="str">
        <f t="shared" si="11"/>
        <v/>
      </c>
      <c r="P919" s="4" t="str">
        <f t="array" ref="P919">XLOOKUP(L919,'Dados Funil'!A:A,'Dados Funil'!AM:AM,"")</f>
        <v/>
      </c>
      <c r="Q919" s="4" t="str">
        <f t="array" ref="Q919">XLOOKUP(L919,'Dados Funil'!A:A,'Dados Funil'!AN:AN,"")</f>
        <v/>
      </c>
      <c r="T919" s="7" t="str">
        <f t="shared" si="4"/>
        <v/>
      </c>
      <c r="U919" s="4" t="str">
        <f t="shared" si="12"/>
        <v/>
      </c>
      <c r="V919" s="4" t="str">
        <f t="array" ref="V919">XLOOKUP(R919,'Dados Funil'!$A:$A,'Dados Funil'!$K:$K,"")</f>
        <v/>
      </c>
      <c r="W919" s="4" t="str">
        <f t="array" ref="W919">XLOOKUP(R919,'Dados Funil'!$A:$A,'Dados Funil'!$L:$L,"")</f>
        <v/>
      </c>
      <c r="X919" s="4"/>
      <c r="Y919" s="4"/>
      <c r="Z919" s="7" t="str">
        <f t="shared" si="5"/>
        <v/>
      </c>
      <c r="AA919" s="4" t="str">
        <f t="shared" si="13"/>
        <v/>
      </c>
      <c r="AB919" s="4" t="str">
        <f t="array" ref="AB919">XLOOKUP(X919,'Dados Funil'!A:A,'Dados Funil'!O:O,"")</f>
        <v/>
      </c>
      <c r="AE919" s="7" t="str">
        <f t="shared" si="6"/>
        <v/>
      </c>
      <c r="AG919" s="4" t="str">
        <f t="array" ref="AG919">XLOOKUP(AC919,'Dados Funil'!A:A,'Dados Funil'!AM:AM,"")</f>
        <v/>
      </c>
      <c r="AH919" s="4" t="str">
        <f t="array" ref="AH919">XLOOKUP(AC919,'Dados Funil'!A:A,'Dados Funil'!AN:AN,"")</f>
        <v/>
      </c>
    </row>
    <row r="920">
      <c r="A920" s="4"/>
      <c r="B920" s="4"/>
      <c r="C920" s="7" t="str">
        <f t="shared" si="1"/>
        <v/>
      </c>
      <c r="D920" s="4" t="str">
        <f t="shared" si="9"/>
        <v/>
      </c>
      <c r="E920" s="4" t="str">
        <f t="array" ref="E920">XLOOKUP(A920,'Dados Funil'!$A:$A,'Dados Funil'!$K:$K,"")</f>
        <v/>
      </c>
      <c r="F920" s="4" t="str">
        <f t="array" ref="F920">XLOOKUP(A920,'Dados Funil'!$A:$A,'Dados Funil'!$L:$L,"")</f>
        <v/>
      </c>
      <c r="G920" s="4"/>
      <c r="H920" s="4"/>
      <c r="I920" s="7" t="str">
        <f t="shared" si="2"/>
        <v/>
      </c>
      <c r="J920" s="4" t="str">
        <f t="shared" si="10"/>
        <v/>
      </c>
      <c r="K920" s="4" t="str">
        <f t="array" ref="K920">XLOOKUP(G920,'Dados Funil'!A:A,'Dados Funil'!O:O,"")</f>
        <v/>
      </c>
      <c r="L920" s="4"/>
      <c r="M920" s="4"/>
      <c r="N920" s="7" t="str">
        <f t="shared" si="3"/>
        <v/>
      </c>
      <c r="O920" s="4" t="str">
        <f t="shared" si="11"/>
        <v/>
      </c>
      <c r="P920" s="4" t="str">
        <f t="array" ref="P920">XLOOKUP(L920,'Dados Funil'!A:A,'Dados Funil'!AM:AM,"")</f>
        <v/>
      </c>
      <c r="Q920" s="4" t="str">
        <f t="array" ref="Q920">XLOOKUP(L920,'Dados Funil'!A:A,'Dados Funil'!AN:AN,"")</f>
        <v/>
      </c>
      <c r="T920" s="7" t="str">
        <f t="shared" si="4"/>
        <v/>
      </c>
      <c r="U920" s="4" t="str">
        <f t="shared" si="12"/>
        <v/>
      </c>
      <c r="V920" s="4" t="str">
        <f t="array" ref="V920">XLOOKUP(R920,'Dados Funil'!$A:$A,'Dados Funil'!$K:$K,"")</f>
        <v/>
      </c>
      <c r="W920" s="4" t="str">
        <f t="array" ref="W920">XLOOKUP(R920,'Dados Funil'!$A:$A,'Dados Funil'!$L:$L,"")</f>
        <v/>
      </c>
      <c r="X920" s="4"/>
      <c r="Y920" s="4"/>
      <c r="Z920" s="7" t="str">
        <f t="shared" si="5"/>
        <v/>
      </c>
      <c r="AA920" s="4" t="str">
        <f t="shared" si="13"/>
        <v/>
      </c>
      <c r="AB920" s="4" t="str">
        <f t="array" ref="AB920">XLOOKUP(X920,'Dados Funil'!A:A,'Dados Funil'!O:O,"")</f>
        <v/>
      </c>
      <c r="AE920" s="7" t="str">
        <f t="shared" si="6"/>
        <v/>
      </c>
      <c r="AG920" s="4" t="str">
        <f t="array" ref="AG920">XLOOKUP(AC920,'Dados Funil'!A:A,'Dados Funil'!AM:AM,"")</f>
        <v/>
      </c>
      <c r="AH920" s="4" t="str">
        <f t="array" ref="AH920">XLOOKUP(AC920,'Dados Funil'!A:A,'Dados Funil'!AN:AN,"")</f>
        <v/>
      </c>
    </row>
    <row r="921">
      <c r="A921" s="4"/>
      <c r="B921" s="4"/>
      <c r="C921" s="7" t="str">
        <f t="shared" si="1"/>
        <v/>
      </c>
      <c r="D921" s="4" t="str">
        <f t="shared" si="9"/>
        <v/>
      </c>
      <c r="E921" s="4" t="str">
        <f t="array" ref="E921">XLOOKUP(A921,'Dados Funil'!$A:$A,'Dados Funil'!$K:$K,"")</f>
        <v/>
      </c>
      <c r="F921" s="4" t="str">
        <f t="array" ref="F921">XLOOKUP(A921,'Dados Funil'!$A:$A,'Dados Funil'!$L:$L,"")</f>
        <v/>
      </c>
      <c r="G921" s="4"/>
      <c r="H921" s="4"/>
      <c r="I921" s="7" t="str">
        <f t="shared" si="2"/>
        <v/>
      </c>
      <c r="J921" s="4" t="str">
        <f t="shared" si="10"/>
        <v/>
      </c>
      <c r="K921" s="4" t="str">
        <f t="array" ref="K921">XLOOKUP(G921,'Dados Funil'!A:A,'Dados Funil'!O:O,"")</f>
        <v/>
      </c>
      <c r="L921" s="4"/>
      <c r="M921" s="4"/>
      <c r="N921" s="7" t="str">
        <f t="shared" si="3"/>
        <v/>
      </c>
      <c r="O921" s="4" t="str">
        <f t="shared" si="11"/>
        <v/>
      </c>
      <c r="P921" s="4" t="str">
        <f t="array" ref="P921">XLOOKUP(L921,'Dados Funil'!A:A,'Dados Funil'!AM:AM,"")</f>
        <v/>
      </c>
      <c r="Q921" s="4" t="str">
        <f t="array" ref="Q921">XLOOKUP(L921,'Dados Funil'!A:A,'Dados Funil'!AN:AN,"")</f>
        <v/>
      </c>
      <c r="T921" s="7" t="str">
        <f t="shared" si="4"/>
        <v/>
      </c>
      <c r="U921" s="4" t="str">
        <f t="shared" si="12"/>
        <v/>
      </c>
      <c r="V921" s="4" t="str">
        <f t="array" ref="V921">XLOOKUP(R921,'Dados Funil'!$A:$A,'Dados Funil'!$K:$K,"")</f>
        <v/>
      </c>
      <c r="W921" s="4" t="str">
        <f t="array" ref="W921">XLOOKUP(R921,'Dados Funil'!$A:$A,'Dados Funil'!$L:$L,"")</f>
        <v/>
      </c>
      <c r="X921" s="4"/>
      <c r="Y921" s="4"/>
      <c r="Z921" s="7" t="str">
        <f t="shared" si="5"/>
        <v/>
      </c>
      <c r="AA921" s="4" t="str">
        <f t="shared" si="13"/>
        <v/>
      </c>
      <c r="AB921" s="4" t="str">
        <f t="array" ref="AB921">XLOOKUP(X921,'Dados Funil'!A:A,'Dados Funil'!O:O,"")</f>
        <v/>
      </c>
      <c r="AE921" s="7" t="str">
        <f t="shared" si="6"/>
        <v/>
      </c>
      <c r="AG921" s="4" t="str">
        <f t="array" ref="AG921">XLOOKUP(AC921,'Dados Funil'!A:A,'Dados Funil'!AM:AM,"")</f>
        <v/>
      </c>
      <c r="AH921" s="4" t="str">
        <f t="array" ref="AH921">XLOOKUP(AC921,'Dados Funil'!A:A,'Dados Funil'!AN:AN,"")</f>
        <v/>
      </c>
    </row>
    <row r="922">
      <c r="A922" s="4"/>
      <c r="B922" s="4"/>
      <c r="C922" s="7" t="str">
        <f t="shared" si="1"/>
        <v/>
      </c>
      <c r="D922" s="4" t="str">
        <f t="shared" si="9"/>
        <v/>
      </c>
      <c r="E922" s="4" t="str">
        <f t="array" ref="E922">XLOOKUP(A922,'Dados Funil'!$A:$A,'Dados Funil'!$K:$K,"")</f>
        <v/>
      </c>
      <c r="F922" s="4" t="str">
        <f t="array" ref="F922">XLOOKUP(A922,'Dados Funil'!$A:$A,'Dados Funil'!$L:$L,"")</f>
        <v/>
      </c>
      <c r="G922" s="4"/>
      <c r="H922" s="4"/>
      <c r="I922" s="7" t="str">
        <f t="shared" si="2"/>
        <v/>
      </c>
      <c r="J922" s="4" t="str">
        <f t="shared" si="10"/>
        <v/>
      </c>
      <c r="K922" s="4" t="str">
        <f t="array" ref="K922">XLOOKUP(G922,'Dados Funil'!A:A,'Dados Funil'!O:O,"")</f>
        <v/>
      </c>
      <c r="L922" s="4"/>
      <c r="M922" s="4"/>
      <c r="N922" s="7" t="str">
        <f t="shared" si="3"/>
        <v/>
      </c>
      <c r="O922" s="4" t="str">
        <f t="shared" si="11"/>
        <v/>
      </c>
      <c r="P922" s="4" t="str">
        <f t="array" ref="P922">XLOOKUP(L922,'Dados Funil'!A:A,'Dados Funil'!AM:AM,"")</f>
        <v/>
      </c>
      <c r="Q922" s="4" t="str">
        <f t="array" ref="Q922">XLOOKUP(L922,'Dados Funil'!A:A,'Dados Funil'!AN:AN,"")</f>
        <v/>
      </c>
      <c r="T922" s="7" t="str">
        <f t="shared" si="4"/>
        <v/>
      </c>
      <c r="U922" s="4" t="str">
        <f t="shared" si="12"/>
        <v/>
      </c>
      <c r="V922" s="4" t="str">
        <f t="array" ref="V922">XLOOKUP(R922,'Dados Funil'!$A:$A,'Dados Funil'!$K:$K,"")</f>
        <v/>
      </c>
      <c r="W922" s="4" t="str">
        <f t="array" ref="W922">XLOOKUP(R922,'Dados Funil'!$A:$A,'Dados Funil'!$L:$L,"")</f>
        <v/>
      </c>
      <c r="X922" s="4"/>
      <c r="Y922" s="4"/>
      <c r="Z922" s="7" t="str">
        <f t="shared" si="5"/>
        <v/>
      </c>
      <c r="AA922" s="4" t="str">
        <f t="shared" si="13"/>
        <v/>
      </c>
      <c r="AB922" s="4" t="str">
        <f t="array" ref="AB922">XLOOKUP(X922,'Dados Funil'!A:A,'Dados Funil'!O:O,"")</f>
        <v/>
      </c>
      <c r="AE922" s="7" t="str">
        <f t="shared" si="6"/>
        <v/>
      </c>
      <c r="AG922" s="4" t="str">
        <f t="array" ref="AG922">XLOOKUP(AC922,'Dados Funil'!A:A,'Dados Funil'!AM:AM,"")</f>
        <v/>
      </c>
      <c r="AH922" s="4" t="str">
        <f t="array" ref="AH922">XLOOKUP(AC922,'Dados Funil'!A:A,'Dados Funil'!AN:AN,"")</f>
        <v/>
      </c>
    </row>
    <row r="923">
      <c r="A923" s="4"/>
      <c r="B923" s="4"/>
      <c r="C923" s="7" t="str">
        <f t="shared" si="1"/>
        <v/>
      </c>
      <c r="D923" s="4" t="str">
        <f t="shared" si="9"/>
        <v/>
      </c>
      <c r="E923" s="4" t="str">
        <f t="array" ref="E923">XLOOKUP(A923,'Dados Funil'!$A:$A,'Dados Funil'!$K:$K,"")</f>
        <v/>
      </c>
      <c r="F923" s="4" t="str">
        <f t="array" ref="F923">XLOOKUP(A923,'Dados Funil'!$A:$A,'Dados Funil'!$L:$L,"")</f>
        <v/>
      </c>
      <c r="G923" s="4"/>
      <c r="H923" s="4"/>
      <c r="I923" s="7" t="str">
        <f t="shared" si="2"/>
        <v/>
      </c>
      <c r="J923" s="4" t="str">
        <f t="shared" si="10"/>
        <v/>
      </c>
      <c r="K923" s="4" t="str">
        <f t="array" ref="K923">XLOOKUP(G923,'Dados Funil'!A:A,'Dados Funil'!O:O,"")</f>
        <v/>
      </c>
      <c r="L923" s="4"/>
      <c r="M923" s="4"/>
      <c r="N923" s="7" t="str">
        <f t="shared" si="3"/>
        <v/>
      </c>
      <c r="O923" s="4" t="str">
        <f t="shared" si="11"/>
        <v/>
      </c>
      <c r="P923" s="4" t="str">
        <f t="array" ref="P923">XLOOKUP(L923,'Dados Funil'!A:A,'Dados Funil'!AM:AM,"")</f>
        <v/>
      </c>
      <c r="Q923" s="4" t="str">
        <f t="array" ref="Q923">XLOOKUP(L923,'Dados Funil'!A:A,'Dados Funil'!AN:AN,"")</f>
        <v/>
      </c>
      <c r="T923" s="7" t="str">
        <f t="shared" si="4"/>
        <v/>
      </c>
      <c r="U923" s="4" t="str">
        <f t="shared" si="12"/>
        <v/>
      </c>
      <c r="V923" s="4" t="str">
        <f t="array" ref="V923">XLOOKUP(R923,'Dados Funil'!$A:$A,'Dados Funil'!$K:$K,"")</f>
        <v/>
      </c>
      <c r="W923" s="4" t="str">
        <f t="array" ref="W923">XLOOKUP(R923,'Dados Funil'!$A:$A,'Dados Funil'!$L:$L,"")</f>
        <v/>
      </c>
      <c r="X923" s="4"/>
      <c r="Y923" s="4"/>
      <c r="Z923" s="7" t="str">
        <f t="shared" si="5"/>
        <v/>
      </c>
      <c r="AA923" s="4" t="str">
        <f t="shared" si="13"/>
        <v/>
      </c>
      <c r="AB923" s="4" t="str">
        <f t="array" ref="AB923">XLOOKUP(X923,'Dados Funil'!A:A,'Dados Funil'!O:O,"")</f>
        <v/>
      </c>
      <c r="AE923" s="7" t="str">
        <f t="shared" si="6"/>
        <v/>
      </c>
      <c r="AG923" s="4" t="str">
        <f t="array" ref="AG923">XLOOKUP(AC923,'Dados Funil'!A:A,'Dados Funil'!AM:AM,"")</f>
        <v/>
      </c>
      <c r="AH923" s="4" t="str">
        <f t="array" ref="AH923">XLOOKUP(AC923,'Dados Funil'!A:A,'Dados Funil'!AN:AN,"")</f>
        <v/>
      </c>
    </row>
    <row r="924">
      <c r="A924" s="4"/>
      <c r="B924" s="4"/>
      <c r="C924" s="7" t="str">
        <f t="shared" si="1"/>
        <v/>
      </c>
      <c r="D924" s="4" t="str">
        <f t="shared" si="9"/>
        <v/>
      </c>
      <c r="E924" s="4" t="str">
        <f t="array" ref="E924">XLOOKUP(A924,'Dados Funil'!$A:$A,'Dados Funil'!$K:$K,"")</f>
        <v/>
      </c>
      <c r="F924" s="4" t="str">
        <f t="array" ref="F924">XLOOKUP(A924,'Dados Funil'!$A:$A,'Dados Funil'!$L:$L,"")</f>
        <v/>
      </c>
      <c r="G924" s="4"/>
      <c r="H924" s="4"/>
      <c r="I924" s="7" t="str">
        <f t="shared" si="2"/>
        <v/>
      </c>
      <c r="J924" s="4" t="str">
        <f t="shared" si="10"/>
        <v/>
      </c>
      <c r="K924" s="4" t="str">
        <f t="array" ref="K924">XLOOKUP(G924,'Dados Funil'!A:A,'Dados Funil'!O:O,"")</f>
        <v/>
      </c>
      <c r="L924" s="4"/>
      <c r="M924" s="4"/>
      <c r="N924" s="7" t="str">
        <f t="shared" si="3"/>
        <v/>
      </c>
      <c r="O924" s="4" t="str">
        <f t="shared" si="11"/>
        <v/>
      </c>
      <c r="P924" s="4" t="str">
        <f t="array" ref="P924">XLOOKUP(L924,'Dados Funil'!A:A,'Dados Funil'!AM:AM,"")</f>
        <v/>
      </c>
      <c r="Q924" s="4" t="str">
        <f t="array" ref="Q924">XLOOKUP(L924,'Dados Funil'!A:A,'Dados Funil'!AN:AN,"")</f>
        <v/>
      </c>
      <c r="T924" s="7" t="str">
        <f t="shared" si="4"/>
        <v/>
      </c>
      <c r="U924" s="4" t="str">
        <f t="shared" si="12"/>
        <v/>
      </c>
      <c r="V924" s="4" t="str">
        <f t="array" ref="V924">XLOOKUP(R924,'Dados Funil'!$A:$A,'Dados Funil'!$K:$K,"")</f>
        <v/>
      </c>
      <c r="W924" s="4" t="str">
        <f t="array" ref="W924">XLOOKUP(R924,'Dados Funil'!$A:$A,'Dados Funil'!$L:$L,"")</f>
        <v/>
      </c>
      <c r="X924" s="4"/>
      <c r="Y924" s="4"/>
      <c r="Z924" s="7" t="str">
        <f t="shared" si="5"/>
        <v/>
      </c>
      <c r="AA924" s="4" t="str">
        <f t="shared" si="13"/>
        <v/>
      </c>
      <c r="AB924" s="4" t="str">
        <f t="array" ref="AB924">XLOOKUP(X924,'Dados Funil'!A:A,'Dados Funil'!O:O,"")</f>
        <v/>
      </c>
      <c r="AE924" s="7" t="str">
        <f t="shared" si="6"/>
        <v/>
      </c>
      <c r="AG924" s="4" t="str">
        <f t="array" ref="AG924">XLOOKUP(AC924,'Dados Funil'!A:A,'Dados Funil'!AM:AM,"")</f>
        <v/>
      </c>
      <c r="AH924" s="4" t="str">
        <f t="array" ref="AH924">XLOOKUP(AC924,'Dados Funil'!A:A,'Dados Funil'!AN:AN,"")</f>
        <v/>
      </c>
    </row>
    <row r="925">
      <c r="A925" s="4"/>
      <c r="B925" s="4"/>
      <c r="C925" s="7" t="str">
        <f t="shared" si="1"/>
        <v/>
      </c>
      <c r="D925" s="4" t="str">
        <f t="shared" si="9"/>
        <v/>
      </c>
      <c r="E925" s="4" t="str">
        <f t="array" ref="E925">XLOOKUP(A925,'Dados Funil'!$A:$A,'Dados Funil'!$K:$K,"")</f>
        <v/>
      </c>
      <c r="F925" s="4" t="str">
        <f t="array" ref="F925">XLOOKUP(A925,'Dados Funil'!$A:$A,'Dados Funil'!$L:$L,"")</f>
        <v/>
      </c>
      <c r="G925" s="4"/>
      <c r="H925" s="4"/>
      <c r="I925" s="7" t="str">
        <f t="shared" si="2"/>
        <v/>
      </c>
      <c r="J925" s="4" t="str">
        <f t="shared" si="10"/>
        <v/>
      </c>
      <c r="K925" s="4" t="str">
        <f t="array" ref="K925">XLOOKUP(G925,'Dados Funil'!A:A,'Dados Funil'!O:O,"")</f>
        <v/>
      </c>
      <c r="L925" s="4"/>
      <c r="M925" s="4"/>
      <c r="N925" s="7" t="str">
        <f t="shared" si="3"/>
        <v/>
      </c>
      <c r="O925" s="4" t="str">
        <f t="shared" si="11"/>
        <v/>
      </c>
      <c r="P925" s="4" t="str">
        <f t="array" ref="P925">XLOOKUP(L925,'Dados Funil'!A:A,'Dados Funil'!AM:AM,"")</f>
        <v/>
      </c>
      <c r="Q925" s="4" t="str">
        <f t="array" ref="Q925">XLOOKUP(L925,'Dados Funil'!A:A,'Dados Funil'!AN:AN,"")</f>
        <v/>
      </c>
      <c r="T925" s="7" t="str">
        <f t="shared" si="4"/>
        <v/>
      </c>
      <c r="U925" s="4" t="str">
        <f t="shared" si="12"/>
        <v/>
      </c>
      <c r="V925" s="4" t="str">
        <f t="array" ref="V925">XLOOKUP(R925,'Dados Funil'!$A:$A,'Dados Funil'!$K:$K,"")</f>
        <v/>
      </c>
      <c r="W925" s="4" t="str">
        <f t="array" ref="W925">XLOOKUP(R925,'Dados Funil'!$A:$A,'Dados Funil'!$L:$L,"")</f>
        <v/>
      </c>
      <c r="X925" s="4"/>
      <c r="Y925" s="4"/>
      <c r="Z925" s="7" t="str">
        <f t="shared" si="5"/>
        <v/>
      </c>
      <c r="AA925" s="4" t="str">
        <f t="shared" si="13"/>
        <v/>
      </c>
      <c r="AB925" s="4" t="str">
        <f t="array" ref="AB925">XLOOKUP(X925,'Dados Funil'!A:A,'Dados Funil'!O:O,"")</f>
        <v/>
      </c>
      <c r="AE925" s="7" t="str">
        <f t="shared" si="6"/>
        <v/>
      </c>
      <c r="AG925" s="4" t="str">
        <f t="array" ref="AG925">XLOOKUP(AC925,'Dados Funil'!A:A,'Dados Funil'!AM:AM,"")</f>
        <v/>
      </c>
      <c r="AH925" s="4" t="str">
        <f t="array" ref="AH925">XLOOKUP(AC925,'Dados Funil'!A:A,'Dados Funil'!AN:AN,"")</f>
        <v/>
      </c>
    </row>
    <row r="926">
      <c r="A926" s="4"/>
      <c r="B926" s="4"/>
      <c r="C926" s="7" t="str">
        <f t="shared" si="1"/>
        <v/>
      </c>
      <c r="D926" s="4" t="str">
        <f t="shared" si="9"/>
        <v/>
      </c>
      <c r="E926" s="4" t="str">
        <f t="array" ref="E926">XLOOKUP(A926,'Dados Funil'!$A:$A,'Dados Funil'!$K:$K,"")</f>
        <v/>
      </c>
      <c r="F926" s="4" t="str">
        <f t="array" ref="F926">XLOOKUP(A926,'Dados Funil'!$A:$A,'Dados Funil'!$L:$L,"")</f>
        <v/>
      </c>
      <c r="G926" s="4"/>
      <c r="H926" s="4"/>
      <c r="I926" s="7" t="str">
        <f t="shared" si="2"/>
        <v/>
      </c>
      <c r="J926" s="4" t="str">
        <f t="shared" si="10"/>
        <v/>
      </c>
      <c r="K926" s="4" t="str">
        <f t="array" ref="K926">XLOOKUP(G926,'Dados Funil'!A:A,'Dados Funil'!O:O,"")</f>
        <v/>
      </c>
      <c r="L926" s="4"/>
      <c r="M926" s="4"/>
      <c r="N926" s="7" t="str">
        <f t="shared" si="3"/>
        <v/>
      </c>
      <c r="O926" s="4" t="str">
        <f t="shared" si="11"/>
        <v/>
      </c>
      <c r="P926" s="4" t="str">
        <f t="array" ref="P926">XLOOKUP(L926,'Dados Funil'!A:A,'Dados Funil'!AM:AM,"")</f>
        <v/>
      </c>
      <c r="Q926" s="4" t="str">
        <f t="array" ref="Q926">XLOOKUP(L926,'Dados Funil'!A:A,'Dados Funil'!AN:AN,"")</f>
        <v/>
      </c>
      <c r="T926" s="7" t="str">
        <f t="shared" si="4"/>
        <v/>
      </c>
      <c r="U926" s="4" t="str">
        <f t="shared" si="12"/>
        <v/>
      </c>
      <c r="V926" s="4" t="str">
        <f t="array" ref="V926">XLOOKUP(R926,'Dados Funil'!$A:$A,'Dados Funil'!$K:$K,"")</f>
        <v/>
      </c>
      <c r="W926" s="4" t="str">
        <f t="array" ref="W926">XLOOKUP(R926,'Dados Funil'!$A:$A,'Dados Funil'!$L:$L,"")</f>
        <v/>
      </c>
      <c r="X926" s="4"/>
      <c r="Y926" s="4"/>
      <c r="Z926" s="7" t="str">
        <f t="shared" si="5"/>
        <v/>
      </c>
      <c r="AA926" s="4" t="str">
        <f t="shared" si="13"/>
        <v/>
      </c>
      <c r="AB926" s="4" t="str">
        <f t="array" ref="AB926">XLOOKUP(X926,'Dados Funil'!A:A,'Dados Funil'!O:O,"")</f>
        <v/>
      </c>
      <c r="AE926" s="7" t="str">
        <f t="shared" si="6"/>
        <v/>
      </c>
      <c r="AG926" s="4" t="str">
        <f t="array" ref="AG926">XLOOKUP(AC926,'Dados Funil'!A:A,'Dados Funil'!AM:AM,"")</f>
        <v/>
      </c>
      <c r="AH926" s="4" t="str">
        <f t="array" ref="AH926">XLOOKUP(AC926,'Dados Funil'!A:A,'Dados Funil'!AN:AN,"")</f>
        <v/>
      </c>
    </row>
    <row r="927">
      <c r="A927" s="4"/>
      <c r="B927" s="4"/>
      <c r="C927" s="7" t="str">
        <f t="shared" si="1"/>
        <v/>
      </c>
      <c r="D927" s="4" t="str">
        <f t="shared" si="9"/>
        <v/>
      </c>
      <c r="E927" s="4" t="str">
        <f t="array" ref="E927">XLOOKUP(A927,'Dados Funil'!$A:$A,'Dados Funil'!$K:$K,"")</f>
        <v/>
      </c>
      <c r="F927" s="4" t="str">
        <f t="array" ref="F927">XLOOKUP(A927,'Dados Funil'!$A:$A,'Dados Funil'!$L:$L,"")</f>
        <v/>
      </c>
      <c r="G927" s="4"/>
      <c r="H927" s="4"/>
      <c r="I927" s="7" t="str">
        <f t="shared" si="2"/>
        <v/>
      </c>
      <c r="J927" s="4" t="str">
        <f t="shared" si="10"/>
        <v/>
      </c>
      <c r="K927" s="4" t="str">
        <f t="array" ref="K927">XLOOKUP(G927,'Dados Funil'!A:A,'Dados Funil'!O:O,"")</f>
        <v/>
      </c>
      <c r="L927" s="4"/>
      <c r="M927" s="4"/>
      <c r="N927" s="7" t="str">
        <f t="shared" si="3"/>
        <v/>
      </c>
      <c r="O927" s="4" t="str">
        <f t="shared" si="11"/>
        <v/>
      </c>
      <c r="P927" s="4" t="str">
        <f t="array" ref="P927">XLOOKUP(L927,'Dados Funil'!A:A,'Dados Funil'!AM:AM,"")</f>
        <v/>
      </c>
      <c r="Q927" s="4" t="str">
        <f t="array" ref="Q927">XLOOKUP(L927,'Dados Funil'!A:A,'Dados Funil'!AN:AN,"")</f>
        <v/>
      </c>
      <c r="T927" s="7" t="str">
        <f t="shared" si="4"/>
        <v/>
      </c>
      <c r="U927" s="4" t="str">
        <f t="shared" si="12"/>
        <v/>
      </c>
      <c r="V927" s="4" t="str">
        <f t="array" ref="V927">XLOOKUP(R927,'Dados Funil'!$A:$A,'Dados Funil'!$K:$K,"")</f>
        <v/>
      </c>
      <c r="W927" s="4" t="str">
        <f t="array" ref="W927">XLOOKUP(R927,'Dados Funil'!$A:$A,'Dados Funil'!$L:$L,"")</f>
        <v/>
      </c>
      <c r="X927" s="4"/>
      <c r="Y927" s="4"/>
      <c r="Z927" s="7" t="str">
        <f t="shared" si="5"/>
        <v/>
      </c>
      <c r="AA927" s="4" t="str">
        <f t="shared" si="13"/>
        <v/>
      </c>
      <c r="AB927" s="4" t="str">
        <f t="array" ref="AB927">XLOOKUP(X927,'Dados Funil'!A:A,'Dados Funil'!O:O,"")</f>
        <v/>
      </c>
      <c r="AE927" s="7" t="str">
        <f t="shared" si="6"/>
        <v/>
      </c>
      <c r="AG927" s="4" t="str">
        <f t="array" ref="AG927">XLOOKUP(AC927,'Dados Funil'!A:A,'Dados Funil'!AM:AM,"")</f>
        <v/>
      </c>
      <c r="AH927" s="4" t="str">
        <f t="array" ref="AH927">XLOOKUP(AC927,'Dados Funil'!A:A,'Dados Funil'!AN:AN,"")</f>
        <v/>
      </c>
    </row>
    <row r="928">
      <c r="A928" s="4"/>
      <c r="B928" s="4"/>
      <c r="C928" s="7" t="str">
        <f t="shared" si="1"/>
        <v/>
      </c>
      <c r="D928" s="4" t="str">
        <f t="shared" si="9"/>
        <v/>
      </c>
      <c r="E928" s="4" t="str">
        <f t="array" ref="E928">XLOOKUP(A928,'Dados Funil'!$A:$A,'Dados Funil'!$K:$K,"")</f>
        <v/>
      </c>
      <c r="F928" s="4" t="str">
        <f t="array" ref="F928">XLOOKUP(A928,'Dados Funil'!$A:$A,'Dados Funil'!$L:$L,"")</f>
        <v/>
      </c>
      <c r="G928" s="4"/>
      <c r="H928" s="4"/>
      <c r="I928" s="7" t="str">
        <f t="shared" si="2"/>
        <v/>
      </c>
      <c r="J928" s="4" t="str">
        <f t="shared" si="10"/>
        <v/>
      </c>
      <c r="K928" s="4" t="str">
        <f t="array" ref="K928">XLOOKUP(G928,'Dados Funil'!A:A,'Dados Funil'!O:O,"")</f>
        <v/>
      </c>
      <c r="L928" s="4"/>
      <c r="M928" s="4"/>
      <c r="N928" s="7" t="str">
        <f t="shared" si="3"/>
        <v/>
      </c>
      <c r="O928" s="4" t="str">
        <f t="shared" si="11"/>
        <v/>
      </c>
      <c r="P928" s="4" t="str">
        <f t="array" ref="P928">XLOOKUP(L928,'Dados Funil'!A:A,'Dados Funil'!AM:AM,"")</f>
        <v/>
      </c>
      <c r="Q928" s="4" t="str">
        <f t="array" ref="Q928">XLOOKUP(L928,'Dados Funil'!A:A,'Dados Funil'!AN:AN,"")</f>
        <v/>
      </c>
      <c r="T928" s="7" t="str">
        <f t="shared" si="4"/>
        <v/>
      </c>
      <c r="U928" s="4" t="str">
        <f t="shared" si="12"/>
        <v/>
      </c>
      <c r="V928" s="4" t="str">
        <f t="array" ref="V928">XLOOKUP(R928,'Dados Funil'!$A:$A,'Dados Funil'!$K:$K,"")</f>
        <v/>
      </c>
      <c r="W928" s="4" t="str">
        <f t="array" ref="W928">XLOOKUP(R928,'Dados Funil'!$A:$A,'Dados Funil'!$L:$L,"")</f>
        <v/>
      </c>
      <c r="X928" s="4"/>
      <c r="Y928" s="4"/>
      <c r="Z928" s="7" t="str">
        <f t="shared" si="5"/>
        <v/>
      </c>
      <c r="AA928" s="4" t="str">
        <f t="shared" si="13"/>
        <v/>
      </c>
      <c r="AB928" s="4" t="str">
        <f t="array" ref="AB928">XLOOKUP(X928,'Dados Funil'!A:A,'Dados Funil'!O:O,"")</f>
        <v/>
      </c>
      <c r="AE928" s="7" t="str">
        <f t="shared" si="6"/>
        <v/>
      </c>
      <c r="AG928" s="4" t="str">
        <f t="array" ref="AG928">XLOOKUP(AC928,'Dados Funil'!A:A,'Dados Funil'!AM:AM,"")</f>
        <v/>
      </c>
      <c r="AH928" s="4" t="str">
        <f t="array" ref="AH928">XLOOKUP(AC928,'Dados Funil'!A:A,'Dados Funil'!AN:AN,"")</f>
        <v/>
      </c>
    </row>
    <row r="929">
      <c r="A929" s="4"/>
      <c r="B929" s="4"/>
      <c r="C929" s="7" t="str">
        <f t="shared" si="1"/>
        <v/>
      </c>
      <c r="D929" s="4" t="str">
        <f t="shared" si="9"/>
        <v/>
      </c>
      <c r="E929" s="4" t="str">
        <f t="array" ref="E929">XLOOKUP(A929,'Dados Funil'!$A:$A,'Dados Funil'!$K:$K,"")</f>
        <v/>
      </c>
      <c r="F929" s="4" t="str">
        <f t="array" ref="F929">XLOOKUP(A929,'Dados Funil'!$A:$A,'Dados Funil'!$L:$L,"")</f>
        <v/>
      </c>
      <c r="G929" s="4"/>
      <c r="H929" s="4"/>
      <c r="I929" s="7" t="str">
        <f t="shared" si="2"/>
        <v/>
      </c>
      <c r="J929" s="4" t="str">
        <f t="shared" si="10"/>
        <v/>
      </c>
      <c r="K929" s="4" t="str">
        <f t="array" ref="K929">XLOOKUP(G929,'Dados Funil'!A:A,'Dados Funil'!O:O,"")</f>
        <v/>
      </c>
      <c r="L929" s="4"/>
      <c r="M929" s="4"/>
      <c r="N929" s="7" t="str">
        <f t="shared" si="3"/>
        <v/>
      </c>
      <c r="O929" s="4" t="str">
        <f t="shared" si="11"/>
        <v/>
      </c>
      <c r="P929" s="4" t="str">
        <f t="array" ref="P929">XLOOKUP(L929,'Dados Funil'!A:A,'Dados Funil'!AM:AM,"")</f>
        <v/>
      </c>
      <c r="Q929" s="4" t="str">
        <f t="array" ref="Q929">XLOOKUP(L929,'Dados Funil'!A:A,'Dados Funil'!AN:AN,"")</f>
        <v/>
      </c>
      <c r="T929" s="7" t="str">
        <f t="shared" si="4"/>
        <v/>
      </c>
      <c r="U929" s="4" t="str">
        <f t="shared" si="12"/>
        <v/>
      </c>
      <c r="V929" s="4" t="str">
        <f t="array" ref="V929">XLOOKUP(R929,'Dados Funil'!$A:$A,'Dados Funil'!$K:$K,"")</f>
        <v/>
      </c>
      <c r="W929" s="4" t="str">
        <f t="array" ref="W929">XLOOKUP(R929,'Dados Funil'!$A:$A,'Dados Funil'!$L:$L,"")</f>
        <v/>
      </c>
      <c r="X929" s="4"/>
      <c r="Y929" s="4"/>
      <c r="Z929" s="7" t="str">
        <f t="shared" si="5"/>
        <v/>
      </c>
      <c r="AA929" s="4" t="str">
        <f t="shared" si="13"/>
        <v/>
      </c>
      <c r="AB929" s="4" t="str">
        <f t="array" ref="AB929">XLOOKUP(X929,'Dados Funil'!A:A,'Dados Funil'!O:O,"")</f>
        <v/>
      </c>
      <c r="AE929" s="7" t="str">
        <f t="shared" si="6"/>
        <v/>
      </c>
      <c r="AG929" s="4" t="str">
        <f t="array" ref="AG929">XLOOKUP(AC929,'Dados Funil'!A:A,'Dados Funil'!AM:AM,"")</f>
        <v/>
      </c>
      <c r="AH929" s="4" t="str">
        <f t="array" ref="AH929">XLOOKUP(AC929,'Dados Funil'!A:A,'Dados Funil'!AN:AN,"")</f>
        <v/>
      </c>
    </row>
    <row r="930">
      <c r="A930" s="4"/>
      <c r="B930" s="4"/>
      <c r="C930" s="7" t="str">
        <f t="shared" si="1"/>
        <v/>
      </c>
      <c r="D930" s="4" t="str">
        <f t="shared" si="9"/>
        <v/>
      </c>
      <c r="E930" s="4" t="str">
        <f t="array" ref="E930">XLOOKUP(A930,'Dados Funil'!$A:$A,'Dados Funil'!$K:$K,"")</f>
        <v/>
      </c>
      <c r="F930" s="4" t="str">
        <f t="array" ref="F930">XLOOKUP(A930,'Dados Funil'!$A:$A,'Dados Funil'!$L:$L,"")</f>
        <v/>
      </c>
      <c r="G930" s="4"/>
      <c r="H930" s="4"/>
      <c r="I930" s="7" t="str">
        <f t="shared" si="2"/>
        <v/>
      </c>
      <c r="J930" s="4" t="str">
        <f t="shared" si="10"/>
        <v/>
      </c>
      <c r="K930" s="4" t="str">
        <f t="array" ref="K930">XLOOKUP(G930,'Dados Funil'!A:A,'Dados Funil'!O:O,"")</f>
        <v/>
      </c>
      <c r="L930" s="4"/>
      <c r="M930" s="4"/>
      <c r="N930" s="7" t="str">
        <f t="shared" si="3"/>
        <v/>
      </c>
      <c r="O930" s="4" t="str">
        <f t="shared" si="11"/>
        <v/>
      </c>
      <c r="P930" s="4" t="str">
        <f t="array" ref="P930">XLOOKUP(L930,'Dados Funil'!A:A,'Dados Funil'!AM:AM,"")</f>
        <v/>
      </c>
      <c r="Q930" s="4" t="str">
        <f t="array" ref="Q930">XLOOKUP(L930,'Dados Funil'!A:A,'Dados Funil'!AN:AN,"")</f>
        <v/>
      </c>
      <c r="T930" s="7" t="str">
        <f t="shared" si="4"/>
        <v/>
      </c>
      <c r="U930" s="4" t="str">
        <f t="shared" si="12"/>
        <v/>
      </c>
      <c r="V930" s="4" t="str">
        <f t="array" ref="V930">XLOOKUP(R930,'Dados Funil'!$A:$A,'Dados Funil'!$K:$K,"")</f>
        <v/>
      </c>
      <c r="W930" s="4" t="str">
        <f t="array" ref="W930">XLOOKUP(R930,'Dados Funil'!$A:$A,'Dados Funil'!$L:$L,"")</f>
        <v/>
      </c>
      <c r="X930" s="4"/>
      <c r="Y930" s="4"/>
      <c r="Z930" s="7" t="str">
        <f t="shared" si="5"/>
        <v/>
      </c>
      <c r="AA930" s="4" t="str">
        <f t="shared" si="13"/>
        <v/>
      </c>
      <c r="AB930" s="4" t="str">
        <f t="array" ref="AB930">XLOOKUP(X930,'Dados Funil'!A:A,'Dados Funil'!O:O,"")</f>
        <v/>
      </c>
      <c r="AE930" s="7" t="str">
        <f t="shared" si="6"/>
        <v/>
      </c>
      <c r="AG930" s="4" t="str">
        <f t="array" ref="AG930">XLOOKUP(AC930,'Dados Funil'!A:A,'Dados Funil'!AM:AM,"")</f>
        <v/>
      </c>
      <c r="AH930" s="4" t="str">
        <f t="array" ref="AH930">XLOOKUP(AC930,'Dados Funil'!A:A,'Dados Funil'!AN:AN,"")</f>
        <v/>
      </c>
    </row>
    <row r="931">
      <c r="A931" s="4"/>
      <c r="B931" s="4"/>
      <c r="C931" s="7" t="str">
        <f t="shared" si="1"/>
        <v/>
      </c>
      <c r="D931" s="4" t="str">
        <f t="shared" si="9"/>
        <v/>
      </c>
      <c r="E931" s="4" t="str">
        <f t="array" ref="E931">XLOOKUP(A931,'Dados Funil'!$A:$A,'Dados Funil'!$K:$K,"")</f>
        <v/>
      </c>
      <c r="F931" s="4" t="str">
        <f t="array" ref="F931">XLOOKUP(A931,'Dados Funil'!$A:$A,'Dados Funil'!$L:$L,"")</f>
        <v/>
      </c>
      <c r="G931" s="4"/>
      <c r="H931" s="4"/>
      <c r="I931" s="7" t="str">
        <f t="shared" si="2"/>
        <v/>
      </c>
      <c r="J931" s="4" t="str">
        <f t="shared" si="10"/>
        <v/>
      </c>
      <c r="K931" s="4" t="str">
        <f t="array" ref="K931">XLOOKUP(G931,'Dados Funil'!A:A,'Dados Funil'!O:O,"")</f>
        <v/>
      </c>
      <c r="L931" s="4"/>
      <c r="M931" s="4"/>
      <c r="N931" s="7" t="str">
        <f t="shared" si="3"/>
        <v/>
      </c>
      <c r="O931" s="4" t="str">
        <f t="shared" si="11"/>
        <v/>
      </c>
      <c r="P931" s="4" t="str">
        <f t="array" ref="P931">XLOOKUP(L931,'Dados Funil'!A:A,'Dados Funil'!AM:AM,"")</f>
        <v/>
      </c>
      <c r="Q931" s="4" t="str">
        <f t="array" ref="Q931">XLOOKUP(L931,'Dados Funil'!A:A,'Dados Funil'!AN:AN,"")</f>
        <v/>
      </c>
      <c r="T931" s="7" t="str">
        <f t="shared" si="4"/>
        <v/>
      </c>
      <c r="U931" s="4" t="str">
        <f t="shared" si="12"/>
        <v/>
      </c>
      <c r="V931" s="4" t="str">
        <f t="array" ref="V931">XLOOKUP(R931,'Dados Funil'!$A:$A,'Dados Funil'!$K:$K,"")</f>
        <v/>
      </c>
      <c r="W931" s="4" t="str">
        <f t="array" ref="W931">XLOOKUP(R931,'Dados Funil'!$A:$A,'Dados Funil'!$L:$L,"")</f>
        <v/>
      </c>
      <c r="X931" s="4"/>
      <c r="Y931" s="4"/>
      <c r="Z931" s="7" t="str">
        <f t="shared" si="5"/>
        <v/>
      </c>
      <c r="AA931" s="4" t="str">
        <f t="shared" si="13"/>
        <v/>
      </c>
      <c r="AB931" s="4" t="str">
        <f t="array" ref="AB931">XLOOKUP(X931,'Dados Funil'!A:A,'Dados Funil'!O:O,"")</f>
        <v/>
      </c>
      <c r="AE931" s="7" t="str">
        <f t="shared" si="6"/>
        <v/>
      </c>
      <c r="AG931" s="4" t="str">
        <f t="array" ref="AG931">XLOOKUP(AC931,'Dados Funil'!A:A,'Dados Funil'!AM:AM,"")</f>
        <v/>
      </c>
      <c r="AH931" s="4" t="str">
        <f t="array" ref="AH931">XLOOKUP(AC931,'Dados Funil'!A:A,'Dados Funil'!AN:AN,"")</f>
        <v/>
      </c>
    </row>
    <row r="932">
      <c r="A932" s="4"/>
      <c r="B932" s="4"/>
      <c r="C932" s="7" t="str">
        <f t="shared" si="1"/>
        <v/>
      </c>
      <c r="D932" s="4" t="str">
        <f t="shared" si="9"/>
        <v/>
      </c>
      <c r="E932" s="4" t="str">
        <f t="array" ref="E932">XLOOKUP(A932,'Dados Funil'!$A:$A,'Dados Funil'!$K:$K,"")</f>
        <v/>
      </c>
      <c r="F932" s="4" t="str">
        <f t="array" ref="F932">XLOOKUP(A932,'Dados Funil'!$A:$A,'Dados Funil'!$L:$L,"")</f>
        <v/>
      </c>
      <c r="G932" s="4"/>
      <c r="H932" s="4"/>
      <c r="I932" s="7" t="str">
        <f t="shared" si="2"/>
        <v/>
      </c>
      <c r="J932" s="4" t="str">
        <f t="shared" si="10"/>
        <v/>
      </c>
      <c r="K932" s="4" t="str">
        <f t="array" ref="K932">XLOOKUP(G932,'Dados Funil'!A:A,'Dados Funil'!O:O,"")</f>
        <v/>
      </c>
      <c r="L932" s="4"/>
      <c r="M932" s="4"/>
      <c r="N932" s="7" t="str">
        <f t="shared" si="3"/>
        <v/>
      </c>
      <c r="O932" s="4" t="str">
        <f t="shared" si="11"/>
        <v/>
      </c>
      <c r="P932" s="4" t="str">
        <f t="array" ref="P932">XLOOKUP(L932,'Dados Funil'!A:A,'Dados Funil'!AM:AM,"")</f>
        <v/>
      </c>
      <c r="Q932" s="4" t="str">
        <f t="array" ref="Q932">XLOOKUP(L932,'Dados Funil'!A:A,'Dados Funil'!AN:AN,"")</f>
        <v/>
      </c>
      <c r="T932" s="7" t="str">
        <f t="shared" si="4"/>
        <v/>
      </c>
      <c r="U932" s="4" t="str">
        <f t="shared" si="12"/>
        <v/>
      </c>
      <c r="V932" s="4" t="str">
        <f t="array" ref="V932">XLOOKUP(R932,'Dados Funil'!$A:$A,'Dados Funil'!$K:$K,"")</f>
        <v/>
      </c>
      <c r="W932" s="4" t="str">
        <f t="array" ref="W932">XLOOKUP(R932,'Dados Funil'!$A:$A,'Dados Funil'!$L:$L,"")</f>
        <v/>
      </c>
      <c r="X932" s="4"/>
      <c r="Y932" s="4"/>
      <c r="Z932" s="7" t="str">
        <f t="shared" si="5"/>
        <v/>
      </c>
      <c r="AA932" s="4" t="str">
        <f t="shared" si="13"/>
        <v/>
      </c>
      <c r="AB932" s="4" t="str">
        <f t="array" ref="AB932">XLOOKUP(X932,'Dados Funil'!A:A,'Dados Funil'!O:O,"")</f>
        <v/>
      </c>
      <c r="AE932" s="7" t="str">
        <f t="shared" si="6"/>
        <v/>
      </c>
      <c r="AG932" s="4" t="str">
        <f t="array" ref="AG932">XLOOKUP(AC932,'Dados Funil'!A:A,'Dados Funil'!AM:AM,"")</f>
        <v/>
      </c>
      <c r="AH932" s="4" t="str">
        <f t="array" ref="AH932">XLOOKUP(AC932,'Dados Funil'!A:A,'Dados Funil'!AN:AN,"")</f>
        <v/>
      </c>
    </row>
    <row r="933">
      <c r="A933" s="4"/>
      <c r="B933" s="4"/>
      <c r="C933" s="7" t="str">
        <f t="shared" si="1"/>
        <v/>
      </c>
      <c r="D933" s="4" t="str">
        <f t="shared" si="9"/>
        <v/>
      </c>
      <c r="E933" s="4" t="str">
        <f t="array" ref="E933">XLOOKUP(A933,'Dados Funil'!$A:$A,'Dados Funil'!$K:$K,"")</f>
        <v/>
      </c>
      <c r="F933" s="4" t="str">
        <f t="array" ref="F933">XLOOKUP(A933,'Dados Funil'!$A:$A,'Dados Funil'!$L:$L,"")</f>
        <v/>
      </c>
      <c r="G933" s="4"/>
      <c r="H933" s="4"/>
      <c r="I933" s="7" t="str">
        <f t="shared" si="2"/>
        <v/>
      </c>
      <c r="J933" s="4" t="str">
        <f t="shared" si="10"/>
        <v/>
      </c>
      <c r="K933" s="4" t="str">
        <f t="array" ref="K933">XLOOKUP(G933,'Dados Funil'!A:A,'Dados Funil'!O:O,"")</f>
        <v/>
      </c>
      <c r="L933" s="4"/>
      <c r="M933" s="4"/>
      <c r="N933" s="7" t="str">
        <f t="shared" si="3"/>
        <v/>
      </c>
      <c r="O933" s="4" t="str">
        <f t="shared" si="11"/>
        <v/>
      </c>
      <c r="P933" s="4" t="str">
        <f t="array" ref="P933">XLOOKUP(L933,'Dados Funil'!A:A,'Dados Funil'!AM:AM,"")</f>
        <v/>
      </c>
      <c r="Q933" s="4" t="str">
        <f t="array" ref="Q933">XLOOKUP(L933,'Dados Funil'!A:A,'Dados Funil'!AN:AN,"")</f>
        <v/>
      </c>
      <c r="T933" s="7" t="str">
        <f t="shared" si="4"/>
        <v/>
      </c>
      <c r="U933" s="4" t="str">
        <f t="shared" si="12"/>
        <v/>
      </c>
      <c r="V933" s="4" t="str">
        <f t="array" ref="V933">XLOOKUP(R933,'Dados Funil'!$A:$A,'Dados Funil'!$K:$K,"")</f>
        <v/>
      </c>
      <c r="W933" s="4" t="str">
        <f t="array" ref="W933">XLOOKUP(R933,'Dados Funil'!$A:$A,'Dados Funil'!$L:$L,"")</f>
        <v/>
      </c>
      <c r="X933" s="4"/>
      <c r="Y933" s="4"/>
      <c r="Z933" s="7" t="str">
        <f t="shared" si="5"/>
        <v/>
      </c>
      <c r="AA933" s="4" t="str">
        <f t="shared" si="13"/>
        <v/>
      </c>
      <c r="AB933" s="4" t="str">
        <f t="array" ref="AB933">XLOOKUP(X933,'Dados Funil'!A:A,'Dados Funil'!O:O,"")</f>
        <v/>
      </c>
      <c r="AE933" s="7" t="str">
        <f t="shared" si="6"/>
        <v/>
      </c>
      <c r="AG933" s="4" t="str">
        <f t="array" ref="AG933">XLOOKUP(AC933,'Dados Funil'!A:A,'Dados Funil'!AM:AM,"")</f>
        <v/>
      </c>
      <c r="AH933" s="4" t="str">
        <f t="array" ref="AH933">XLOOKUP(AC933,'Dados Funil'!A:A,'Dados Funil'!AN:AN,"")</f>
        <v/>
      </c>
    </row>
    <row r="934">
      <c r="A934" s="4"/>
      <c r="B934" s="4"/>
      <c r="C934" s="7" t="str">
        <f t="shared" si="1"/>
        <v/>
      </c>
      <c r="D934" s="4" t="str">
        <f t="shared" si="9"/>
        <v/>
      </c>
      <c r="E934" s="4" t="str">
        <f t="array" ref="E934">XLOOKUP(A934,'Dados Funil'!$A:$A,'Dados Funil'!$K:$K,"")</f>
        <v/>
      </c>
      <c r="F934" s="4" t="str">
        <f t="array" ref="F934">XLOOKUP(A934,'Dados Funil'!$A:$A,'Dados Funil'!$L:$L,"")</f>
        <v/>
      </c>
      <c r="G934" s="4"/>
      <c r="H934" s="4"/>
      <c r="I934" s="7" t="str">
        <f t="shared" si="2"/>
        <v/>
      </c>
      <c r="J934" s="4" t="str">
        <f t="shared" si="10"/>
        <v/>
      </c>
      <c r="K934" s="4" t="str">
        <f t="array" ref="K934">XLOOKUP(G934,'Dados Funil'!A:A,'Dados Funil'!O:O,"")</f>
        <v/>
      </c>
      <c r="L934" s="4"/>
      <c r="M934" s="4"/>
      <c r="N934" s="7" t="str">
        <f t="shared" si="3"/>
        <v/>
      </c>
      <c r="O934" s="4" t="str">
        <f t="shared" si="11"/>
        <v/>
      </c>
      <c r="P934" s="4" t="str">
        <f t="array" ref="P934">XLOOKUP(L934,'Dados Funil'!A:A,'Dados Funil'!AM:AM,"")</f>
        <v/>
      </c>
      <c r="Q934" s="4" t="str">
        <f t="array" ref="Q934">XLOOKUP(L934,'Dados Funil'!A:A,'Dados Funil'!AN:AN,"")</f>
        <v/>
      </c>
      <c r="T934" s="7" t="str">
        <f t="shared" si="4"/>
        <v/>
      </c>
      <c r="U934" s="4" t="str">
        <f t="shared" si="12"/>
        <v/>
      </c>
      <c r="V934" s="4" t="str">
        <f t="array" ref="V934">XLOOKUP(R934,'Dados Funil'!$A:$A,'Dados Funil'!$K:$K,"")</f>
        <v/>
      </c>
      <c r="W934" s="4" t="str">
        <f t="array" ref="W934">XLOOKUP(R934,'Dados Funil'!$A:$A,'Dados Funil'!$L:$L,"")</f>
        <v/>
      </c>
      <c r="X934" s="4"/>
      <c r="Y934" s="4"/>
      <c r="Z934" s="7" t="str">
        <f t="shared" si="5"/>
        <v/>
      </c>
      <c r="AA934" s="4" t="str">
        <f t="shared" si="13"/>
        <v/>
      </c>
      <c r="AB934" s="4" t="str">
        <f t="array" ref="AB934">XLOOKUP(X934,'Dados Funil'!A:A,'Dados Funil'!O:O,"")</f>
        <v/>
      </c>
      <c r="AE934" s="7" t="str">
        <f t="shared" si="6"/>
        <v/>
      </c>
      <c r="AG934" s="4" t="str">
        <f t="array" ref="AG934">XLOOKUP(AC934,'Dados Funil'!A:A,'Dados Funil'!AM:AM,"")</f>
        <v/>
      </c>
      <c r="AH934" s="4" t="str">
        <f t="array" ref="AH934">XLOOKUP(AC934,'Dados Funil'!A:A,'Dados Funil'!AN:AN,"")</f>
        <v/>
      </c>
    </row>
    <row r="935">
      <c r="A935" s="4"/>
      <c r="B935" s="4"/>
      <c r="C935" s="7" t="str">
        <f t="shared" si="1"/>
        <v/>
      </c>
      <c r="D935" s="4" t="str">
        <f t="shared" si="9"/>
        <v/>
      </c>
      <c r="E935" s="4" t="str">
        <f t="array" ref="E935">XLOOKUP(A935,'Dados Funil'!$A:$A,'Dados Funil'!$K:$K,"")</f>
        <v/>
      </c>
      <c r="F935" s="4" t="str">
        <f t="array" ref="F935">XLOOKUP(A935,'Dados Funil'!$A:$A,'Dados Funil'!$L:$L,"")</f>
        <v/>
      </c>
      <c r="G935" s="4"/>
      <c r="H935" s="4"/>
      <c r="I935" s="7" t="str">
        <f t="shared" si="2"/>
        <v/>
      </c>
      <c r="J935" s="4" t="str">
        <f t="shared" si="10"/>
        <v/>
      </c>
      <c r="K935" s="4" t="str">
        <f t="array" ref="K935">XLOOKUP(G935,'Dados Funil'!A:A,'Dados Funil'!O:O,"")</f>
        <v/>
      </c>
      <c r="L935" s="4"/>
      <c r="M935" s="4"/>
      <c r="N935" s="7" t="str">
        <f t="shared" si="3"/>
        <v/>
      </c>
      <c r="O935" s="4" t="str">
        <f t="shared" si="11"/>
        <v/>
      </c>
      <c r="P935" s="4" t="str">
        <f t="array" ref="P935">XLOOKUP(L935,'Dados Funil'!A:A,'Dados Funil'!AM:AM,"")</f>
        <v/>
      </c>
      <c r="Q935" s="4" t="str">
        <f t="array" ref="Q935">XLOOKUP(L935,'Dados Funil'!A:A,'Dados Funil'!AN:AN,"")</f>
        <v/>
      </c>
      <c r="T935" s="7" t="str">
        <f t="shared" si="4"/>
        <v/>
      </c>
      <c r="U935" s="4" t="str">
        <f t="shared" si="12"/>
        <v/>
      </c>
      <c r="V935" s="4" t="str">
        <f t="array" ref="V935">XLOOKUP(R935,'Dados Funil'!$A:$A,'Dados Funil'!$K:$K,"")</f>
        <v/>
      </c>
      <c r="W935" s="4" t="str">
        <f t="array" ref="W935">XLOOKUP(R935,'Dados Funil'!$A:$A,'Dados Funil'!$L:$L,"")</f>
        <v/>
      </c>
      <c r="X935" s="4"/>
      <c r="Y935" s="4"/>
      <c r="Z935" s="7" t="str">
        <f t="shared" si="5"/>
        <v/>
      </c>
      <c r="AA935" s="4" t="str">
        <f t="shared" si="13"/>
        <v/>
      </c>
      <c r="AB935" s="4" t="str">
        <f t="array" ref="AB935">XLOOKUP(X935,'Dados Funil'!A:A,'Dados Funil'!O:O,"")</f>
        <v/>
      </c>
      <c r="AE935" s="7" t="str">
        <f t="shared" si="6"/>
        <v/>
      </c>
      <c r="AG935" s="4" t="str">
        <f t="array" ref="AG935">XLOOKUP(AC935,'Dados Funil'!A:A,'Dados Funil'!AM:AM,"")</f>
        <v/>
      </c>
      <c r="AH935" s="4" t="str">
        <f t="array" ref="AH935">XLOOKUP(AC935,'Dados Funil'!A:A,'Dados Funil'!AN:AN,"")</f>
        <v/>
      </c>
    </row>
    <row r="936">
      <c r="A936" s="4"/>
      <c r="B936" s="4"/>
      <c r="C936" s="7" t="str">
        <f t="shared" si="1"/>
        <v/>
      </c>
      <c r="D936" s="4" t="str">
        <f t="shared" si="9"/>
        <v/>
      </c>
      <c r="E936" s="4" t="str">
        <f t="array" ref="E936">XLOOKUP(A936,'Dados Funil'!$A:$A,'Dados Funil'!$K:$K,"")</f>
        <v/>
      </c>
      <c r="F936" s="4" t="str">
        <f t="array" ref="F936">XLOOKUP(A936,'Dados Funil'!$A:$A,'Dados Funil'!$L:$L,"")</f>
        <v/>
      </c>
      <c r="G936" s="4"/>
      <c r="H936" s="4"/>
      <c r="I936" s="7" t="str">
        <f t="shared" si="2"/>
        <v/>
      </c>
      <c r="J936" s="4" t="str">
        <f t="shared" si="10"/>
        <v/>
      </c>
      <c r="K936" s="4" t="str">
        <f t="array" ref="K936">XLOOKUP(G936,'Dados Funil'!A:A,'Dados Funil'!O:O,"")</f>
        <v/>
      </c>
      <c r="L936" s="4"/>
      <c r="M936" s="4"/>
      <c r="N936" s="7" t="str">
        <f t="shared" si="3"/>
        <v/>
      </c>
      <c r="O936" s="4" t="str">
        <f t="shared" si="11"/>
        <v/>
      </c>
      <c r="P936" s="4" t="str">
        <f t="array" ref="P936">XLOOKUP(L936,'Dados Funil'!A:A,'Dados Funil'!AM:AM,"")</f>
        <v/>
      </c>
      <c r="Q936" s="4" t="str">
        <f t="array" ref="Q936">XLOOKUP(L936,'Dados Funil'!A:A,'Dados Funil'!AN:AN,"")</f>
        <v/>
      </c>
      <c r="T936" s="7" t="str">
        <f t="shared" si="4"/>
        <v/>
      </c>
      <c r="U936" s="4" t="str">
        <f t="shared" si="12"/>
        <v/>
      </c>
      <c r="V936" s="4" t="str">
        <f t="array" ref="V936">XLOOKUP(R936,'Dados Funil'!$A:$A,'Dados Funil'!$K:$K,"")</f>
        <v/>
      </c>
      <c r="W936" s="4" t="str">
        <f t="array" ref="W936">XLOOKUP(R936,'Dados Funil'!$A:$A,'Dados Funil'!$L:$L,"")</f>
        <v/>
      </c>
      <c r="X936" s="4"/>
      <c r="Y936" s="4"/>
      <c r="Z936" s="7" t="str">
        <f t="shared" si="5"/>
        <v/>
      </c>
      <c r="AA936" s="4" t="str">
        <f t="shared" si="13"/>
        <v/>
      </c>
      <c r="AB936" s="4" t="str">
        <f t="array" ref="AB936">XLOOKUP(X936,'Dados Funil'!A:A,'Dados Funil'!O:O,"")</f>
        <v/>
      </c>
      <c r="AE936" s="7" t="str">
        <f t="shared" si="6"/>
        <v/>
      </c>
      <c r="AG936" s="4" t="str">
        <f t="array" ref="AG936">XLOOKUP(AC936,'Dados Funil'!A:A,'Dados Funil'!AM:AM,"")</f>
        <v/>
      </c>
      <c r="AH936" s="4" t="str">
        <f t="array" ref="AH936">XLOOKUP(AC936,'Dados Funil'!A:A,'Dados Funil'!AN:AN,"")</f>
        <v/>
      </c>
    </row>
    <row r="937">
      <c r="A937" s="4"/>
      <c r="B937" s="4"/>
      <c r="C937" s="7" t="str">
        <f t="shared" si="1"/>
        <v/>
      </c>
      <c r="D937" s="4" t="str">
        <f t="shared" si="9"/>
        <v/>
      </c>
      <c r="E937" s="4" t="str">
        <f t="array" ref="E937">XLOOKUP(A937,'Dados Funil'!$A:$A,'Dados Funil'!$K:$K,"")</f>
        <v/>
      </c>
      <c r="F937" s="4" t="str">
        <f t="array" ref="F937">XLOOKUP(A937,'Dados Funil'!$A:$A,'Dados Funil'!$L:$L,"")</f>
        <v/>
      </c>
      <c r="G937" s="4"/>
      <c r="H937" s="4"/>
      <c r="I937" s="7" t="str">
        <f t="shared" si="2"/>
        <v/>
      </c>
      <c r="J937" s="4" t="str">
        <f t="shared" si="10"/>
        <v/>
      </c>
      <c r="K937" s="4" t="str">
        <f t="array" ref="K937">XLOOKUP(G937,'Dados Funil'!A:A,'Dados Funil'!O:O,"")</f>
        <v/>
      </c>
      <c r="L937" s="4"/>
      <c r="M937" s="4"/>
      <c r="N937" s="7" t="str">
        <f t="shared" si="3"/>
        <v/>
      </c>
      <c r="O937" s="4" t="str">
        <f t="shared" si="11"/>
        <v/>
      </c>
      <c r="P937" s="4" t="str">
        <f t="array" ref="P937">XLOOKUP(L937,'Dados Funil'!A:A,'Dados Funil'!AM:AM,"")</f>
        <v/>
      </c>
      <c r="Q937" s="4" t="str">
        <f t="array" ref="Q937">XLOOKUP(L937,'Dados Funil'!A:A,'Dados Funil'!AN:AN,"")</f>
        <v/>
      </c>
      <c r="T937" s="7" t="str">
        <f t="shared" si="4"/>
        <v/>
      </c>
      <c r="U937" s="4" t="str">
        <f t="shared" si="12"/>
        <v/>
      </c>
      <c r="V937" s="4" t="str">
        <f t="array" ref="V937">XLOOKUP(R937,'Dados Funil'!$A:$A,'Dados Funil'!$K:$K,"")</f>
        <v/>
      </c>
      <c r="W937" s="4" t="str">
        <f t="array" ref="W937">XLOOKUP(R937,'Dados Funil'!$A:$A,'Dados Funil'!$L:$L,"")</f>
        <v/>
      </c>
      <c r="X937" s="4"/>
      <c r="Y937" s="4"/>
      <c r="Z937" s="7" t="str">
        <f t="shared" si="5"/>
        <v/>
      </c>
      <c r="AA937" s="4" t="str">
        <f t="shared" si="13"/>
        <v/>
      </c>
      <c r="AB937" s="4" t="str">
        <f t="array" ref="AB937">XLOOKUP(X937,'Dados Funil'!A:A,'Dados Funil'!O:O,"")</f>
        <v/>
      </c>
      <c r="AE937" s="7" t="str">
        <f t="shared" si="6"/>
        <v/>
      </c>
      <c r="AG937" s="4" t="str">
        <f t="array" ref="AG937">XLOOKUP(AC937,'Dados Funil'!A:A,'Dados Funil'!AM:AM,"")</f>
        <v/>
      </c>
      <c r="AH937" s="4" t="str">
        <f t="array" ref="AH937">XLOOKUP(AC937,'Dados Funil'!A:A,'Dados Funil'!AN:AN,"")</f>
        <v/>
      </c>
    </row>
    <row r="938">
      <c r="A938" s="4"/>
      <c r="B938" s="4"/>
      <c r="C938" s="7" t="str">
        <f t="shared" si="1"/>
        <v/>
      </c>
      <c r="D938" s="4" t="str">
        <f t="shared" si="9"/>
        <v/>
      </c>
      <c r="E938" s="4" t="str">
        <f t="array" ref="E938">XLOOKUP(A938,'Dados Funil'!$A:$A,'Dados Funil'!$K:$K,"")</f>
        <v/>
      </c>
      <c r="F938" s="4" t="str">
        <f t="array" ref="F938">XLOOKUP(A938,'Dados Funil'!$A:$A,'Dados Funil'!$L:$L,"")</f>
        <v/>
      </c>
      <c r="G938" s="4"/>
      <c r="H938" s="4"/>
      <c r="I938" s="7" t="str">
        <f t="shared" si="2"/>
        <v/>
      </c>
      <c r="J938" s="4" t="str">
        <f t="shared" si="10"/>
        <v/>
      </c>
      <c r="K938" s="4" t="str">
        <f t="array" ref="K938">XLOOKUP(G938,'Dados Funil'!A:A,'Dados Funil'!O:O,"")</f>
        <v/>
      </c>
      <c r="L938" s="4"/>
      <c r="M938" s="4"/>
      <c r="N938" s="7" t="str">
        <f t="shared" si="3"/>
        <v/>
      </c>
      <c r="O938" s="4" t="str">
        <f t="shared" si="11"/>
        <v/>
      </c>
      <c r="P938" s="4" t="str">
        <f t="array" ref="P938">XLOOKUP(L938,'Dados Funil'!A:A,'Dados Funil'!AM:AM,"")</f>
        <v/>
      </c>
      <c r="Q938" s="4" t="str">
        <f t="array" ref="Q938">XLOOKUP(L938,'Dados Funil'!A:A,'Dados Funil'!AN:AN,"")</f>
        <v/>
      </c>
      <c r="T938" s="7" t="str">
        <f t="shared" si="4"/>
        <v/>
      </c>
      <c r="U938" s="4" t="str">
        <f t="shared" si="12"/>
        <v/>
      </c>
      <c r="V938" s="4" t="str">
        <f t="array" ref="V938">XLOOKUP(R938,'Dados Funil'!$A:$A,'Dados Funil'!$K:$K,"")</f>
        <v/>
      </c>
      <c r="W938" s="4" t="str">
        <f t="array" ref="W938">XLOOKUP(R938,'Dados Funil'!$A:$A,'Dados Funil'!$L:$L,"")</f>
        <v/>
      </c>
      <c r="X938" s="4"/>
      <c r="Y938" s="4"/>
      <c r="Z938" s="7" t="str">
        <f t="shared" si="5"/>
        <v/>
      </c>
      <c r="AA938" s="4" t="str">
        <f t="shared" si="13"/>
        <v/>
      </c>
      <c r="AB938" s="4" t="str">
        <f t="array" ref="AB938">XLOOKUP(X938,'Dados Funil'!A:A,'Dados Funil'!O:O,"")</f>
        <v/>
      </c>
      <c r="AE938" s="7" t="str">
        <f t="shared" si="6"/>
        <v/>
      </c>
      <c r="AG938" s="4" t="str">
        <f t="array" ref="AG938">XLOOKUP(AC938,'Dados Funil'!A:A,'Dados Funil'!AM:AM,"")</f>
        <v/>
      </c>
      <c r="AH938" s="4" t="str">
        <f t="array" ref="AH938">XLOOKUP(AC938,'Dados Funil'!A:A,'Dados Funil'!AN:AN,"")</f>
        <v/>
      </c>
    </row>
    <row r="939">
      <c r="A939" s="4"/>
      <c r="B939" s="4"/>
      <c r="C939" s="7" t="str">
        <f t="shared" si="1"/>
        <v/>
      </c>
      <c r="D939" s="4" t="str">
        <f t="shared" si="9"/>
        <v/>
      </c>
      <c r="E939" s="4" t="str">
        <f t="array" ref="E939">XLOOKUP(A939,'Dados Funil'!$A:$A,'Dados Funil'!$K:$K,"")</f>
        <v/>
      </c>
      <c r="F939" s="4" t="str">
        <f t="array" ref="F939">XLOOKUP(A939,'Dados Funil'!$A:$A,'Dados Funil'!$L:$L,"")</f>
        <v/>
      </c>
      <c r="G939" s="4"/>
      <c r="H939" s="4"/>
      <c r="I939" s="7" t="str">
        <f t="shared" si="2"/>
        <v/>
      </c>
      <c r="J939" s="4" t="str">
        <f t="shared" si="10"/>
        <v/>
      </c>
      <c r="K939" s="4" t="str">
        <f t="array" ref="K939">XLOOKUP(G939,'Dados Funil'!A:A,'Dados Funil'!O:O,"")</f>
        <v/>
      </c>
      <c r="L939" s="4"/>
      <c r="M939" s="4"/>
      <c r="N939" s="7" t="str">
        <f t="shared" si="3"/>
        <v/>
      </c>
      <c r="O939" s="4" t="str">
        <f t="shared" si="11"/>
        <v/>
      </c>
      <c r="P939" s="4" t="str">
        <f t="array" ref="P939">XLOOKUP(L939,'Dados Funil'!A:A,'Dados Funil'!AM:AM,"")</f>
        <v/>
      </c>
      <c r="Q939" s="4" t="str">
        <f t="array" ref="Q939">XLOOKUP(L939,'Dados Funil'!A:A,'Dados Funil'!AN:AN,"")</f>
        <v/>
      </c>
      <c r="T939" s="7" t="str">
        <f t="shared" si="4"/>
        <v/>
      </c>
      <c r="U939" s="4" t="str">
        <f t="shared" si="12"/>
        <v/>
      </c>
      <c r="V939" s="4" t="str">
        <f t="array" ref="V939">XLOOKUP(R939,'Dados Funil'!$A:$A,'Dados Funil'!$K:$K,"")</f>
        <v/>
      </c>
      <c r="W939" s="4" t="str">
        <f t="array" ref="W939">XLOOKUP(R939,'Dados Funil'!$A:$A,'Dados Funil'!$L:$L,"")</f>
        <v/>
      </c>
      <c r="X939" s="4"/>
      <c r="Y939" s="4"/>
      <c r="Z939" s="7" t="str">
        <f t="shared" si="5"/>
        <v/>
      </c>
      <c r="AA939" s="4" t="str">
        <f t="shared" si="13"/>
        <v/>
      </c>
      <c r="AB939" s="4" t="str">
        <f t="array" ref="AB939">XLOOKUP(X939,'Dados Funil'!A:A,'Dados Funil'!O:O,"")</f>
        <v/>
      </c>
      <c r="AE939" s="7" t="str">
        <f t="shared" si="6"/>
        <v/>
      </c>
      <c r="AG939" s="4" t="str">
        <f t="array" ref="AG939">XLOOKUP(AC939,'Dados Funil'!A:A,'Dados Funil'!AM:AM,"")</f>
        <v/>
      </c>
      <c r="AH939" s="4" t="str">
        <f t="array" ref="AH939">XLOOKUP(AC939,'Dados Funil'!A:A,'Dados Funil'!AN:AN,"")</f>
        <v/>
      </c>
    </row>
    <row r="940">
      <c r="A940" s="4"/>
      <c r="B940" s="4"/>
      <c r="C940" s="7" t="str">
        <f t="shared" si="1"/>
        <v/>
      </c>
      <c r="D940" s="4" t="str">
        <f t="shared" si="9"/>
        <v/>
      </c>
      <c r="E940" s="4" t="str">
        <f t="array" ref="E940">XLOOKUP(A940,'Dados Funil'!$A:$A,'Dados Funil'!$K:$K,"")</f>
        <v/>
      </c>
      <c r="F940" s="4" t="str">
        <f t="array" ref="F940">XLOOKUP(A940,'Dados Funil'!$A:$A,'Dados Funil'!$L:$L,"")</f>
        <v/>
      </c>
      <c r="G940" s="4"/>
      <c r="H940" s="4"/>
      <c r="I940" s="7" t="str">
        <f t="shared" si="2"/>
        <v/>
      </c>
      <c r="J940" s="4" t="str">
        <f t="shared" si="10"/>
        <v/>
      </c>
      <c r="K940" s="4" t="str">
        <f t="array" ref="K940">XLOOKUP(G940,'Dados Funil'!A:A,'Dados Funil'!O:O,"")</f>
        <v/>
      </c>
      <c r="L940" s="4"/>
      <c r="M940" s="4"/>
      <c r="N940" s="7" t="str">
        <f t="shared" si="3"/>
        <v/>
      </c>
      <c r="O940" s="4" t="str">
        <f t="shared" si="11"/>
        <v/>
      </c>
      <c r="P940" s="4" t="str">
        <f t="array" ref="P940">XLOOKUP(L940,'Dados Funil'!A:A,'Dados Funil'!AM:AM,"")</f>
        <v/>
      </c>
      <c r="Q940" s="4" t="str">
        <f t="array" ref="Q940">XLOOKUP(L940,'Dados Funil'!A:A,'Dados Funil'!AN:AN,"")</f>
        <v/>
      </c>
      <c r="T940" s="7" t="str">
        <f t="shared" si="4"/>
        <v/>
      </c>
      <c r="U940" s="4" t="str">
        <f t="shared" si="12"/>
        <v/>
      </c>
      <c r="V940" s="4" t="str">
        <f t="array" ref="V940">XLOOKUP(R940,'Dados Funil'!$A:$A,'Dados Funil'!$K:$K,"")</f>
        <v/>
      </c>
      <c r="W940" s="4" t="str">
        <f t="array" ref="W940">XLOOKUP(R940,'Dados Funil'!$A:$A,'Dados Funil'!$L:$L,"")</f>
        <v/>
      </c>
      <c r="X940" s="4"/>
      <c r="Y940" s="4"/>
      <c r="Z940" s="7" t="str">
        <f t="shared" si="5"/>
        <v/>
      </c>
      <c r="AA940" s="4" t="str">
        <f t="shared" si="13"/>
        <v/>
      </c>
      <c r="AB940" s="4" t="str">
        <f t="array" ref="AB940">XLOOKUP(X940,'Dados Funil'!A:A,'Dados Funil'!O:O,"")</f>
        <v/>
      </c>
      <c r="AE940" s="7" t="str">
        <f t="shared" si="6"/>
        <v/>
      </c>
      <c r="AG940" s="4" t="str">
        <f t="array" ref="AG940">XLOOKUP(AC940,'Dados Funil'!A:A,'Dados Funil'!AM:AM,"")</f>
        <v/>
      </c>
      <c r="AH940" s="4" t="str">
        <f t="array" ref="AH940">XLOOKUP(AC940,'Dados Funil'!A:A,'Dados Funil'!AN:AN,"")</f>
        <v/>
      </c>
    </row>
    <row r="941">
      <c r="A941" s="4"/>
      <c r="B941" s="4"/>
      <c r="C941" s="7" t="str">
        <f t="shared" si="1"/>
        <v/>
      </c>
      <c r="D941" s="4" t="str">
        <f t="shared" si="9"/>
        <v/>
      </c>
      <c r="E941" s="4" t="str">
        <f t="array" ref="E941">XLOOKUP(A941,'Dados Funil'!$A:$A,'Dados Funil'!$K:$K,"")</f>
        <v/>
      </c>
      <c r="F941" s="4" t="str">
        <f t="array" ref="F941">XLOOKUP(A941,'Dados Funil'!$A:$A,'Dados Funil'!$L:$L,"")</f>
        <v/>
      </c>
      <c r="G941" s="4"/>
      <c r="H941" s="4"/>
      <c r="I941" s="7" t="str">
        <f t="shared" si="2"/>
        <v/>
      </c>
      <c r="J941" s="4" t="str">
        <f t="shared" si="10"/>
        <v/>
      </c>
      <c r="K941" s="4" t="str">
        <f t="array" ref="K941">XLOOKUP(G941,'Dados Funil'!A:A,'Dados Funil'!O:O,"")</f>
        <v/>
      </c>
      <c r="L941" s="4"/>
      <c r="M941" s="4"/>
      <c r="N941" s="7" t="str">
        <f t="shared" si="3"/>
        <v/>
      </c>
      <c r="O941" s="4" t="str">
        <f t="shared" si="11"/>
        <v/>
      </c>
      <c r="P941" s="4" t="str">
        <f t="array" ref="P941">XLOOKUP(L941,'Dados Funil'!A:A,'Dados Funil'!AM:AM,"")</f>
        <v/>
      </c>
      <c r="Q941" s="4" t="str">
        <f t="array" ref="Q941">XLOOKUP(L941,'Dados Funil'!A:A,'Dados Funil'!AN:AN,"")</f>
        <v/>
      </c>
      <c r="T941" s="7" t="str">
        <f t="shared" si="4"/>
        <v/>
      </c>
      <c r="U941" s="4" t="str">
        <f t="shared" si="12"/>
        <v/>
      </c>
      <c r="V941" s="4" t="str">
        <f t="array" ref="V941">XLOOKUP(R941,'Dados Funil'!$A:$A,'Dados Funil'!$K:$K,"")</f>
        <v/>
      </c>
      <c r="W941" s="4" t="str">
        <f t="array" ref="W941">XLOOKUP(R941,'Dados Funil'!$A:$A,'Dados Funil'!$L:$L,"")</f>
        <v/>
      </c>
      <c r="X941" s="4"/>
      <c r="Y941" s="4"/>
      <c r="Z941" s="7" t="str">
        <f t="shared" si="5"/>
        <v/>
      </c>
      <c r="AA941" s="4" t="str">
        <f t="shared" si="13"/>
        <v/>
      </c>
      <c r="AB941" s="4" t="str">
        <f t="array" ref="AB941">XLOOKUP(X941,'Dados Funil'!A:A,'Dados Funil'!O:O,"")</f>
        <v/>
      </c>
      <c r="AE941" s="7" t="str">
        <f t="shared" si="6"/>
        <v/>
      </c>
      <c r="AG941" s="4" t="str">
        <f t="array" ref="AG941">XLOOKUP(AC941,'Dados Funil'!A:A,'Dados Funil'!AM:AM,"")</f>
        <v/>
      </c>
      <c r="AH941" s="4" t="str">
        <f t="array" ref="AH941">XLOOKUP(AC941,'Dados Funil'!A:A,'Dados Funil'!AN:AN,"")</f>
        <v/>
      </c>
    </row>
    <row r="942">
      <c r="A942" s="4"/>
      <c r="B942" s="4"/>
      <c r="C942" s="7" t="str">
        <f t="shared" si="1"/>
        <v/>
      </c>
      <c r="D942" s="4" t="str">
        <f t="shared" si="9"/>
        <v/>
      </c>
      <c r="E942" s="4" t="str">
        <f t="array" ref="E942">XLOOKUP(A942,'Dados Funil'!$A:$A,'Dados Funil'!$K:$K,"")</f>
        <v/>
      </c>
      <c r="F942" s="4" t="str">
        <f t="array" ref="F942">XLOOKUP(A942,'Dados Funil'!$A:$A,'Dados Funil'!$L:$L,"")</f>
        <v/>
      </c>
      <c r="G942" s="4"/>
      <c r="H942" s="4"/>
      <c r="I942" s="7" t="str">
        <f t="shared" si="2"/>
        <v/>
      </c>
      <c r="J942" s="4" t="str">
        <f t="shared" si="10"/>
        <v/>
      </c>
      <c r="K942" s="4" t="str">
        <f t="array" ref="K942">XLOOKUP(G942,'Dados Funil'!A:A,'Dados Funil'!O:O,"")</f>
        <v/>
      </c>
      <c r="L942" s="4"/>
      <c r="M942" s="4"/>
      <c r="N942" s="7" t="str">
        <f t="shared" si="3"/>
        <v/>
      </c>
      <c r="O942" s="4" t="str">
        <f t="shared" si="11"/>
        <v/>
      </c>
      <c r="P942" s="4" t="str">
        <f t="array" ref="P942">XLOOKUP(L942,'Dados Funil'!A:A,'Dados Funil'!AM:AM,"")</f>
        <v/>
      </c>
      <c r="Q942" s="4" t="str">
        <f t="array" ref="Q942">XLOOKUP(L942,'Dados Funil'!A:A,'Dados Funil'!AN:AN,"")</f>
        <v/>
      </c>
      <c r="T942" s="7" t="str">
        <f t="shared" si="4"/>
        <v/>
      </c>
      <c r="U942" s="4" t="str">
        <f t="shared" si="12"/>
        <v/>
      </c>
      <c r="V942" s="4" t="str">
        <f t="array" ref="V942">XLOOKUP(R942,'Dados Funil'!$A:$A,'Dados Funil'!$K:$K,"")</f>
        <v/>
      </c>
      <c r="W942" s="4" t="str">
        <f t="array" ref="W942">XLOOKUP(R942,'Dados Funil'!$A:$A,'Dados Funil'!$L:$L,"")</f>
        <v/>
      </c>
      <c r="X942" s="4"/>
      <c r="Y942" s="4"/>
      <c r="Z942" s="7" t="str">
        <f t="shared" si="5"/>
        <v/>
      </c>
      <c r="AA942" s="4" t="str">
        <f t="shared" si="13"/>
        <v/>
      </c>
      <c r="AB942" s="4" t="str">
        <f t="array" ref="AB942">XLOOKUP(X942,'Dados Funil'!A:A,'Dados Funil'!O:O,"")</f>
        <v/>
      </c>
      <c r="AE942" s="7" t="str">
        <f t="shared" si="6"/>
        <v/>
      </c>
      <c r="AG942" s="4" t="str">
        <f t="array" ref="AG942">XLOOKUP(AC942,'Dados Funil'!A:A,'Dados Funil'!AM:AM,"")</f>
        <v/>
      </c>
      <c r="AH942" s="4" t="str">
        <f t="array" ref="AH942">XLOOKUP(AC942,'Dados Funil'!A:A,'Dados Funil'!AN:AN,"")</f>
        <v/>
      </c>
    </row>
    <row r="943">
      <c r="A943" s="4"/>
      <c r="B943" s="4"/>
      <c r="C943" s="7" t="str">
        <f t="shared" si="1"/>
        <v/>
      </c>
      <c r="D943" s="4" t="str">
        <f t="shared" si="9"/>
        <v/>
      </c>
      <c r="E943" s="4" t="str">
        <f t="array" ref="E943">XLOOKUP(A943,'Dados Funil'!$A:$A,'Dados Funil'!$K:$K,"")</f>
        <v/>
      </c>
      <c r="F943" s="4" t="str">
        <f t="array" ref="F943">XLOOKUP(A943,'Dados Funil'!$A:$A,'Dados Funil'!$L:$L,"")</f>
        <v/>
      </c>
      <c r="G943" s="4"/>
      <c r="H943" s="4"/>
      <c r="I943" s="7" t="str">
        <f t="shared" si="2"/>
        <v/>
      </c>
      <c r="J943" s="4" t="str">
        <f t="shared" si="10"/>
        <v/>
      </c>
      <c r="K943" s="4" t="str">
        <f t="array" ref="K943">XLOOKUP(G943,'Dados Funil'!A:A,'Dados Funil'!O:O,"")</f>
        <v/>
      </c>
      <c r="L943" s="4"/>
      <c r="M943" s="4"/>
      <c r="N943" s="7" t="str">
        <f t="shared" si="3"/>
        <v/>
      </c>
      <c r="O943" s="4" t="str">
        <f t="shared" si="11"/>
        <v/>
      </c>
      <c r="P943" s="4" t="str">
        <f t="array" ref="P943">XLOOKUP(L943,'Dados Funil'!A:A,'Dados Funil'!AM:AM,"")</f>
        <v/>
      </c>
      <c r="Q943" s="4" t="str">
        <f t="array" ref="Q943">XLOOKUP(L943,'Dados Funil'!A:A,'Dados Funil'!AN:AN,"")</f>
        <v/>
      </c>
      <c r="T943" s="7" t="str">
        <f t="shared" si="4"/>
        <v/>
      </c>
      <c r="U943" s="4" t="str">
        <f t="shared" si="12"/>
        <v/>
      </c>
      <c r="V943" s="4" t="str">
        <f t="array" ref="V943">XLOOKUP(R943,'Dados Funil'!$A:$A,'Dados Funil'!$K:$K,"")</f>
        <v/>
      </c>
      <c r="W943" s="4" t="str">
        <f t="array" ref="W943">XLOOKUP(R943,'Dados Funil'!$A:$A,'Dados Funil'!$L:$L,"")</f>
        <v/>
      </c>
      <c r="X943" s="4"/>
      <c r="Y943" s="4"/>
      <c r="Z943" s="7" t="str">
        <f t="shared" si="5"/>
        <v/>
      </c>
      <c r="AA943" s="4" t="str">
        <f t="shared" si="13"/>
        <v/>
      </c>
      <c r="AB943" s="4" t="str">
        <f t="array" ref="AB943">XLOOKUP(X943,'Dados Funil'!A:A,'Dados Funil'!O:O,"")</f>
        <v/>
      </c>
      <c r="AE943" s="7" t="str">
        <f t="shared" si="6"/>
        <v/>
      </c>
      <c r="AG943" s="4" t="str">
        <f t="array" ref="AG943">XLOOKUP(AC943,'Dados Funil'!A:A,'Dados Funil'!AM:AM,"")</f>
        <v/>
      </c>
      <c r="AH943" s="4" t="str">
        <f t="array" ref="AH943">XLOOKUP(AC943,'Dados Funil'!A:A,'Dados Funil'!AN:AN,"")</f>
        <v/>
      </c>
    </row>
    <row r="944">
      <c r="A944" s="4"/>
      <c r="B944" s="4"/>
      <c r="C944" s="7" t="str">
        <f t="shared" si="1"/>
        <v/>
      </c>
      <c r="D944" s="4" t="str">
        <f t="shared" si="9"/>
        <v/>
      </c>
      <c r="E944" s="4" t="str">
        <f t="array" ref="E944">XLOOKUP(A944,'Dados Funil'!$A:$A,'Dados Funil'!$K:$K,"")</f>
        <v/>
      </c>
      <c r="F944" s="4" t="str">
        <f t="array" ref="F944">XLOOKUP(A944,'Dados Funil'!$A:$A,'Dados Funil'!$L:$L,"")</f>
        <v/>
      </c>
      <c r="G944" s="4"/>
      <c r="H944" s="4"/>
      <c r="I944" s="7" t="str">
        <f t="shared" si="2"/>
        <v/>
      </c>
      <c r="J944" s="4" t="str">
        <f t="shared" si="10"/>
        <v/>
      </c>
      <c r="K944" s="4" t="str">
        <f t="array" ref="K944">XLOOKUP(G944,'Dados Funil'!A:A,'Dados Funil'!O:O,"")</f>
        <v/>
      </c>
      <c r="L944" s="4"/>
      <c r="M944" s="4"/>
      <c r="N944" s="7" t="str">
        <f t="shared" si="3"/>
        <v/>
      </c>
      <c r="O944" s="4" t="str">
        <f t="shared" si="11"/>
        <v/>
      </c>
      <c r="P944" s="4" t="str">
        <f t="array" ref="P944">XLOOKUP(L944,'Dados Funil'!A:A,'Dados Funil'!AM:AM,"")</f>
        <v/>
      </c>
      <c r="Q944" s="4" t="str">
        <f t="array" ref="Q944">XLOOKUP(L944,'Dados Funil'!A:A,'Dados Funil'!AN:AN,"")</f>
        <v/>
      </c>
      <c r="T944" s="7" t="str">
        <f t="shared" si="4"/>
        <v/>
      </c>
      <c r="U944" s="4" t="str">
        <f t="shared" si="12"/>
        <v/>
      </c>
      <c r="V944" s="4" t="str">
        <f t="array" ref="V944">XLOOKUP(R944,'Dados Funil'!$A:$A,'Dados Funil'!$K:$K,"")</f>
        <v/>
      </c>
      <c r="W944" s="4" t="str">
        <f t="array" ref="W944">XLOOKUP(R944,'Dados Funil'!$A:$A,'Dados Funil'!$L:$L,"")</f>
        <v/>
      </c>
      <c r="X944" s="4"/>
      <c r="Y944" s="4"/>
      <c r="Z944" s="7" t="str">
        <f t="shared" si="5"/>
        <v/>
      </c>
      <c r="AA944" s="4" t="str">
        <f t="shared" si="13"/>
        <v/>
      </c>
      <c r="AB944" s="4" t="str">
        <f t="array" ref="AB944">XLOOKUP(X944,'Dados Funil'!A:A,'Dados Funil'!O:O,"")</f>
        <v/>
      </c>
      <c r="AE944" s="7" t="str">
        <f t="shared" si="6"/>
        <v/>
      </c>
      <c r="AG944" s="4" t="str">
        <f t="array" ref="AG944">XLOOKUP(AC944,'Dados Funil'!A:A,'Dados Funil'!AM:AM,"")</f>
        <v/>
      </c>
      <c r="AH944" s="4" t="str">
        <f t="array" ref="AH944">XLOOKUP(AC944,'Dados Funil'!A:A,'Dados Funil'!AN:AN,"")</f>
        <v/>
      </c>
    </row>
    <row r="945">
      <c r="A945" s="4"/>
      <c r="B945" s="4"/>
      <c r="C945" s="7" t="str">
        <f t="shared" si="1"/>
        <v/>
      </c>
      <c r="D945" s="4" t="str">
        <f t="shared" si="9"/>
        <v/>
      </c>
      <c r="E945" s="4" t="str">
        <f t="array" ref="E945">XLOOKUP(A945,'Dados Funil'!$A:$A,'Dados Funil'!$K:$K,"")</f>
        <v/>
      </c>
      <c r="F945" s="4" t="str">
        <f t="array" ref="F945">XLOOKUP(A945,'Dados Funil'!$A:$A,'Dados Funil'!$L:$L,"")</f>
        <v/>
      </c>
      <c r="G945" s="4"/>
      <c r="H945" s="4"/>
      <c r="I945" s="7" t="str">
        <f t="shared" si="2"/>
        <v/>
      </c>
      <c r="J945" s="4" t="str">
        <f t="shared" si="10"/>
        <v/>
      </c>
      <c r="K945" s="4" t="str">
        <f t="array" ref="K945">XLOOKUP(G945,'Dados Funil'!A:A,'Dados Funil'!O:O,"")</f>
        <v/>
      </c>
      <c r="L945" s="4"/>
      <c r="M945" s="4"/>
      <c r="N945" s="7" t="str">
        <f t="shared" si="3"/>
        <v/>
      </c>
      <c r="O945" s="4" t="str">
        <f t="shared" si="11"/>
        <v/>
      </c>
      <c r="P945" s="4" t="str">
        <f t="array" ref="P945">XLOOKUP(L945,'Dados Funil'!A:A,'Dados Funil'!AM:AM,"")</f>
        <v/>
      </c>
      <c r="Q945" s="4" t="str">
        <f t="array" ref="Q945">XLOOKUP(L945,'Dados Funil'!A:A,'Dados Funil'!AN:AN,"")</f>
        <v/>
      </c>
      <c r="T945" s="7" t="str">
        <f t="shared" si="4"/>
        <v/>
      </c>
      <c r="U945" s="4" t="str">
        <f t="shared" si="12"/>
        <v/>
      </c>
      <c r="V945" s="4" t="str">
        <f t="array" ref="V945">XLOOKUP(R945,'Dados Funil'!$A:$A,'Dados Funil'!$K:$K,"")</f>
        <v/>
      </c>
      <c r="W945" s="4" t="str">
        <f t="array" ref="W945">XLOOKUP(R945,'Dados Funil'!$A:$A,'Dados Funil'!$L:$L,"")</f>
        <v/>
      </c>
      <c r="X945" s="4"/>
      <c r="Y945" s="4"/>
      <c r="Z945" s="7" t="str">
        <f t="shared" si="5"/>
        <v/>
      </c>
      <c r="AA945" s="4" t="str">
        <f t="shared" si="13"/>
        <v/>
      </c>
      <c r="AB945" s="4" t="str">
        <f t="array" ref="AB945">XLOOKUP(X945,'Dados Funil'!A:A,'Dados Funil'!O:O,"")</f>
        <v/>
      </c>
      <c r="AE945" s="7" t="str">
        <f t="shared" si="6"/>
        <v/>
      </c>
      <c r="AG945" s="4" t="str">
        <f t="array" ref="AG945">XLOOKUP(AC945,'Dados Funil'!A:A,'Dados Funil'!AM:AM,"")</f>
        <v/>
      </c>
      <c r="AH945" s="4" t="str">
        <f t="array" ref="AH945">XLOOKUP(AC945,'Dados Funil'!A:A,'Dados Funil'!AN:AN,"")</f>
        <v/>
      </c>
    </row>
    <row r="946">
      <c r="A946" s="4"/>
      <c r="B946" s="4"/>
      <c r="C946" s="7" t="str">
        <f t="shared" si="1"/>
        <v/>
      </c>
      <c r="D946" s="4" t="str">
        <f t="shared" si="9"/>
        <v/>
      </c>
      <c r="E946" s="4" t="str">
        <f t="array" ref="E946">XLOOKUP(A946,'Dados Funil'!$A:$A,'Dados Funil'!$K:$K,"")</f>
        <v/>
      </c>
      <c r="F946" s="4" t="str">
        <f t="array" ref="F946">XLOOKUP(A946,'Dados Funil'!$A:$A,'Dados Funil'!$L:$L,"")</f>
        <v/>
      </c>
      <c r="G946" s="4"/>
      <c r="H946" s="4"/>
      <c r="I946" s="7" t="str">
        <f t="shared" si="2"/>
        <v/>
      </c>
      <c r="J946" s="4" t="str">
        <f t="shared" si="10"/>
        <v/>
      </c>
      <c r="K946" s="4" t="str">
        <f t="array" ref="K946">XLOOKUP(G946,'Dados Funil'!A:A,'Dados Funil'!O:O,"")</f>
        <v/>
      </c>
      <c r="L946" s="4"/>
      <c r="M946" s="4"/>
      <c r="N946" s="7" t="str">
        <f t="shared" si="3"/>
        <v/>
      </c>
      <c r="O946" s="4" t="str">
        <f t="shared" si="11"/>
        <v/>
      </c>
      <c r="P946" s="4" t="str">
        <f t="array" ref="P946">XLOOKUP(L946,'Dados Funil'!A:A,'Dados Funil'!AM:AM,"")</f>
        <v/>
      </c>
      <c r="Q946" s="4" t="str">
        <f t="array" ref="Q946">XLOOKUP(L946,'Dados Funil'!A:A,'Dados Funil'!AN:AN,"")</f>
        <v/>
      </c>
      <c r="T946" s="7" t="str">
        <f t="shared" si="4"/>
        <v/>
      </c>
      <c r="U946" s="4" t="str">
        <f t="shared" si="12"/>
        <v/>
      </c>
      <c r="V946" s="4" t="str">
        <f t="array" ref="V946">XLOOKUP(R946,'Dados Funil'!$A:$A,'Dados Funil'!$K:$K,"")</f>
        <v/>
      </c>
      <c r="W946" s="4" t="str">
        <f t="array" ref="W946">XLOOKUP(R946,'Dados Funil'!$A:$A,'Dados Funil'!$L:$L,"")</f>
        <v/>
      </c>
      <c r="X946" s="4"/>
      <c r="Y946" s="4"/>
      <c r="Z946" s="7" t="str">
        <f t="shared" si="5"/>
        <v/>
      </c>
      <c r="AA946" s="4" t="str">
        <f t="shared" si="13"/>
        <v/>
      </c>
      <c r="AB946" s="4" t="str">
        <f t="array" ref="AB946">XLOOKUP(X946,'Dados Funil'!A:A,'Dados Funil'!O:O,"")</f>
        <v/>
      </c>
      <c r="AE946" s="7" t="str">
        <f t="shared" si="6"/>
        <v/>
      </c>
      <c r="AG946" s="4" t="str">
        <f t="array" ref="AG946">XLOOKUP(AC946,'Dados Funil'!A:A,'Dados Funil'!AM:AM,"")</f>
        <v/>
      </c>
      <c r="AH946" s="4" t="str">
        <f t="array" ref="AH946">XLOOKUP(AC946,'Dados Funil'!A:A,'Dados Funil'!AN:AN,"")</f>
        <v/>
      </c>
    </row>
    <row r="947">
      <c r="A947" s="4"/>
      <c r="B947" s="4"/>
      <c r="C947" s="7" t="str">
        <f t="shared" si="1"/>
        <v/>
      </c>
      <c r="D947" s="4" t="str">
        <f t="shared" si="9"/>
        <v/>
      </c>
      <c r="E947" s="4" t="str">
        <f t="array" ref="E947">XLOOKUP(A947,'Dados Funil'!$A:$A,'Dados Funil'!$K:$K,"")</f>
        <v/>
      </c>
      <c r="F947" s="4" t="str">
        <f t="array" ref="F947">XLOOKUP(A947,'Dados Funil'!$A:$A,'Dados Funil'!$L:$L,"")</f>
        <v/>
      </c>
      <c r="G947" s="4"/>
      <c r="H947" s="4"/>
      <c r="I947" s="7" t="str">
        <f t="shared" si="2"/>
        <v/>
      </c>
      <c r="J947" s="4" t="str">
        <f t="shared" si="10"/>
        <v/>
      </c>
      <c r="K947" s="4" t="str">
        <f t="array" ref="K947">XLOOKUP(G947,'Dados Funil'!A:A,'Dados Funil'!O:O,"")</f>
        <v/>
      </c>
      <c r="L947" s="4"/>
      <c r="M947" s="4"/>
      <c r="N947" s="7" t="str">
        <f t="shared" si="3"/>
        <v/>
      </c>
      <c r="O947" s="4" t="str">
        <f t="shared" si="11"/>
        <v/>
      </c>
      <c r="P947" s="4" t="str">
        <f t="array" ref="P947">XLOOKUP(L947,'Dados Funil'!A:A,'Dados Funil'!AM:AM,"")</f>
        <v/>
      </c>
      <c r="Q947" s="4" t="str">
        <f t="array" ref="Q947">XLOOKUP(L947,'Dados Funil'!A:A,'Dados Funil'!AN:AN,"")</f>
        <v/>
      </c>
      <c r="T947" s="7" t="str">
        <f t="shared" si="4"/>
        <v/>
      </c>
      <c r="U947" s="4" t="str">
        <f t="shared" si="12"/>
        <v/>
      </c>
      <c r="V947" s="4" t="str">
        <f t="array" ref="V947">XLOOKUP(R947,'Dados Funil'!$A:$A,'Dados Funil'!$K:$K,"")</f>
        <v/>
      </c>
      <c r="W947" s="4" t="str">
        <f t="array" ref="W947">XLOOKUP(R947,'Dados Funil'!$A:$A,'Dados Funil'!$L:$L,"")</f>
        <v/>
      </c>
      <c r="X947" s="4"/>
      <c r="Y947" s="4"/>
      <c r="Z947" s="7" t="str">
        <f t="shared" si="5"/>
        <v/>
      </c>
      <c r="AA947" s="4" t="str">
        <f t="shared" si="13"/>
        <v/>
      </c>
      <c r="AB947" s="4" t="str">
        <f t="array" ref="AB947">XLOOKUP(X947,'Dados Funil'!A:A,'Dados Funil'!O:O,"")</f>
        <v/>
      </c>
      <c r="AE947" s="7" t="str">
        <f t="shared" si="6"/>
        <v/>
      </c>
      <c r="AG947" s="4" t="str">
        <f t="array" ref="AG947">XLOOKUP(AC947,'Dados Funil'!A:A,'Dados Funil'!AM:AM,"")</f>
        <v/>
      </c>
      <c r="AH947" s="4" t="str">
        <f t="array" ref="AH947">XLOOKUP(AC947,'Dados Funil'!A:A,'Dados Funil'!AN:AN,"")</f>
        <v/>
      </c>
    </row>
    <row r="948">
      <c r="A948" s="4"/>
      <c r="B948" s="4"/>
      <c r="C948" s="7" t="str">
        <f t="shared" si="1"/>
        <v/>
      </c>
      <c r="D948" s="4" t="str">
        <f t="shared" si="9"/>
        <v/>
      </c>
      <c r="E948" s="4" t="str">
        <f t="array" ref="E948">XLOOKUP(A948,'Dados Funil'!$A:$A,'Dados Funil'!$K:$K,"")</f>
        <v/>
      </c>
      <c r="F948" s="4" t="str">
        <f t="array" ref="F948">XLOOKUP(A948,'Dados Funil'!$A:$A,'Dados Funil'!$L:$L,"")</f>
        <v/>
      </c>
      <c r="G948" s="4"/>
      <c r="H948" s="4"/>
      <c r="I948" s="7" t="str">
        <f t="shared" si="2"/>
        <v/>
      </c>
      <c r="J948" s="4" t="str">
        <f t="shared" si="10"/>
        <v/>
      </c>
      <c r="K948" s="4" t="str">
        <f t="array" ref="K948">XLOOKUP(G948,'Dados Funil'!A:A,'Dados Funil'!O:O,"")</f>
        <v/>
      </c>
      <c r="L948" s="4"/>
      <c r="M948" s="4"/>
      <c r="N948" s="7" t="str">
        <f t="shared" si="3"/>
        <v/>
      </c>
      <c r="O948" s="4" t="str">
        <f t="shared" si="11"/>
        <v/>
      </c>
      <c r="P948" s="4" t="str">
        <f t="array" ref="P948">XLOOKUP(L948,'Dados Funil'!A:A,'Dados Funil'!AM:AM,"")</f>
        <v/>
      </c>
      <c r="Q948" s="4" t="str">
        <f t="array" ref="Q948">XLOOKUP(L948,'Dados Funil'!A:A,'Dados Funil'!AN:AN,"")</f>
        <v/>
      </c>
      <c r="T948" s="7" t="str">
        <f t="shared" si="4"/>
        <v/>
      </c>
      <c r="U948" s="4" t="str">
        <f t="shared" si="12"/>
        <v/>
      </c>
      <c r="V948" s="4" t="str">
        <f t="array" ref="V948">XLOOKUP(R948,'Dados Funil'!$A:$A,'Dados Funil'!$K:$K,"")</f>
        <v/>
      </c>
      <c r="W948" s="4" t="str">
        <f t="array" ref="W948">XLOOKUP(R948,'Dados Funil'!$A:$A,'Dados Funil'!$L:$L,"")</f>
        <v/>
      </c>
      <c r="X948" s="4"/>
      <c r="Y948" s="4"/>
      <c r="Z948" s="7" t="str">
        <f t="shared" si="5"/>
        <v/>
      </c>
      <c r="AA948" s="4" t="str">
        <f t="shared" si="13"/>
        <v/>
      </c>
      <c r="AB948" s="4" t="str">
        <f t="array" ref="AB948">XLOOKUP(X948,'Dados Funil'!A:A,'Dados Funil'!O:O,"")</f>
        <v/>
      </c>
      <c r="AE948" s="7" t="str">
        <f t="shared" si="6"/>
        <v/>
      </c>
      <c r="AG948" s="4" t="str">
        <f t="array" ref="AG948">XLOOKUP(AC948,'Dados Funil'!A:A,'Dados Funil'!AM:AM,"")</f>
        <v/>
      </c>
      <c r="AH948" s="4" t="str">
        <f t="array" ref="AH948">XLOOKUP(AC948,'Dados Funil'!A:A,'Dados Funil'!AN:AN,"")</f>
        <v/>
      </c>
    </row>
    <row r="949">
      <c r="A949" s="4"/>
      <c r="B949" s="4"/>
      <c r="C949" s="7" t="str">
        <f t="shared" si="1"/>
        <v/>
      </c>
      <c r="D949" s="4" t="str">
        <f t="shared" si="9"/>
        <v/>
      </c>
      <c r="E949" s="4" t="str">
        <f t="array" ref="E949">XLOOKUP(A949,'Dados Funil'!$A:$A,'Dados Funil'!$K:$K,"")</f>
        <v/>
      </c>
      <c r="F949" s="4" t="str">
        <f t="array" ref="F949">XLOOKUP(A949,'Dados Funil'!$A:$A,'Dados Funil'!$L:$L,"")</f>
        <v/>
      </c>
      <c r="G949" s="4"/>
      <c r="H949" s="4"/>
      <c r="I949" s="7" t="str">
        <f t="shared" si="2"/>
        <v/>
      </c>
      <c r="J949" s="4" t="str">
        <f t="shared" si="10"/>
        <v/>
      </c>
      <c r="K949" s="4" t="str">
        <f t="array" ref="K949">XLOOKUP(G949,'Dados Funil'!A:A,'Dados Funil'!O:O,"")</f>
        <v/>
      </c>
      <c r="L949" s="4"/>
      <c r="M949" s="4"/>
      <c r="N949" s="7" t="str">
        <f t="shared" si="3"/>
        <v/>
      </c>
      <c r="O949" s="4" t="str">
        <f t="shared" si="11"/>
        <v/>
      </c>
      <c r="P949" s="4" t="str">
        <f t="array" ref="P949">XLOOKUP(L949,'Dados Funil'!A:A,'Dados Funil'!AM:AM,"")</f>
        <v/>
      </c>
      <c r="Q949" s="4" t="str">
        <f t="array" ref="Q949">XLOOKUP(L949,'Dados Funil'!A:A,'Dados Funil'!AN:AN,"")</f>
        <v/>
      </c>
      <c r="T949" s="7" t="str">
        <f t="shared" si="4"/>
        <v/>
      </c>
      <c r="U949" s="4" t="str">
        <f t="shared" si="12"/>
        <v/>
      </c>
      <c r="V949" s="4" t="str">
        <f t="array" ref="V949">XLOOKUP(R949,'Dados Funil'!$A:$A,'Dados Funil'!$K:$K,"")</f>
        <v/>
      </c>
      <c r="W949" s="4" t="str">
        <f t="array" ref="W949">XLOOKUP(R949,'Dados Funil'!$A:$A,'Dados Funil'!$L:$L,"")</f>
        <v/>
      </c>
      <c r="X949" s="4"/>
      <c r="Y949" s="4"/>
      <c r="Z949" s="7" t="str">
        <f t="shared" si="5"/>
        <v/>
      </c>
      <c r="AA949" s="4" t="str">
        <f t="shared" si="13"/>
        <v/>
      </c>
      <c r="AB949" s="4" t="str">
        <f t="array" ref="AB949">XLOOKUP(X949,'Dados Funil'!A:A,'Dados Funil'!O:O,"")</f>
        <v/>
      </c>
      <c r="AE949" s="7" t="str">
        <f t="shared" si="6"/>
        <v/>
      </c>
      <c r="AG949" s="4" t="str">
        <f t="array" ref="AG949">XLOOKUP(AC949,'Dados Funil'!A:A,'Dados Funil'!AM:AM,"")</f>
        <v/>
      </c>
      <c r="AH949" s="4" t="str">
        <f t="array" ref="AH949">XLOOKUP(AC949,'Dados Funil'!A:A,'Dados Funil'!AN:AN,"")</f>
        <v/>
      </c>
    </row>
    <row r="950">
      <c r="A950" s="4"/>
      <c r="B950" s="4"/>
      <c r="C950" s="7" t="str">
        <f t="shared" si="1"/>
        <v/>
      </c>
      <c r="D950" s="4" t="str">
        <f t="shared" si="9"/>
        <v/>
      </c>
      <c r="E950" s="4" t="str">
        <f t="array" ref="E950">XLOOKUP(A950,'Dados Funil'!$A:$A,'Dados Funil'!$K:$K,"")</f>
        <v/>
      </c>
      <c r="F950" s="4" t="str">
        <f t="array" ref="F950">XLOOKUP(A950,'Dados Funil'!$A:$A,'Dados Funil'!$L:$L,"")</f>
        <v/>
      </c>
      <c r="G950" s="4"/>
      <c r="H950" s="4"/>
      <c r="I950" s="7" t="str">
        <f t="shared" si="2"/>
        <v/>
      </c>
      <c r="J950" s="4" t="str">
        <f t="shared" si="10"/>
        <v/>
      </c>
      <c r="K950" s="4" t="str">
        <f t="array" ref="K950">XLOOKUP(G950,'Dados Funil'!A:A,'Dados Funil'!O:O,"")</f>
        <v/>
      </c>
      <c r="L950" s="4"/>
      <c r="M950" s="4"/>
      <c r="N950" s="7" t="str">
        <f t="shared" si="3"/>
        <v/>
      </c>
      <c r="O950" s="4" t="str">
        <f t="shared" si="11"/>
        <v/>
      </c>
      <c r="P950" s="4" t="str">
        <f t="array" ref="P950">XLOOKUP(L950,'Dados Funil'!A:A,'Dados Funil'!AM:AM,"")</f>
        <v/>
      </c>
      <c r="Q950" s="4" t="str">
        <f t="array" ref="Q950">XLOOKUP(L950,'Dados Funil'!A:A,'Dados Funil'!AN:AN,"")</f>
        <v/>
      </c>
      <c r="T950" s="7" t="str">
        <f t="shared" si="4"/>
        <v/>
      </c>
      <c r="U950" s="4" t="str">
        <f t="shared" si="12"/>
        <v/>
      </c>
      <c r="V950" s="4" t="str">
        <f t="array" ref="V950">XLOOKUP(R950,'Dados Funil'!$A:$A,'Dados Funil'!$K:$K,"")</f>
        <v/>
      </c>
      <c r="W950" s="4" t="str">
        <f t="array" ref="W950">XLOOKUP(R950,'Dados Funil'!$A:$A,'Dados Funil'!$L:$L,"")</f>
        <v/>
      </c>
      <c r="X950" s="4"/>
      <c r="Y950" s="4"/>
      <c r="Z950" s="7" t="str">
        <f t="shared" si="5"/>
        <v/>
      </c>
      <c r="AA950" s="4" t="str">
        <f t="shared" si="13"/>
        <v/>
      </c>
      <c r="AB950" s="4" t="str">
        <f t="array" ref="AB950">XLOOKUP(X950,'Dados Funil'!A:A,'Dados Funil'!O:O,"")</f>
        <v/>
      </c>
      <c r="AE950" s="7" t="str">
        <f t="shared" si="6"/>
        <v/>
      </c>
      <c r="AG950" s="4" t="str">
        <f t="array" ref="AG950">XLOOKUP(AC950,'Dados Funil'!A:A,'Dados Funil'!AM:AM,"")</f>
        <v/>
      </c>
      <c r="AH950" s="4" t="str">
        <f t="array" ref="AH950">XLOOKUP(AC950,'Dados Funil'!A:A,'Dados Funil'!AN:AN,"")</f>
        <v/>
      </c>
    </row>
    <row r="951">
      <c r="A951" s="4"/>
      <c r="B951" s="4"/>
      <c r="C951" s="7" t="str">
        <f t="shared" si="1"/>
        <v/>
      </c>
      <c r="D951" s="4" t="str">
        <f t="shared" si="9"/>
        <v/>
      </c>
      <c r="E951" s="4" t="str">
        <f t="array" ref="E951">XLOOKUP(A951,'Dados Funil'!$A:$A,'Dados Funil'!$K:$K,"")</f>
        <v/>
      </c>
      <c r="F951" s="4" t="str">
        <f t="array" ref="F951">XLOOKUP(A951,'Dados Funil'!$A:$A,'Dados Funil'!$L:$L,"")</f>
        <v/>
      </c>
      <c r="G951" s="4"/>
      <c r="H951" s="4"/>
      <c r="I951" s="7" t="str">
        <f t="shared" si="2"/>
        <v/>
      </c>
      <c r="J951" s="4" t="str">
        <f t="shared" si="10"/>
        <v/>
      </c>
      <c r="K951" s="4" t="str">
        <f t="array" ref="K951">XLOOKUP(G951,'Dados Funil'!A:A,'Dados Funil'!O:O,"")</f>
        <v/>
      </c>
      <c r="L951" s="4"/>
      <c r="M951" s="4"/>
      <c r="N951" s="7" t="str">
        <f t="shared" si="3"/>
        <v/>
      </c>
      <c r="O951" s="4" t="str">
        <f t="shared" si="11"/>
        <v/>
      </c>
      <c r="P951" s="4" t="str">
        <f t="array" ref="P951">XLOOKUP(L951,'Dados Funil'!A:A,'Dados Funil'!AM:AM,"")</f>
        <v/>
      </c>
      <c r="Q951" s="4" t="str">
        <f t="array" ref="Q951">XLOOKUP(L951,'Dados Funil'!A:A,'Dados Funil'!AN:AN,"")</f>
        <v/>
      </c>
      <c r="T951" s="7" t="str">
        <f t="shared" si="4"/>
        <v/>
      </c>
      <c r="U951" s="4" t="str">
        <f t="shared" si="12"/>
        <v/>
      </c>
      <c r="V951" s="4" t="str">
        <f t="array" ref="V951">XLOOKUP(R951,'Dados Funil'!$A:$A,'Dados Funil'!$K:$K,"")</f>
        <v/>
      </c>
      <c r="W951" s="4" t="str">
        <f t="array" ref="W951">XLOOKUP(R951,'Dados Funil'!$A:$A,'Dados Funil'!$L:$L,"")</f>
        <v/>
      </c>
      <c r="X951" s="4"/>
      <c r="Y951" s="4"/>
      <c r="Z951" s="7" t="str">
        <f t="shared" si="5"/>
        <v/>
      </c>
      <c r="AA951" s="4" t="str">
        <f t="shared" si="13"/>
        <v/>
      </c>
      <c r="AB951" s="4" t="str">
        <f t="array" ref="AB951">XLOOKUP(X951,'Dados Funil'!A:A,'Dados Funil'!O:O,"")</f>
        <v/>
      </c>
      <c r="AE951" s="7" t="str">
        <f t="shared" si="6"/>
        <v/>
      </c>
      <c r="AG951" s="4" t="str">
        <f t="array" ref="AG951">XLOOKUP(AC951,'Dados Funil'!A:A,'Dados Funil'!AM:AM,"")</f>
        <v/>
      </c>
      <c r="AH951" s="4" t="str">
        <f t="array" ref="AH951">XLOOKUP(AC951,'Dados Funil'!A:A,'Dados Funil'!AN:AN,"")</f>
        <v/>
      </c>
    </row>
    <row r="952">
      <c r="A952" s="4"/>
      <c r="B952" s="4"/>
      <c r="C952" s="7" t="str">
        <f t="shared" si="1"/>
        <v/>
      </c>
      <c r="D952" s="4" t="str">
        <f t="shared" si="9"/>
        <v/>
      </c>
      <c r="E952" s="4" t="str">
        <f t="array" ref="E952">XLOOKUP(A952,'Dados Funil'!$A:$A,'Dados Funil'!$K:$K,"")</f>
        <v/>
      </c>
      <c r="F952" s="4" t="str">
        <f t="array" ref="F952">XLOOKUP(A952,'Dados Funil'!$A:$A,'Dados Funil'!$L:$L,"")</f>
        <v/>
      </c>
      <c r="G952" s="4"/>
      <c r="H952" s="4"/>
      <c r="I952" s="7" t="str">
        <f t="shared" si="2"/>
        <v/>
      </c>
      <c r="J952" s="4" t="str">
        <f t="shared" si="10"/>
        <v/>
      </c>
      <c r="K952" s="4" t="str">
        <f t="array" ref="K952">XLOOKUP(G952,'Dados Funil'!A:A,'Dados Funil'!O:O,"")</f>
        <v/>
      </c>
      <c r="L952" s="4"/>
      <c r="M952" s="4"/>
      <c r="N952" s="7" t="str">
        <f t="shared" si="3"/>
        <v/>
      </c>
      <c r="O952" s="4" t="str">
        <f t="shared" si="11"/>
        <v/>
      </c>
      <c r="P952" s="4" t="str">
        <f t="array" ref="P952">XLOOKUP(L952,'Dados Funil'!A:A,'Dados Funil'!AM:AM,"")</f>
        <v/>
      </c>
      <c r="Q952" s="4" t="str">
        <f t="array" ref="Q952">XLOOKUP(L952,'Dados Funil'!A:A,'Dados Funil'!AN:AN,"")</f>
        <v/>
      </c>
      <c r="T952" s="7" t="str">
        <f t="shared" si="4"/>
        <v/>
      </c>
      <c r="U952" s="4" t="str">
        <f t="shared" si="12"/>
        <v/>
      </c>
      <c r="V952" s="4" t="str">
        <f t="array" ref="V952">XLOOKUP(R952,'Dados Funil'!$A:$A,'Dados Funil'!$K:$K,"")</f>
        <v/>
      </c>
      <c r="W952" s="4" t="str">
        <f t="array" ref="W952">XLOOKUP(R952,'Dados Funil'!$A:$A,'Dados Funil'!$L:$L,"")</f>
        <v/>
      </c>
      <c r="X952" s="4"/>
      <c r="Y952" s="4"/>
      <c r="Z952" s="7" t="str">
        <f t="shared" si="5"/>
        <v/>
      </c>
      <c r="AA952" s="4" t="str">
        <f t="shared" si="13"/>
        <v/>
      </c>
      <c r="AB952" s="4" t="str">
        <f t="array" ref="AB952">XLOOKUP(X952,'Dados Funil'!A:A,'Dados Funil'!O:O,"")</f>
        <v/>
      </c>
      <c r="AE952" s="7" t="str">
        <f t="shared" si="6"/>
        <v/>
      </c>
      <c r="AG952" s="4" t="str">
        <f t="array" ref="AG952">XLOOKUP(AC952,'Dados Funil'!A:A,'Dados Funil'!AM:AM,"")</f>
        <v/>
      </c>
      <c r="AH952" s="4" t="str">
        <f t="array" ref="AH952">XLOOKUP(AC952,'Dados Funil'!A:A,'Dados Funil'!AN:AN,"")</f>
        <v/>
      </c>
    </row>
    <row r="953">
      <c r="A953" s="4"/>
      <c r="B953" s="4"/>
      <c r="C953" s="7" t="str">
        <f t="shared" si="1"/>
        <v/>
      </c>
      <c r="D953" s="4" t="str">
        <f t="shared" si="9"/>
        <v/>
      </c>
      <c r="E953" s="4" t="str">
        <f t="array" ref="E953">XLOOKUP(A953,'Dados Funil'!$A:$A,'Dados Funil'!$K:$K,"")</f>
        <v/>
      </c>
      <c r="F953" s="4" t="str">
        <f t="array" ref="F953">XLOOKUP(A953,'Dados Funil'!$A:$A,'Dados Funil'!$L:$L,"")</f>
        <v/>
      </c>
      <c r="G953" s="4"/>
      <c r="H953" s="4"/>
      <c r="I953" s="7" t="str">
        <f t="shared" si="2"/>
        <v/>
      </c>
      <c r="J953" s="4" t="str">
        <f t="shared" si="10"/>
        <v/>
      </c>
      <c r="K953" s="4" t="str">
        <f t="array" ref="K953">XLOOKUP(G953,'Dados Funil'!A:A,'Dados Funil'!O:O,"")</f>
        <v/>
      </c>
      <c r="L953" s="4"/>
      <c r="M953" s="4"/>
      <c r="N953" s="7" t="str">
        <f t="shared" si="3"/>
        <v/>
      </c>
      <c r="O953" s="4" t="str">
        <f t="shared" si="11"/>
        <v/>
      </c>
      <c r="P953" s="4" t="str">
        <f t="array" ref="P953">XLOOKUP(L953,'Dados Funil'!A:A,'Dados Funil'!AM:AM,"")</f>
        <v/>
      </c>
      <c r="Q953" s="4" t="str">
        <f t="array" ref="Q953">XLOOKUP(L953,'Dados Funil'!A:A,'Dados Funil'!AN:AN,"")</f>
        <v/>
      </c>
      <c r="T953" s="7" t="str">
        <f t="shared" si="4"/>
        <v/>
      </c>
      <c r="U953" s="4" t="str">
        <f t="shared" si="12"/>
        <v/>
      </c>
      <c r="V953" s="4" t="str">
        <f t="array" ref="V953">XLOOKUP(R953,'Dados Funil'!$A:$A,'Dados Funil'!$K:$K,"")</f>
        <v/>
      </c>
      <c r="W953" s="4" t="str">
        <f t="array" ref="W953">XLOOKUP(R953,'Dados Funil'!$A:$A,'Dados Funil'!$L:$L,"")</f>
        <v/>
      </c>
      <c r="X953" s="4"/>
      <c r="Y953" s="4"/>
      <c r="Z953" s="7" t="str">
        <f t="shared" si="5"/>
        <v/>
      </c>
      <c r="AA953" s="4" t="str">
        <f t="shared" si="13"/>
        <v/>
      </c>
      <c r="AB953" s="4" t="str">
        <f t="array" ref="AB953">XLOOKUP(X953,'Dados Funil'!A:A,'Dados Funil'!O:O,"")</f>
        <v/>
      </c>
      <c r="AE953" s="7" t="str">
        <f t="shared" si="6"/>
        <v/>
      </c>
      <c r="AG953" s="4" t="str">
        <f t="array" ref="AG953">XLOOKUP(AC953,'Dados Funil'!A:A,'Dados Funil'!AM:AM,"")</f>
        <v/>
      </c>
      <c r="AH953" s="4" t="str">
        <f t="array" ref="AH953">XLOOKUP(AC953,'Dados Funil'!A:A,'Dados Funil'!AN:AN,"")</f>
        <v/>
      </c>
    </row>
    <row r="954">
      <c r="A954" s="4"/>
      <c r="B954" s="4"/>
      <c r="C954" s="7" t="str">
        <f t="shared" si="1"/>
        <v/>
      </c>
      <c r="D954" s="4" t="str">
        <f t="shared" si="9"/>
        <v/>
      </c>
      <c r="E954" s="4" t="str">
        <f t="array" ref="E954">XLOOKUP(A954,'Dados Funil'!$A:$A,'Dados Funil'!$K:$K,"")</f>
        <v/>
      </c>
      <c r="F954" s="4" t="str">
        <f t="array" ref="F954">XLOOKUP(A954,'Dados Funil'!$A:$A,'Dados Funil'!$L:$L,"")</f>
        <v/>
      </c>
      <c r="G954" s="4"/>
      <c r="H954" s="4"/>
      <c r="I954" s="7" t="str">
        <f t="shared" si="2"/>
        <v/>
      </c>
      <c r="J954" s="4" t="str">
        <f t="shared" si="10"/>
        <v/>
      </c>
      <c r="K954" s="4" t="str">
        <f t="array" ref="K954">XLOOKUP(G954,'Dados Funil'!A:A,'Dados Funil'!O:O,"")</f>
        <v/>
      </c>
      <c r="L954" s="4"/>
      <c r="M954" s="4"/>
      <c r="N954" s="7" t="str">
        <f t="shared" si="3"/>
        <v/>
      </c>
      <c r="O954" s="4" t="str">
        <f t="shared" si="11"/>
        <v/>
      </c>
      <c r="P954" s="4" t="str">
        <f t="array" ref="P954">XLOOKUP(L954,'Dados Funil'!A:A,'Dados Funil'!AM:AM,"")</f>
        <v/>
      </c>
      <c r="Q954" s="4" t="str">
        <f t="array" ref="Q954">XLOOKUP(L954,'Dados Funil'!A:A,'Dados Funil'!AN:AN,"")</f>
        <v/>
      </c>
      <c r="T954" s="7" t="str">
        <f t="shared" si="4"/>
        <v/>
      </c>
      <c r="U954" s="4" t="str">
        <f t="shared" si="12"/>
        <v/>
      </c>
      <c r="V954" s="4" t="str">
        <f t="array" ref="V954">XLOOKUP(R954,'Dados Funil'!$A:$A,'Dados Funil'!$K:$K,"")</f>
        <v/>
      </c>
      <c r="W954" s="4" t="str">
        <f t="array" ref="W954">XLOOKUP(R954,'Dados Funil'!$A:$A,'Dados Funil'!$L:$L,"")</f>
        <v/>
      </c>
      <c r="X954" s="4"/>
      <c r="Y954" s="4"/>
      <c r="Z954" s="7" t="str">
        <f t="shared" si="5"/>
        <v/>
      </c>
      <c r="AA954" s="4" t="str">
        <f t="shared" si="13"/>
        <v/>
      </c>
      <c r="AB954" s="4" t="str">
        <f t="array" ref="AB954">XLOOKUP(X954,'Dados Funil'!A:A,'Dados Funil'!O:O,"")</f>
        <v/>
      </c>
      <c r="AE954" s="7" t="str">
        <f t="shared" si="6"/>
        <v/>
      </c>
      <c r="AG954" s="4" t="str">
        <f t="array" ref="AG954">XLOOKUP(AC954,'Dados Funil'!A:A,'Dados Funil'!AM:AM,"")</f>
        <v/>
      </c>
      <c r="AH954" s="4" t="str">
        <f t="array" ref="AH954">XLOOKUP(AC954,'Dados Funil'!A:A,'Dados Funil'!AN:AN,"")</f>
        <v/>
      </c>
    </row>
    <row r="955">
      <c r="A955" s="4"/>
      <c r="B955" s="4"/>
      <c r="C955" s="7" t="str">
        <f t="shared" si="1"/>
        <v/>
      </c>
      <c r="D955" s="4" t="str">
        <f t="shared" si="9"/>
        <v/>
      </c>
      <c r="E955" s="4" t="str">
        <f t="array" ref="E955">XLOOKUP(A955,'Dados Funil'!$A:$A,'Dados Funil'!$K:$K,"")</f>
        <v/>
      </c>
      <c r="F955" s="4" t="str">
        <f t="array" ref="F955">XLOOKUP(A955,'Dados Funil'!$A:$A,'Dados Funil'!$L:$L,"")</f>
        <v/>
      </c>
      <c r="G955" s="4"/>
      <c r="H955" s="4"/>
      <c r="I955" s="7" t="str">
        <f t="shared" si="2"/>
        <v/>
      </c>
      <c r="J955" s="4" t="str">
        <f t="shared" si="10"/>
        <v/>
      </c>
      <c r="K955" s="4" t="str">
        <f t="array" ref="K955">XLOOKUP(G955,'Dados Funil'!A:A,'Dados Funil'!O:O,"")</f>
        <v/>
      </c>
      <c r="L955" s="4"/>
      <c r="M955" s="4"/>
      <c r="N955" s="7" t="str">
        <f t="shared" si="3"/>
        <v/>
      </c>
      <c r="O955" s="4" t="str">
        <f t="shared" si="11"/>
        <v/>
      </c>
      <c r="P955" s="4" t="str">
        <f t="array" ref="P955">XLOOKUP(L955,'Dados Funil'!A:A,'Dados Funil'!AM:AM,"")</f>
        <v/>
      </c>
      <c r="Q955" s="4" t="str">
        <f t="array" ref="Q955">XLOOKUP(L955,'Dados Funil'!A:A,'Dados Funil'!AN:AN,"")</f>
        <v/>
      </c>
      <c r="T955" s="7" t="str">
        <f t="shared" si="4"/>
        <v/>
      </c>
      <c r="U955" s="4" t="str">
        <f t="shared" si="12"/>
        <v/>
      </c>
      <c r="V955" s="4" t="str">
        <f t="array" ref="V955">XLOOKUP(R955,'Dados Funil'!$A:$A,'Dados Funil'!$K:$K,"")</f>
        <v/>
      </c>
      <c r="W955" s="4" t="str">
        <f t="array" ref="W955">XLOOKUP(R955,'Dados Funil'!$A:$A,'Dados Funil'!$L:$L,"")</f>
        <v/>
      </c>
      <c r="X955" s="4"/>
      <c r="Y955" s="4"/>
      <c r="Z955" s="7" t="str">
        <f t="shared" si="5"/>
        <v/>
      </c>
      <c r="AA955" s="4" t="str">
        <f t="shared" si="13"/>
        <v/>
      </c>
      <c r="AB955" s="4" t="str">
        <f t="array" ref="AB955">XLOOKUP(X955,'Dados Funil'!A:A,'Dados Funil'!O:O,"")</f>
        <v/>
      </c>
      <c r="AE955" s="7" t="str">
        <f t="shared" si="6"/>
        <v/>
      </c>
      <c r="AG955" s="4" t="str">
        <f t="array" ref="AG955">XLOOKUP(AC955,'Dados Funil'!A:A,'Dados Funil'!AM:AM,"")</f>
        <v/>
      </c>
      <c r="AH955" s="4" t="str">
        <f t="array" ref="AH955">XLOOKUP(AC955,'Dados Funil'!A:A,'Dados Funil'!AN:AN,"")</f>
        <v/>
      </c>
    </row>
    <row r="956">
      <c r="A956" s="4"/>
      <c r="B956" s="4"/>
      <c r="C956" s="7" t="str">
        <f t="shared" si="1"/>
        <v/>
      </c>
      <c r="D956" s="4" t="str">
        <f t="shared" si="9"/>
        <v/>
      </c>
      <c r="E956" s="4" t="str">
        <f t="array" ref="E956">XLOOKUP(A956,'Dados Funil'!$A:$A,'Dados Funil'!$K:$K,"")</f>
        <v/>
      </c>
      <c r="F956" s="4" t="str">
        <f t="array" ref="F956">XLOOKUP(A956,'Dados Funil'!$A:$A,'Dados Funil'!$L:$L,"")</f>
        <v/>
      </c>
      <c r="G956" s="4"/>
      <c r="H956" s="4"/>
      <c r="I956" s="7" t="str">
        <f t="shared" si="2"/>
        <v/>
      </c>
      <c r="J956" s="4" t="str">
        <f t="shared" si="10"/>
        <v/>
      </c>
      <c r="K956" s="4" t="str">
        <f t="array" ref="K956">XLOOKUP(G956,'Dados Funil'!A:A,'Dados Funil'!O:O,"")</f>
        <v/>
      </c>
      <c r="L956" s="4"/>
      <c r="M956" s="4"/>
      <c r="N956" s="7" t="str">
        <f t="shared" si="3"/>
        <v/>
      </c>
      <c r="O956" s="4" t="str">
        <f t="shared" si="11"/>
        <v/>
      </c>
      <c r="P956" s="4" t="str">
        <f t="array" ref="P956">XLOOKUP(L956,'Dados Funil'!A:A,'Dados Funil'!AM:AM,"")</f>
        <v/>
      </c>
      <c r="Q956" s="4" t="str">
        <f t="array" ref="Q956">XLOOKUP(L956,'Dados Funil'!A:A,'Dados Funil'!AN:AN,"")</f>
        <v/>
      </c>
      <c r="T956" s="7" t="str">
        <f t="shared" si="4"/>
        <v/>
      </c>
      <c r="U956" s="4" t="str">
        <f t="shared" si="12"/>
        <v/>
      </c>
      <c r="V956" s="4" t="str">
        <f t="array" ref="V956">XLOOKUP(R956,'Dados Funil'!$A:$A,'Dados Funil'!$K:$K,"")</f>
        <v/>
      </c>
      <c r="W956" s="4" t="str">
        <f t="array" ref="W956">XLOOKUP(R956,'Dados Funil'!$A:$A,'Dados Funil'!$L:$L,"")</f>
        <v/>
      </c>
      <c r="X956" s="4"/>
      <c r="Y956" s="4"/>
      <c r="Z956" s="7" t="str">
        <f t="shared" si="5"/>
        <v/>
      </c>
      <c r="AA956" s="4" t="str">
        <f t="shared" si="13"/>
        <v/>
      </c>
      <c r="AB956" s="4" t="str">
        <f t="array" ref="AB956">XLOOKUP(X956,'Dados Funil'!A:A,'Dados Funil'!O:O,"")</f>
        <v/>
      </c>
      <c r="AE956" s="7" t="str">
        <f t="shared" si="6"/>
        <v/>
      </c>
      <c r="AG956" s="4" t="str">
        <f t="array" ref="AG956">XLOOKUP(AC956,'Dados Funil'!A:A,'Dados Funil'!AM:AM,"")</f>
        <v/>
      </c>
      <c r="AH956" s="4" t="str">
        <f t="array" ref="AH956">XLOOKUP(AC956,'Dados Funil'!A:A,'Dados Funil'!AN:AN,"")</f>
        <v/>
      </c>
    </row>
    <row r="957">
      <c r="A957" s="4"/>
      <c r="B957" s="4"/>
      <c r="C957" s="7" t="str">
        <f t="shared" si="1"/>
        <v/>
      </c>
      <c r="D957" s="4" t="str">
        <f t="shared" si="9"/>
        <v/>
      </c>
      <c r="E957" s="4" t="str">
        <f t="array" ref="E957">XLOOKUP(A957,'Dados Funil'!$A:$A,'Dados Funil'!$K:$K,"")</f>
        <v/>
      </c>
      <c r="F957" s="4" t="str">
        <f t="array" ref="F957">XLOOKUP(A957,'Dados Funil'!$A:$A,'Dados Funil'!$L:$L,"")</f>
        <v/>
      </c>
      <c r="G957" s="4"/>
      <c r="H957" s="4"/>
      <c r="I957" s="7" t="str">
        <f t="shared" si="2"/>
        <v/>
      </c>
      <c r="J957" s="4" t="str">
        <f t="shared" si="10"/>
        <v/>
      </c>
      <c r="K957" s="4" t="str">
        <f t="array" ref="K957">XLOOKUP(G957,'Dados Funil'!A:A,'Dados Funil'!O:O,"")</f>
        <v/>
      </c>
      <c r="L957" s="4"/>
      <c r="M957" s="4"/>
      <c r="N957" s="7" t="str">
        <f t="shared" si="3"/>
        <v/>
      </c>
      <c r="O957" s="4" t="str">
        <f t="shared" si="11"/>
        <v/>
      </c>
      <c r="P957" s="4" t="str">
        <f t="array" ref="P957">XLOOKUP(L957,'Dados Funil'!A:A,'Dados Funil'!AM:AM,"")</f>
        <v/>
      </c>
      <c r="Q957" s="4" t="str">
        <f t="array" ref="Q957">XLOOKUP(L957,'Dados Funil'!A:A,'Dados Funil'!AN:AN,"")</f>
        <v/>
      </c>
      <c r="T957" s="7" t="str">
        <f t="shared" si="4"/>
        <v/>
      </c>
      <c r="U957" s="4" t="str">
        <f t="shared" si="12"/>
        <v/>
      </c>
      <c r="V957" s="4" t="str">
        <f t="array" ref="V957">XLOOKUP(R957,'Dados Funil'!$A:$A,'Dados Funil'!$K:$K,"")</f>
        <v/>
      </c>
      <c r="W957" s="4" t="str">
        <f t="array" ref="W957">XLOOKUP(R957,'Dados Funil'!$A:$A,'Dados Funil'!$L:$L,"")</f>
        <v/>
      </c>
      <c r="X957" s="4"/>
      <c r="Y957" s="4"/>
      <c r="Z957" s="7" t="str">
        <f t="shared" si="5"/>
        <v/>
      </c>
      <c r="AA957" s="4" t="str">
        <f t="shared" si="13"/>
        <v/>
      </c>
      <c r="AB957" s="4" t="str">
        <f t="array" ref="AB957">XLOOKUP(X957,'Dados Funil'!A:A,'Dados Funil'!O:O,"")</f>
        <v/>
      </c>
      <c r="AE957" s="7" t="str">
        <f t="shared" si="6"/>
        <v/>
      </c>
      <c r="AG957" s="4" t="str">
        <f t="array" ref="AG957">XLOOKUP(AC957,'Dados Funil'!A:A,'Dados Funil'!AM:AM,"")</f>
        <v/>
      </c>
      <c r="AH957" s="4" t="str">
        <f t="array" ref="AH957">XLOOKUP(AC957,'Dados Funil'!A:A,'Dados Funil'!AN:AN,"")</f>
        <v/>
      </c>
    </row>
    <row r="958">
      <c r="A958" s="4"/>
      <c r="B958" s="4"/>
      <c r="C958" s="7" t="str">
        <f t="shared" si="1"/>
        <v/>
      </c>
      <c r="D958" s="4" t="str">
        <f t="shared" si="9"/>
        <v/>
      </c>
      <c r="E958" s="4" t="str">
        <f t="array" ref="E958">XLOOKUP(A958,'Dados Funil'!$A:$A,'Dados Funil'!$K:$K,"")</f>
        <v/>
      </c>
      <c r="F958" s="4" t="str">
        <f t="array" ref="F958">XLOOKUP(A958,'Dados Funil'!$A:$A,'Dados Funil'!$L:$L,"")</f>
        <v/>
      </c>
      <c r="G958" s="4"/>
      <c r="H958" s="4"/>
      <c r="I958" s="7" t="str">
        <f t="shared" si="2"/>
        <v/>
      </c>
      <c r="J958" s="4" t="str">
        <f t="shared" si="10"/>
        <v/>
      </c>
      <c r="K958" s="4" t="str">
        <f t="array" ref="K958">XLOOKUP(G958,'Dados Funil'!A:A,'Dados Funil'!O:O,"")</f>
        <v/>
      </c>
      <c r="L958" s="4"/>
      <c r="M958" s="4"/>
      <c r="N958" s="7" t="str">
        <f t="shared" si="3"/>
        <v/>
      </c>
      <c r="O958" s="4" t="str">
        <f t="shared" si="11"/>
        <v/>
      </c>
      <c r="P958" s="4" t="str">
        <f t="array" ref="P958">XLOOKUP(L958,'Dados Funil'!A:A,'Dados Funil'!AM:AM,"")</f>
        <v/>
      </c>
      <c r="Q958" s="4" t="str">
        <f t="array" ref="Q958">XLOOKUP(L958,'Dados Funil'!A:A,'Dados Funil'!AN:AN,"")</f>
        <v/>
      </c>
      <c r="T958" s="7" t="str">
        <f t="shared" si="4"/>
        <v/>
      </c>
      <c r="U958" s="4" t="str">
        <f t="shared" si="12"/>
        <v/>
      </c>
      <c r="V958" s="4" t="str">
        <f t="array" ref="V958">XLOOKUP(R958,'Dados Funil'!$A:$A,'Dados Funil'!$K:$K,"")</f>
        <v/>
      </c>
      <c r="W958" s="4" t="str">
        <f t="array" ref="W958">XLOOKUP(R958,'Dados Funil'!$A:$A,'Dados Funil'!$L:$L,"")</f>
        <v/>
      </c>
      <c r="X958" s="4"/>
      <c r="Y958" s="4"/>
      <c r="Z958" s="7" t="str">
        <f t="shared" si="5"/>
        <v/>
      </c>
      <c r="AA958" s="4" t="str">
        <f t="shared" si="13"/>
        <v/>
      </c>
      <c r="AB958" s="4" t="str">
        <f t="array" ref="AB958">XLOOKUP(X958,'Dados Funil'!A:A,'Dados Funil'!O:O,"")</f>
        <v/>
      </c>
      <c r="AE958" s="7" t="str">
        <f t="shared" si="6"/>
        <v/>
      </c>
      <c r="AG958" s="4" t="str">
        <f t="array" ref="AG958">XLOOKUP(AC958,'Dados Funil'!A:A,'Dados Funil'!AM:AM,"")</f>
        <v/>
      </c>
      <c r="AH958" s="4" t="str">
        <f t="array" ref="AH958">XLOOKUP(AC958,'Dados Funil'!A:A,'Dados Funil'!AN:AN,"")</f>
        <v/>
      </c>
    </row>
    <row r="959">
      <c r="A959" s="4"/>
      <c r="B959" s="4"/>
      <c r="C959" s="7" t="str">
        <f t="shared" si="1"/>
        <v/>
      </c>
      <c r="D959" s="4" t="str">
        <f t="shared" si="9"/>
        <v/>
      </c>
      <c r="E959" s="4" t="str">
        <f t="array" ref="E959">XLOOKUP(A959,'Dados Funil'!$A:$A,'Dados Funil'!$K:$K,"")</f>
        <v/>
      </c>
      <c r="F959" s="4" t="str">
        <f t="array" ref="F959">XLOOKUP(A959,'Dados Funil'!$A:$A,'Dados Funil'!$L:$L,"")</f>
        <v/>
      </c>
      <c r="G959" s="4"/>
      <c r="H959" s="4"/>
      <c r="I959" s="7" t="str">
        <f t="shared" si="2"/>
        <v/>
      </c>
      <c r="J959" s="4" t="str">
        <f t="shared" si="10"/>
        <v/>
      </c>
      <c r="K959" s="4" t="str">
        <f t="array" ref="K959">XLOOKUP(G959,'Dados Funil'!A:A,'Dados Funil'!O:O,"")</f>
        <v/>
      </c>
      <c r="L959" s="4"/>
      <c r="M959" s="4"/>
      <c r="N959" s="7" t="str">
        <f t="shared" si="3"/>
        <v/>
      </c>
      <c r="O959" s="4" t="str">
        <f t="shared" si="11"/>
        <v/>
      </c>
      <c r="P959" s="4" t="str">
        <f t="array" ref="P959">XLOOKUP(L959,'Dados Funil'!A:A,'Dados Funil'!AM:AM,"")</f>
        <v/>
      </c>
      <c r="Q959" s="4" t="str">
        <f t="array" ref="Q959">XLOOKUP(L959,'Dados Funil'!A:A,'Dados Funil'!AN:AN,"")</f>
        <v/>
      </c>
      <c r="T959" s="7" t="str">
        <f t="shared" si="4"/>
        <v/>
      </c>
      <c r="U959" s="4" t="str">
        <f t="shared" si="12"/>
        <v/>
      </c>
      <c r="V959" s="4" t="str">
        <f t="array" ref="V959">XLOOKUP(R959,'Dados Funil'!$A:$A,'Dados Funil'!$K:$K,"")</f>
        <v/>
      </c>
      <c r="W959" s="4" t="str">
        <f t="array" ref="W959">XLOOKUP(R959,'Dados Funil'!$A:$A,'Dados Funil'!$L:$L,"")</f>
        <v/>
      </c>
      <c r="X959" s="4"/>
      <c r="Y959" s="4"/>
      <c r="Z959" s="7" t="str">
        <f t="shared" si="5"/>
        <v/>
      </c>
      <c r="AA959" s="4" t="str">
        <f t="shared" si="13"/>
        <v/>
      </c>
      <c r="AB959" s="4" t="str">
        <f t="array" ref="AB959">XLOOKUP(X959,'Dados Funil'!A:A,'Dados Funil'!O:O,"")</f>
        <v/>
      </c>
      <c r="AE959" s="7" t="str">
        <f t="shared" si="6"/>
        <v/>
      </c>
      <c r="AG959" s="4" t="str">
        <f t="array" ref="AG959">XLOOKUP(AC959,'Dados Funil'!A:A,'Dados Funil'!AM:AM,"")</f>
        <v/>
      </c>
      <c r="AH959" s="4" t="str">
        <f t="array" ref="AH959">XLOOKUP(AC959,'Dados Funil'!A:A,'Dados Funil'!AN:AN,"")</f>
        <v/>
      </c>
    </row>
    <row r="960">
      <c r="A960" s="4"/>
      <c r="B960" s="4"/>
      <c r="C960" s="7" t="str">
        <f t="shared" si="1"/>
        <v/>
      </c>
      <c r="D960" s="4" t="str">
        <f t="shared" si="9"/>
        <v/>
      </c>
      <c r="E960" s="4" t="str">
        <f t="array" ref="E960">XLOOKUP(A960,'Dados Funil'!$A:$A,'Dados Funil'!$K:$K,"")</f>
        <v/>
      </c>
      <c r="F960" s="4" t="str">
        <f t="array" ref="F960">XLOOKUP(A960,'Dados Funil'!$A:$A,'Dados Funil'!$L:$L,"")</f>
        <v/>
      </c>
      <c r="G960" s="4"/>
      <c r="H960" s="4"/>
      <c r="I960" s="7" t="str">
        <f t="shared" si="2"/>
        <v/>
      </c>
      <c r="J960" s="4" t="str">
        <f t="shared" si="10"/>
        <v/>
      </c>
      <c r="K960" s="4" t="str">
        <f t="array" ref="K960">XLOOKUP(G960,'Dados Funil'!A:A,'Dados Funil'!O:O,"")</f>
        <v/>
      </c>
      <c r="L960" s="4"/>
      <c r="M960" s="4"/>
      <c r="N960" s="7" t="str">
        <f t="shared" si="3"/>
        <v/>
      </c>
      <c r="O960" s="4" t="str">
        <f t="shared" si="11"/>
        <v/>
      </c>
      <c r="P960" s="4" t="str">
        <f t="array" ref="P960">XLOOKUP(L960,'Dados Funil'!A:A,'Dados Funil'!AM:AM,"")</f>
        <v/>
      </c>
      <c r="Q960" s="4" t="str">
        <f t="array" ref="Q960">XLOOKUP(L960,'Dados Funil'!A:A,'Dados Funil'!AN:AN,"")</f>
        <v/>
      </c>
      <c r="T960" s="7" t="str">
        <f t="shared" si="4"/>
        <v/>
      </c>
      <c r="U960" s="4" t="str">
        <f t="shared" si="12"/>
        <v/>
      </c>
      <c r="V960" s="4" t="str">
        <f t="array" ref="V960">XLOOKUP(R960,'Dados Funil'!$A:$A,'Dados Funil'!$K:$K,"")</f>
        <v/>
      </c>
      <c r="W960" s="4" t="str">
        <f t="array" ref="W960">XLOOKUP(R960,'Dados Funil'!$A:$A,'Dados Funil'!$L:$L,"")</f>
        <v/>
      </c>
      <c r="X960" s="4"/>
      <c r="Y960" s="4"/>
      <c r="Z960" s="7" t="str">
        <f t="shared" si="5"/>
        <v/>
      </c>
      <c r="AA960" s="4" t="str">
        <f t="shared" si="13"/>
        <v/>
      </c>
      <c r="AB960" s="4" t="str">
        <f t="array" ref="AB960">XLOOKUP(X960,'Dados Funil'!A:A,'Dados Funil'!O:O,"")</f>
        <v/>
      </c>
      <c r="AE960" s="7" t="str">
        <f t="shared" si="6"/>
        <v/>
      </c>
      <c r="AG960" s="4" t="str">
        <f t="array" ref="AG960">XLOOKUP(AC960,'Dados Funil'!A:A,'Dados Funil'!AM:AM,"")</f>
        <v/>
      </c>
      <c r="AH960" s="4" t="str">
        <f t="array" ref="AH960">XLOOKUP(AC960,'Dados Funil'!A:A,'Dados Funil'!AN:AN,"")</f>
        <v/>
      </c>
    </row>
    <row r="961">
      <c r="A961" s="4"/>
      <c r="B961" s="4"/>
      <c r="C961" s="7" t="str">
        <f t="shared" si="1"/>
        <v/>
      </c>
      <c r="D961" s="4" t="str">
        <f t="shared" si="9"/>
        <v/>
      </c>
      <c r="E961" s="4" t="str">
        <f t="array" ref="E961">XLOOKUP(A961,'Dados Funil'!$A:$A,'Dados Funil'!$K:$K,"")</f>
        <v/>
      </c>
      <c r="F961" s="4" t="str">
        <f t="array" ref="F961">XLOOKUP(A961,'Dados Funil'!$A:$A,'Dados Funil'!$L:$L,"")</f>
        <v/>
      </c>
      <c r="G961" s="4"/>
      <c r="H961" s="4"/>
      <c r="I961" s="7" t="str">
        <f t="shared" si="2"/>
        <v/>
      </c>
      <c r="J961" s="4" t="str">
        <f t="shared" si="10"/>
        <v/>
      </c>
      <c r="K961" s="4" t="str">
        <f t="array" ref="K961">XLOOKUP(G961,'Dados Funil'!A:A,'Dados Funil'!O:O,"")</f>
        <v/>
      </c>
      <c r="L961" s="4"/>
      <c r="M961" s="4"/>
      <c r="N961" s="7" t="str">
        <f t="shared" si="3"/>
        <v/>
      </c>
      <c r="O961" s="4" t="str">
        <f t="shared" si="11"/>
        <v/>
      </c>
      <c r="P961" s="4" t="str">
        <f t="array" ref="P961">XLOOKUP(L961,'Dados Funil'!A:A,'Dados Funil'!AM:AM,"")</f>
        <v/>
      </c>
      <c r="Q961" s="4" t="str">
        <f t="array" ref="Q961">XLOOKUP(L961,'Dados Funil'!A:A,'Dados Funil'!AN:AN,"")</f>
        <v/>
      </c>
      <c r="T961" s="7" t="str">
        <f t="shared" si="4"/>
        <v/>
      </c>
      <c r="U961" s="4" t="str">
        <f t="shared" si="12"/>
        <v/>
      </c>
      <c r="V961" s="4" t="str">
        <f t="array" ref="V961">XLOOKUP(R961,'Dados Funil'!$A:$A,'Dados Funil'!$K:$K,"")</f>
        <v/>
      </c>
      <c r="W961" s="4" t="str">
        <f t="array" ref="W961">XLOOKUP(R961,'Dados Funil'!$A:$A,'Dados Funil'!$L:$L,"")</f>
        <v/>
      </c>
      <c r="X961" s="4"/>
      <c r="Y961" s="4"/>
      <c r="Z961" s="7" t="str">
        <f t="shared" si="5"/>
        <v/>
      </c>
      <c r="AA961" s="4" t="str">
        <f t="shared" si="13"/>
        <v/>
      </c>
      <c r="AB961" s="4" t="str">
        <f t="array" ref="AB961">XLOOKUP(X961,'Dados Funil'!A:A,'Dados Funil'!O:O,"")</f>
        <v/>
      </c>
      <c r="AE961" s="7" t="str">
        <f t="shared" si="6"/>
        <v/>
      </c>
      <c r="AG961" s="4" t="str">
        <f t="array" ref="AG961">XLOOKUP(AC961,'Dados Funil'!A:A,'Dados Funil'!AM:AM,"")</f>
        <v/>
      </c>
      <c r="AH961" s="4" t="str">
        <f t="array" ref="AH961">XLOOKUP(AC961,'Dados Funil'!A:A,'Dados Funil'!AN:AN,"")</f>
        <v/>
      </c>
    </row>
    <row r="962">
      <c r="A962" s="4"/>
      <c r="B962" s="4"/>
      <c r="C962" s="7" t="str">
        <f t="shared" si="1"/>
        <v/>
      </c>
      <c r="D962" s="4" t="str">
        <f t="shared" si="9"/>
        <v/>
      </c>
      <c r="E962" s="4" t="str">
        <f t="array" ref="E962">XLOOKUP(A962,'Dados Funil'!$A:$A,'Dados Funil'!$K:$K,"")</f>
        <v/>
      </c>
      <c r="F962" s="4" t="str">
        <f t="array" ref="F962">XLOOKUP(A962,'Dados Funil'!$A:$A,'Dados Funil'!$L:$L,"")</f>
        <v/>
      </c>
      <c r="G962" s="4"/>
      <c r="H962" s="4"/>
      <c r="I962" s="7" t="str">
        <f t="shared" si="2"/>
        <v/>
      </c>
      <c r="J962" s="4" t="str">
        <f t="shared" si="10"/>
        <v/>
      </c>
      <c r="K962" s="4" t="str">
        <f t="array" ref="K962">XLOOKUP(G962,'Dados Funil'!A:A,'Dados Funil'!O:O,"")</f>
        <v/>
      </c>
      <c r="L962" s="4"/>
      <c r="M962" s="4"/>
      <c r="N962" s="7" t="str">
        <f t="shared" si="3"/>
        <v/>
      </c>
      <c r="O962" s="4" t="str">
        <f t="shared" si="11"/>
        <v/>
      </c>
      <c r="P962" s="4" t="str">
        <f t="array" ref="P962">XLOOKUP(L962,'Dados Funil'!A:A,'Dados Funil'!AM:AM,"")</f>
        <v/>
      </c>
      <c r="Q962" s="4" t="str">
        <f t="array" ref="Q962">XLOOKUP(L962,'Dados Funil'!A:A,'Dados Funil'!AN:AN,"")</f>
        <v/>
      </c>
      <c r="T962" s="7" t="str">
        <f t="shared" si="4"/>
        <v/>
      </c>
      <c r="U962" s="4" t="str">
        <f t="shared" si="12"/>
        <v/>
      </c>
      <c r="V962" s="4" t="str">
        <f t="array" ref="V962">XLOOKUP(R962,'Dados Funil'!$A:$A,'Dados Funil'!$K:$K,"")</f>
        <v/>
      </c>
      <c r="W962" s="4" t="str">
        <f t="array" ref="W962">XLOOKUP(R962,'Dados Funil'!$A:$A,'Dados Funil'!$L:$L,"")</f>
        <v/>
      </c>
      <c r="X962" s="4"/>
      <c r="Y962" s="4"/>
      <c r="Z962" s="7" t="str">
        <f t="shared" si="5"/>
        <v/>
      </c>
      <c r="AA962" s="4" t="str">
        <f t="shared" si="13"/>
        <v/>
      </c>
      <c r="AB962" s="4" t="str">
        <f t="array" ref="AB962">XLOOKUP(X962,'Dados Funil'!A:A,'Dados Funil'!O:O,"")</f>
        <v/>
      </c>
      <c r="AE962" s="7" t="str">
        <f t="shared" si="6"/>
        <v/>
      </c>
      <c r="AG962" s="4" t="str">
        <f t="array" ref="AG962">XLOOKUP(AC962,'Dados Funil'!A:A,'Dados Funil'!AM:AM,"")</f>
        <v/>
      </c>
      <c r="AH962" s="4" t="str">
        <f t="array" ref="AH962">XLOOKUP(AC962,'Dados Funil'!A:A,'Dados Funil'!AN:AN,"")</f>
        <v/>
      </c>
    </row>
    <row r="963">
      <c r="A963" s="4"/>
      <c r="B963" s="4"/>
      <c r="C963" s="7" t="str">
        <f t="shared" si="1"/>
        <v/>
      </c>
      <c r="D963" s="4" t="str">
        <f t="shared" si="9"/>
        <v/>
      </c>
      <c r="E963" s="4" t="str">
        <f t="array" ref="E963">XLOOKUP(A963,'Dados Funil'!$A:$A,'Dados Funil'!$K:$K,"")</f>
        <v/>
      </c>
      <c r="F963" s="4" t="str">
        <f t="array" ref="F963">XLOOKUP(A963,'Dados Funil'!$A:$A,'Dados Funil'!$L:$L,"")</f>
        <v/>
      </c>
      <c r="G963" s="4"/>
      <c r="H963" s="4"/>
      <c r="I963" s="7" t="str">
        <f t="shared" si="2"/>
        <v/>
      </c>
      <c r="J963" s="4" t="str">
        <f t="shared" si="10"/>
        <v/>
      </c>
      <c r="K963" s="4" t="str">
        <f t="array" ref="K963">XLOOKUP(G963,'Dados Funil'!A:A,'Dados Funil'!O:O,"")</f>
        <v/>
      </c>
      <c r="L963" s="4"/>
      <c r="M963" s="4"/>
      <c r="N963" s="7" t="str">
        <f t="shared" si="3"/>
        <v/>
      </c>
      <c r="O963" s="4" t="str">
        <f t="shared" si="11"/>
        <v/>
      </c>
      <c r="P963" s="4" t="str">
        <f t="array" ref="P963">XLOOKUP(L963,'Dados Funil'!A:A,'Dados Funil'!AM:AM,"")</f>
        <v/>
      </c>
      <c r="Q963" s="4" t="str">
        <f t="array" ref="Q963">XLOOKUP(L963,'Dados Funil'!A:A,'Dados Funil'!AN:AN,"")</f>
        <v/>
      </c>
      <c r="T963" s="7" t="str">
        <f t="shared" si="4"/>
        <v/>
      </c>
      <c r="U963" s="4" t="str">
        <f t="shared" si="12"/>
        <v/>
      </c>
      <c r="V963" s="4" t="str">
        <f t="array" ref="V963">XLOOKUP(R963,'Dados Funil'!$A:$A,'Dados Funil'!$K:$K,"")</f>
        <v/>
      </c>
      <c r="W963" s="4" t="str">
        <f t="array" ref="W963">XLOOKUP(R963,'Dados Funil'!$A:$A,'Dados Funil'!$L:$L,"")</f>
        <v/>
      </c>
      <c r="X963" s="4"/>
      <c r="Y963" s="4"/>
      <c r="Z963" s="7" t="str">
        <f t="shared" si="5"/>
        <v/>
      </c>
      <c r="AA963" s="4" t="str">
        <f t="shared" si="13"/>
        <v/>
      </c>
      <c r="AB963" s="4" t="str">
        <f t="array" ref="AB963">XLOOKUP(X963,'Dados Funil'!A:A,'Dados Funil'!O:O,"")</f>
        <v/>
      </c>
      <c r="AE963" s="7" t="str">
        <f t="shared" si="6"/>
        <v/>
      </c>
      <c r="AG963" s="4" t="str">
        <f t="array" ref="AG963">XLOOKUP(AC963,'Dados Funil'!A:A,'Dados Funil'!AM:AM,"")</f>
        <v/>
      </c>
      <c r="AH963" s="4" t="str">
        <f t="array" ref="AH963">XLOOKUP(AC963,'Dados Funil'!A:A,'Dados Funil'!AN:AN,"")</f>
        <v/>
      </c>
    </row>
    <row r="964">
      <c r="A964" s="4"/>
      <c r="B964" s="4"/>
      <c r="C964" s="7" t="str">
        <f t="shared" si="1"/>
        <v/>
      </c>
      <c r="D964" s="4" t="str">
        <f t="shared" si="9"/>
        <v/>
      </c>
      <c r="E964" s="4" t="str">
        <f t="array" ref="E964">XLOOKUP(A964,'Dados Funil'!$A:$A,'Dados Funil'!$K:$K,"")</f>
        <v/>
      </c>
      <c r="F964" s="4" t="str">
        <f t="array" ref="F964">XLOOKUP(A964,'Dados Funil'!$A:$A,'Dados Funil'!$L:$L,"")</f>
        <v/>
      </c>
      <c r="G964" s="4"/>
      <c r="H964" s="4"/>
      <c r="I964" s="7" t="str">
        <f t="shared" si="2"/>
        <v/>
      </c>
      <c r="J964" s="4" t="str">
        <f t="shared" si="10"/>
        <v/>
      </c>
      <c r="K964" s="4" t="str">
        <f t="array" ref="K964">XLOOKUP(G964,'Dados Funil'!A:A,'Dados Funil'!O:O,"")</f>
        <v/>
      </c>
      <c r="L964" s="4"/>
      <c r="M964" s="4"/>
      <c r="N964" s="7" t="str">
        <f t="shared" si="3"/>
        <v/>
      </c>
      <c r="O964" s="4" t="str">
        <f t="shared" si="11"/>
        <v/>
      </c>
      <c r="P964" s="4" t="str">
        <f t="array" ref="P964">XLOOKUP(L964,'Dados Funil'!A:A,'Dados Funil'!AM:AM,"")</f>
        <v/>
      </c>
      <c r="Q964" s="4" t="str">
        <f t="array" ref="Q964">XLOOKUP(L964,'Dados Funil'!A:A,'Dados Funil'!AN:AN,"")</f>
        <v/>
      </c>
      <c r="T964" s="7" t="str">
        <f t="shared" si="4"/>
        <v/>
      </c>
      <c r="U964" s="4" t="str">
        <f t="shared" si="12"/>
        <v/>
      </c>
      <c r="V964" s="4" t="str">
        <f t="array" ref="V964">XLOOKUP(R964,'Dados Funil'!$A:$A,'Dados Funil'!$K:$K,"")</f>
        <v/>
      </c>
      <c r="W964" s="4" t="str">
        <f t="array" ref="W964">XLOOKUP(R964,'Dados Funil'!$A:$A,'Dados Funil'!$L:$L,"")</f>
        <v/>
      </c>
      <c r="X964" s="4"/>
      <c r="Y964" s="4"/>
      <c r="Z964" s="7" t="str">
        <f t="shared" si="5"/>
        <v/>
      </c>
      <c r="AA964" s="4" t="str">
        <f t="shared" si="13"/>
        <v/>
      </c>
      <c r="AB964" s="4" t="str">
        <f t="array" ref="AB964">XLOOKUP(X964,'Dados Funil'!A:A,'Dados Funil'!O:O,"")</f>
        <v/>
      </c>
      <c r="AE964" s="7" t="str">
        <f t="shared" si="6"/>
        <v/>
      </c>
      <c r="AG964" s="4" t="str">
        <f t="array" ref="AG964">XLOOKUP(AC964,'Dados Funil'!A:A,'Dados Funil'!AM:AM,"")</f>
        <v/>
      </c>
      <c r="AH964" s="4" t="str">
        <f t="array" ref="AH964">XLOOKUP(AC964,'Dados Funil'!A:A,'Dados Funil'!AN:AN,"")</f>
        <v/>
      </c>
    </row>
    <row r="965">
      <c r="A965" s="4"/>
      <c r="B965" s="4"/>
      <c r="C965" s="7" t="str">
        <f t="shared" si="1"/>
        <v/>
      </c>
      <c r="D965" s="4" t="str">
        <f t="shared" si="9"/>
        <v/>
      </c>
      <c r="E965" s="4" t="str">
        <f t="array" ref="E965">XLOOKUP(A965,'Dados Funil'!$A:$A,'Dados Funil'!$K:$K,"")</f>
        <v/>
      </c>
      <c r="F965" s="4" t="str">
        <f t="array" ref="F965">XLOOKUP(A965,'Dados Funil'!$A:$A,'Dados Funil'!$L:$L,"")</f>
        <v/>
      </c>
      <c r="G965" s="4"/>
      <c r="H965" s="4"/>
      <c r="I965" s="7" t="str">
        <f t="shared" si="2"/>
        <v/>
      </c>
      <c r="J965" s="4" t="str">
        <f t="shared" si="10"/>
        <v/>
      </c>
      <c r="K965" s="4" t="str">
        <f t="array" ref="K965">XLOOKUP(G965,'Dados Funil'!A:A,'Dados Funil'!O:O,"")</f>
        <v/>
      </c>
      <c r="L965" s="4"/>
      <c r="M965" s="4"/>
      <c r="N965" s="7" t="str">
        <f t="shared" si="3"/>
        <v/>
      </c>
      <c r="O965" s="4" t="str">
        <f t="shared" si="11"/>
        <v/>
      </c>
      <c r="P965" s="4" t="str">
        <f t="array" ref="P965">XLOOKUP(L965,'Dados Funil'!A:A,'Dados Funil'!AM:AM,"")</f>
        <v/>
      </c>
      <c r="Q965" s="4" t="str">
        <f t="array" ref="Q965">XLOOKUP(L965,'Dados Funil'!A:A,'Dados Funil'!AN:AN,"")</f>
        <v/>
      </c>
      <c r="T965" s="7" t="str">
        <f t="shared" si="4"/>
        <v/>
      </c>
      <c r="U965" s="4" t="str">
        <f t="shared" si="12"/>
        <v/>
      </c>
      <c r="V965" s="4" t="str">
        <f t="array" ref="V965">XLOOKUP(R965,'Dados Funil'!$A:$A,'Dados Funil'!$K:$K,"")</f>
        <v/>
      </c>
      <c r="W965" s="4" t="str">
        <f t="array" ref="W965">XLOOKUP(R965,'Dados Funil'!$A:$A,'Dados Funil'!$L:$L,"")</f>
        <v/>
      </c>
      <c r="X965" s="4"/>
      <c r="Y965" s="4"/>
      <c r="Z965" s="7" t="str">
        <f t="shared" si="5"/>
        <v/>
      </c>
      <c r="AA965" s="4" t="str">
        <f t="shared" si="13"/>
        <v/>
      </c>
      <c r="AB965" s="4" t="str">
        <f t="array" ref="AB965">XLOOKUP(X965,'Dados Funil'!A:A,'Dados Funil'!O:O,"")</f>
        <v/>
      </c>
      <c r="AE965" s="7" t="str">
        <f t="shared" si="6"/>
        <v/>
      </c>
      <c r="AG965" s="4" t="str">
        <f t="array" ref="AG965">XLOOKUP(AC965,'Dados Funil'!A:A,'Dados Funil'!AM:AM,"")</f>
        <v/>
      </c>
      <c r="AH965" s="4" t="str">
        <f t="array" ref="AH965">XLOOKUP(AC965,'Dados Funil'!A:A,'Dados Funil'!AN:AN,"")</f>
        <v/>
      </c>
    </row>
    <row r="966">
      <c r="A966" s="4"/>
      <c r="B966" s="4"/>
      <c r="C966" s="7" t="str">
        <f t="shared" si="1"/>
        <v/>
      </c>
      <c r="D966" s="4" t="str">
        <f t="shared" si="9"/>
        <v/>
      </c>
      <c r="E966" s="4" t="str">
        <f t="array" ref="E966">XLOOKUP(A966,'Dados Funil'!$A:$A,'Dados Funil'!$K:$K,"")</f>
        <v/>
      </c>
      <c r="F966" s="4" t="str">
        <f t="array" ref="F966">XLOOKUP(A966,'Dados Funil'!$A:$A,'Dados Funil'!$L:$L,"")</f>
        <v/>
      </c>
      <c r="G966" s="4"/>
      <c r="H966" s="4"/>
      <c r="I966" s="7" t="str">
        <f t="shared" si="2"/>
        <v/>
      </c>
      <c r="J966" s="4" t="str">
        <f t="shared" si="10"/>
        <v/>
      </c>
      <c r="K966" s="4" t="str">
        <f t="array" ref="K966">XLOOKUP(G966,'Dados Funil'!A:A,'Dados Funil'!O:O,"")</f>
        <v/>
      </c>
      <c r="L966" s="4"/>
      <c r="M966" s="4"/>
      <c r="N966" s="7" t="str">
        <f t="shared" si="3"/>
        <v/>
      </c>
      <c r="O966" s="4" t="str">
        <f t="shared" si="11"/>
        <v/>
      </c>
      <c r="P966" s="4" t="str">
        <f t="array" ref="P966">XLOOKUP(L966,'Dados Funil'!A:A,'Dados Funil'!AM:AM,"")</f>
        <v/>
      </c>
      <c r="Q966" s="4" t="str">
        <f t="array" ref="Q966">XLOOKUP(L966,'Dados Funil'!A:A,'Dados Funil'!AN:AN,"")</f>
        <v/>
      </c>
      <c r="T966" s="7" t="str">
        <f t="shared" si="4"/>
        <v/>
      </c>
      <c r="U966" s="4" t="str">
        <f t="shared" si="12"/>
        <v/>
      </c>
      <c r="V966" s="4" t="str">
        <f t="array" ref="V966">XLOOKUP(R966,'Dados Funil'!$A:$A,'Dados Funil'!$K:$K,"")</f>
        <v/>
      </c>
      <c r="W966" s="4" t="str">
        <f t="array" ref="W966">XLOOKUP(R966,'Dados Funil'!$A:$A,'Dados Funil'!$L:$L,"")</f>
        <v/>
      </c>
      <c r="X966" s="4"/>
      <c r="Y966" s="4"/>
      <c r="Z966" s="7" t="str">
        <f t="shared" si="5"/>
        <v/>
      </c>
      <c r="AA966" s="4" t="str">
        <f t="shared" si="13"/>
        <v/>
      </c>
      <c r="AB966" s="4" t="str">
        <f t="array" ref="AB966">XLOOKUP(X966,'Dados Funil'!A:A,'Dados Funil'!O:O,"")</f>
        <v/>
      </c>
      <c r="AE966" s="7" t="str">
        <f t="shared" si="6"/>
        <v/>
      </c>
      <c r="AG966" s="4" t="str">
        <f t="array" ref="AG966">XLOOKUP(AC966,'Dados Funil'!A:A,'Dados Funil'!AM:AM,"")</f>
        <v/>
      </c>
      <c r="AH966" s="4" t="str">
        <f t="array" ref="AH966">XLOOKUP(AC966,'Dados Funil'!A:A,'Dados Funil'!AN:AN,"")</f>
        <v/>
      </c>
    </row>
    <row r="967">
      <c r="A967" s="4"/>
      <c r="B967" s="4"/>
      <c r="C967" s="7" t="str">
        <f t="shared" si="1"/>
        <v/>
      </c>
      <c r="D967" s="4" t="str">
        <f t="shared" si="9"/>
        <v/>
      </c>
      <c r="E967" s="4" t="str">
        <f t="array" ref="E967">XLOOKUP(A967,'Dados Funil'!$A:$A,'Dados Funil'!$K:$K,"")</f>
        <v/>
      </c>
      <c r="F967" s="4" t="str">
        <f t="array" ref="F967">XLOOKUP(A967,'Dados Funil'!$A:$A,'Dados Funil'!$L:$L,"")</f>
        <v/>
      </c>
      <c r="G967" s="4"/>
      <c r="H967" s="4"/>
      <c r="I967" s="7" t="str">
        <f t="shared" si="2"/>
        <v/>
      </c>
      <c r="J967" s="4" t="str">
        <f t="shared" si="10"/>
        <v/>
      </c>
      <c r="K967" s="4" t="str">
        <f t="array" ref="K967">XLOOKUP(G967,'Dados Funil'!A:A,'Dados Funil'!O:O,"")</f>
        <v/>
      </c>
      <c r="L967" s="4"/>
      <c r="M967" s="4"/>
      <c r="N967" s="7" t="str">
        <f t="shared" si="3"/>
        <v/>
      </c>
      <c r="O967" s="4" t="str">
        <f t="shared" si="11"/>
        <v/>
      </c>
      <c r="P967" s="4" t="str">
        <f t="array" ref="P967">XLOOKUP(L967,'Dados Funil'!A:A,'Dados Funil'!AM:AM,"")</f>
        <v/>
      </c>
      <c r="Q967" s="4" t="str">
        <f t="array" ref="Q967">XLOOKUP(L967,'Dados Funil'!A:A,'Dados Funil'!AN:AN,"")</f>
        <v/>
      </c>
      <c r="T967" s="7" t="str">
        <f t="shared" si="4"/>
        <v/>
      </c>
      <c r="U967" s="4" t="str">
        <f t="shared" si="12"/>
        <v/>
      </c>
      <c r="V967" s="4" t="str">
        <f t="array" ref="V967">XLOOKUP(R967,'Dados Funil'!$A:$A,'Dados Funil'!$K:$K,"")</f>
        <v/>
      </c>
      <c r="W967" s="4" t="str">
        <f t="array" ref="W967">XLOOKUP(R967,'Dados Funil'!$A:$A,'Dados Funil'!$L:$L,"")</f>
        <v/>
      </c>
      <c r="X967" s="4"/>
      <c r="Y967" s="4"/>
      <c r="Z967" s="7" t="str">
        <f t="shared" si="5"/>
        <v/>
      </c>
      <c r="AA967" s="4" t="str">
        <f t="shared" si="13"/>
        <v/>
      </c>
      <c r="AB967" s="4" t="str">
        <f t="array" ref="AB967">XLOOKUP(X967,'Dados Funil'!A:A,'Dados Funil'!O:O,"")</f>
        <v/>
      </c>
      <c r="AE967" s="7" t="str">
        <f t="shared" si="6"/>
        <v/>
      </c>
      <c r="AG967" s="4" t="str">
        <f t="array" ref="AG967">XLOOKUP(AC967,'Dados Funil'!A:A,'Dados Funil'!AM:AM,"")</f>
        <v/>
      </c>
      <c r="AH967" s="4" t="str">
        <f t="array" ref="AH967">XLOOKUP(AC967,'Dados Funil'!A:A,'Dados Funil'!AN:AN,"")</f>
        <v/>
      </c>
    </row>
    <row r="968">
      <c r="A968" s="4"/>
      <c r="B968" s="4"/>
      <c r="C968" s="7" t="str">
        <f t="shared" si="1"/>
        <v/>
      </c>
      <c r="D968" s="4" t="str">
        <f t="shared" si="9"/>
        <v/>
      </c>
      <c r="E968" s="4" t="str">
        <f t="array" ref="E968">XLOOKUP(A968,'Dados Funil'!$A:$A,'Dados Funil'!$K:$K,"")</f>
        <v/>
      </c>
      <c r="F968" s="4" t="str">
        <f t="array" ref="F968">XLOOKUP(A968,'Dados Funil'!$A:$A,'Dados Funil'!$L:$L,"")</f>
        <v/>
      </c>
      <c r="G968" s="4"/>
      <c r="H968" s="4"/>
      <c r="I968" s="7" t="str">
        <f t="shared" si="2"/>
        <v/>
      </c>
      <c r="J968" s="4" t="str">
        <f t="shared" si="10"/>
        <v/>
      </c>
      <c r="K968" s="4" t="str">
        <f t="array" ref="K968">XLOOKUP(G968,'Dados Funil'!A:A,'Dados Funil'!O:O,"")</f>
        <v/>
      </c>
      <c r="L968" s="4"/>
      <c r="M968" s="4"/>
      <c r="N968" s="7" t="str">
        <f t="shared" si="3"/>
        <v/>
      </c>
      <c r="O968" s="4" t="str">
        <f t="shared" si="11"/>
        <v/>
      </c>
      <c r="P968" s="4" t="str">
        <f t="array" ref="P968">XLOOKUP(L968,'Dados Funil'!A:A,'Dados Funil'!AM:AM,"")</f>
        <v/>
      </c>
      <c r="Q968" s="4" t="str">
        <f t="array" ref="Q968">XLOOKUP(L968,'Dados Funil'!A:A,'Dados Funil'!AN:AN,"")</f>
        <v/>
      </c>
      <c r="T968" s="7" t="str">
        <f t="shared" si="4"/>
        <v/>
      </c>
      <c r="U968" s="4" t="str">
        <f t="shared" si="12"/>
        <v/>
      </c>
      <c r="V968" s="4" t="str">
        <f t="array" ref="V968">XLOOKUP(R968,'Dados Funil'!$A:$A,'Dados Funil'!$K:$K,"")</f>
        <v/>
      </c>
      <c r="W968" s="4" t="str">
        <f t="array" ref="W968">XLOOKUP(R968,'Dados Funil'!$A:$A,'Dados Funil'!$L:$L,"")</f>
        <v/>
      </c>
      <c r="X968" s="4"/>
      <c r="Y968" s="4"/>
      <c r="Z968" s="7" t="str">
        <f t="shared" si="5"/>
        <v/>
      </c>
      <c r="AA968" s="4" t="str">
        <f t="shared" si="13"/>
        <v/>
      </c>
      <c r="AB968" s="4" t="str">
        <f t="array" ref="AB968">XLOOKUP(X968,'Dados Funil'!A:A,'Dados Funil'!O:O,"")</f>
        <v/>
      </c>
      <c r="AE968" s="7" t="str">
        <f t="shared" si="6"/>
        <v/>
      </c>
      <c r="AG968" s="4" t="str">
        <f t="array" ref="AG968">XLOOKUP(AC968,'Dados Funil'!A:A,'Dados Funil'!AM:AM,"")</f>
        <v/>
      </c>
      <c r="AH968" s="4" t="str">
        <f t="array" ref="AH968">XLOOKUP(AC968,'Dados Funil'!A:A,'Dados Funil'!AN:AN,"")</f>
        <v/>
      </c>
    </row>
    <row r="969">
      <c r="A969" s="4"/>
      <c r="B969" s="4"/>
      <c r="C969" s="7" t="str">
        <f t="shared" si="1"/>
        <v/>
      </c>
      <c r="D969" s="4" t="str">
        <f t="shared" si="9"/>
        <v/>
      </c>
      <c r="E969" s="4" t="str">
        <f t="array" ref="E969">XLOOKUP(A969,'Dados Funil'!$A:$A,'Dados Funil'!$K:$K,"")</f>
        <v/>
      </c>
      <c r="F969" s="4" t="str">
        <f t="array" ref="F969">XLOOKUP(A969,'Dados Funil'!$A:$A,'Dados Funil'!$L:$L,"")</f>
        <v/>
      </c>
      <c r="G969" s="4"/>
      <c r="H969" s="4"/>
      <c r="I969" s="7" t="str">
        <f t="shared" si="2"/>
        <v/>
      </c>
      <c r="J969" s="4" t="str">
        <f t="shared" si="10"/>
        <v/>
      </c>
      <c r="K969" s="4" t="str">
        <f t="array" ref="K969">XLOOKUP(G969,'Dados Funil'!A:A,'Dados Funil'!O:O,"")</f>
        <v/>
      </c>
      <c r="L969" s="4"/>
      <c r="M969" s="4"/>
      <c r="N969" s="7" t="str">
        <f t="shared" si="3"/>
        <v/>
      </c>
      <c r="O969" s="4" t="str">
        <f t="shared" si="11"/>
        <v/>
      </c>
      <c r="P969" s="4" t="str">
        <f t="array" ref="P969">XLOOKUP(L969,'Dados Funil'!A:A,'Dados Funil'!AM:AM,"")</f>
        <v/>
      </c>
      <c r="Q969" s="4" t="str">
        <f t="array" ref="Q969">XLOOKUP(L969,'Dados Funil'!A:A,'Dados Funil'!AN:AN,"")</f>
        <v/>
      </c>
      <c r="T969" s="7" t="str">
        <f t="shared" si="4"/>
        <v/>
      </c>
      <c r="U969" s="4" t="str">
        <f t="shared" si="12"/>
        <v/>
      </c>
      <c r="V969" s="4" t="str">
        <f t="array" ref="V969">XLOOKUP(R969,'Dados Funil'!$A:$A,'Dados Funil'!$K:$K,"")</f>
        <v/>
      </c>
      <c r="W969" s="4" t="str">
        <f t="array" ref="W969">XLOOKUP(R969,'Dados Funil'!$A:$A,'Dados Funil'!$L:$L,"")</f>
        <v/>
      </c>
      <c r="X969" s="4"/>
      <c r="Y969" s="4"/>
      <c r="Z969" s="7" t="str">
        <f t="shared" si="5"/>
        <v/>
      </c>
      <c r="AA969" s="4" t="str">
        <f t="shared" si="13"/>
        <v/>
      </c>
      <c r="AB969" s="4" t="str">
        <f t="array" ref="AB969">XLOOKUP(X969,'Dados Funil'!A:A,'Dados Funil'!O:O,"")</f>
        <v/>
      </c>
      <c r="AE969" s="7" t="str">
        <f t="shared" si="6"/>
        <v/>
      </c>
      <c r="AG969" s="4" t="str">
        <f t="array" ref="AG969">XLOOKUP(AC969,'Dados Funil'!A:A,'Dados Funil'!AM:AM,"")</f>
        <v/>
      </c>
      <c r="AH969" s="4" t="str">
        <f t="array" ref="AH969">XLOOKUP(AC969,'Dados Funil'!A:A,'Dados Funil'!AN:AN,"")</f>
        <v/>
      </c>
    </row>
    <row r="970">
      <c r="A970" s="4"/>
      <c r="B970" s="4"/>
      <c r="C970" s="7" t="str">
        <f t="shared" si="1"/>
        <v/>
      </c>
      <c r="D970" s="4" t="str">
        <f t="shared" si="9"/>
        <v/>
      </c>
      <c r="E970" s="4" t="str">
        <f t="array" ref="E970">XLOOKUP(A970,'Dados Funil'!$A:$A,'Dados Funil'!$K:$K,"")</f>
        <v/>
      </c>
      <c r="F970" s="4" t="str">
        <f t="array" ref="F970">XLOOKUP(A970,'Dados Funil'!$A:$A,'Dados Funil'!$L:$L,"")</f>
        <v/>
      </c>
      <c r="G970" s="4"/>
      <c r="H970" s="4"/>
      <c r="I970" s="7" t="str">
        <f t="shared" si="2"/>
        <v/>
      </c>
      <c r="J970" s="4" t="str">
        <f t="shared" si="10"/>
        <v/>
      </c>
      <c r="K970" s="4" t="str">
        <f t="array" ref="K970">XLOOKUP(G970,'Dados Funil'!A:A,'Dados Funil'!O:O,"")</f>
        <v/>
      </c>
      <c r="L970" s="4"/>
      <c r="M970" s="4"/>
      <c r="N970" s="7" t="str">
        <f t="shared" si="3"/>
        <v/>
      </c>
      <c r="O970" s="4" t="str">
        <f t="shared" si="11"/>
        <v/>
      </c>
      <c r="P970" s="4" t="str">
        <f t="array" ref="P970">XLOOKUP(L970,'Dados Funil'!A:A,'Dados Funil'!AM:AM,"")</f>
        <v/>
      </c>
      <c r="Q970" s="4" t="str">
        <f t="array" ref="Q970">XLOOKUP(L970,'Dados Funil'!A:A,'Dados Funil'!AN:AN,"")</f>
        <v/>
      </c>
      <c r="T970" s="7" t="str">
        <f t="shared" si="4"/>
        <v/>
      </c>
      <c r="U970" s="4" t="str">
        <f t="shared" si="12"/>
        <v/>
      </c>
      <c r="V970" s="4" t="str">
        <f t="array" ref="V970">XLOOKUP(R970,'Dados Funil'!$A:$A,'Dados Funil'!$K:$K,"")</f>
        <v/>
      </c>
      <c r="W970" s="4" t="str">
        <f t="array" ref="W970">XLOOKUP(R970,'Dados Funil'!$A:$A,'Dados Funil'!$L:$L,"")</f>
        <v/>
      </c>
      <c r="X970" s="4"/>
      <c r="Y970" s="4"/>
      <c r="Z970" s="7" t="str">
        <f t="shared" si="5"/>
        <v/>
      </c>
      <c r="AA970" s="4" t="str">
        <f t="shared" si="13"/>
        <v/>
      </c>
      <c r="AB970" s="4" t="str">
        <f t="array" ref="AB970">XLOOKUP(X970,'Dados Funil'!A:A,'Dados Funil'!O:O,"")</f>
        <v/>
      </c>
      <c r="AE970" s="7" t="str">
        <f t="shared" si="6"/>
        <v/>
      </c>
      <c r="AG970" s="4" t="str">
        <f t="array" ref="AG970">XLOOKUP(AC970,'Dados Funil'!A:A,'Dados Funil'!AM:AM,"")</f>
        <v/>
      </c>
      <c r="AH970" s="4" t="str">
        <f t="array" ref="AH970">XLOOKUP(AC970,'Dados Funil'!A:A,'Dados Funil'!AN:AN,"")</f>
        <v/>
      </c>
    </row>
    <row r="971">
      <c r="A971" s="4"/>
      <c r="B971" s="4"/>
      <c r="C971" s="7" t="str">
        <f t="shared" si="1"/>
        <v/>
      </c>
      <c r="D971" s="4" t="str">
        <f t="shared" si="9"/>
        <v/>
      </c>
      <c r="E971" s="4" t="str">
        <f t="array" ref="E971">XLOOKUP(A971,'Dados Funil'!$A:$A,'Dados Funil'!$K:$K,"")</f>
        <v/>
      </c>
      <c r="F971" s="4" t="str">
        <f t="array" ref="F971">XLOOKUP(A971,'Dados Funil'!$A:$A,'Dados Funil'!$L:$L,"")</f>
        <v/>
      </c>
      <c r="G971" s="4"/>
      <c r="H971" s="4"/>
      <c r="I971" s="7" t="str">
        <f t="shared" si="2"/>
        <v/>
      </c>
      <c r="J971" s="4" t="str">
        <f t="shared" si="10"/>
        <v/>
      </c>
      <c r="K971" s="4" t="str">
        <f t="array" ref="K971">XLOOKUP(G971,'Dados Funil'!A:A,'Dados Funil'!O:O,"")</f>
        <v/>
      </c>
      <c r="L971" s="4"/>
      <c r="M971" s="4"/>
      <c r="N971" s="7" t="str">
        <f t="shared" si="3"/>
        <v/>
      </c>
      <c r="O971" s="4" t="str">
        <f t="shared" si="11"/>
        <v/>
      </c>
      <c r="P971" s="4" t="str">
        <f t="array" ref="P971">XLOOKUP(L971,'Dados Funil'!A:A,'Dados Funil'!AM:AM,"")</f>
        <v/>
      </c>
      <c r="Q971" s="4" t="str">
        <f t="array" ref="Q971">XLOOKUP(L971,'Dados Funil'!A:A,'Dados Funil'!AN:AN,"")</f>
        <v/>
      </c>
      <c r="T971" s="7" t="str">
        <f t="shared" si="4"/>
        <v/>
      </c>
      <c r="U971" s="4" t="str">
        <f t="shared" si="12"/>
        <v/>
      </c>
      <c r="V971" s="4" t="str">
        <f t="array" ref="V971">XLOOKUP(R971,'Dados Funil'!$A:$A,'Dados Funil'!$K:$K,"")</f>
        <v/>
      </c>
      <c r="W971" s="4" t="str">
        <f t="array" ref="W971">XLOOKUP(R971,'Dados Funil'!$A:$A,'Dados Funil'!$L:$L,"")</f>
        <v/>
      </c>
      <c r="X971" s="4"/>
      <c r="Y971" s="4"/>
      <c r="Z971" s="7" t="str">
        <f t="shared" si="5"/>
        <v/>
      </c>
      <c r="AA971" s="4" t="str">
        <f t="shared" si="13"/>
        <v/>
      </c>
      <c r="AB971" s="4" t="str">
        <f t="array" ref="AB971">XLOOKUP(X971,'Dados Funil'!A:A,'Dados Funil'!O:O,"")</f>
        <v/>
      </c>
      <c r="AE971" s="7" t="str">
        <f t="shared" si="6"/>
        <v/>
      </c>
      <c r="AG971" s="4" t="str">
        <f t="array" ref="AG971">XLOOKUP(AC971,'Dados Funil'!A:A,'Dados Funil'!AM:AM,"")</f>
        <v/>
      </c>
      <c r="AH971" s="4" t="str">
        <f t="array" ref="AH971">XLOOKUP(AC971,'Dados Funil'!A:A,'Dados Funil'!AN:AN,"")</f>
        <v/>
      </c>
    </row>
    <row r="972">
      <c r="A972" s="4"/>
      <c r="B972" s="4"/>
      <c r="C972" s="7" t="str">
        <f t="shared" si="1"/>
        <v/>
      </c>
      <c r="D972" s="4" t="str">
        <f t="shared" si="9"/>
        <v/>
      </c>
      <c r="E972" s="4" t="str">
        <f t="array" ref="E972">XLOOKUP(A972,'Dados Funil'!$A:$A,'Dados Funil'!$K:$K,"")</f>
        <v/>
      </c>
      <c r="F972" s="4" t="str">
        <f t="array" ref="F972">XLOOKUP(A972,'Dados Funil'!$A:$A,'Dados Funil'!$L:$L,"")</f>
        <v/>
      </c>
      <c r="G972" s="4"/>
      <c r="H972" s="4"/>
      <c r="I972" s="7" t="str">
        <f t="shared" si="2"/>
        <v/>
      </c>
      <c r="J972" s="4" t="str">
        <f t="shared" si="10"/>
        <v/>
      </c>
      <c r="K972" s="4" t="str">
        <f t="array" ref="K972">XLOOKUP(G972,'Dados Funil'!A:A,'Dados Funil'!O:O,"")</f>
        <v/>
      </c>
      <c r="L972" s="4"/>
      <c r="M972" s="4"/>
      <c r="N972" s="7" t="str">
        <f t="shared" si="3"/>
        <v/>
      </c>
      <c r="O972" s="4" t="str">
        <f t="shared" si="11"/>
        <v/>
      </c>
      <c r="P972" s="4" t="str">
        <f t="array" ref="P972">XLOOKUP(L972,'Dados Funil'!A:A,'Dados Funil'!AM:AM,"")</f>
        <v/>
      </c>
      <c r="Q972" s="4" t="str">
        <f t="array" ref="Q972">XLOOKUP(L972,'Dados Funil'!A:A,'Dados Funil'!AN:AN,"")</f>
        <v/>
      </c>
      <c r="T972" s="7" t="str">
        <f t="shared" si="4"/>
        <v/>
      </c>
      <c r="U972" s="4" t="str">
        <f t="shared" si="12"/>
        <v/>
      </c>
      <c r="V972" s="4" t="str">
        <f t="array" ref="V972">XLOOKUP(R972,'Dados Funil'!$A:$A,'Dados Funil'!$K:$K,"")</f>
        <v/>
      </c>
      <c r="W972" s="4" t="str">
        <f t="array" ref="W972">XLOOKUP(R972,'Dados Funil'!$A:$A,'Dados Funil'!$L:$L,"")</f>
        <v/>
      </c>
      <c r="X972" s="4"/>
      <c r="Y972" s="4"/>
      <c r="Z972" s="7" t="str">
        <f t="shared" si="5"/>
        <v/>
      </c>
      <c r="AA972" s="4" t="str">
        <f t="shared" si="13"/>
        <v/>
      </c>
      <c r="AB972" s="4" t="str">
        <f t="array" ref="AB972">XLOOKUP(X972,'Dados Funil'!A:A,'Dados Funil'!O:O,"")</f>
        <v/>
      </c>
      <c r="AE972" s="7" t="str">
        <f t="shared" si="6"/>
        <v/>
      </c>
      <c r="AG972" s="4" t="str">
        <f t="array" ref="AG972">XLOOKUP(AC972,'Dados Funil'!A:A,'Dados Funil'!AM:AM,"")</f>
        <v/>
      </c>
      <c r="AH972" s="4" t="str">
        <f t="array" ref="AH972">XLOOKUP(AC972,'Dados Funil'!A:A,'Dados Funil'!AN:AN,"")</f>
        <v/>
      </c>
    </row>
    <row r="973">
      <c r="A973" s="4"/>
      <c r="B973" s="4"/>
      <c r="C973" s="7" t="str">
        <f t="shared" si="1"/>
        <v/>
      </c>
      <c r="D973" s="4" t="str">
        <f t="shared" si="9"/>
        <v/>
      </c>
      <c r="E973" s="4" t="str">
        <f t="array" ref="E973">XLOOKUP(A973,'Dados Funil'!$A:$A,'Dados Funil'!$K:$K,"")</f>
        <v/>
      </c>
      <c r="F973" s="4" t="str">
        <f t="array" ref="F973">XLOOKUP(A973,'Dados Funil'!$A:$A,'Dados Funil'!$L:$L,"")</f>
        <v/>
      </c>
      <c r="G973" s="4"/>
      <c r="H973" s="4"/>
      <c r="I973" s="7" t="str">
        <f t="shared" si="2"/>
        <v/>
      </c>
      <c r="J973" s="4" t="str">
        <f t="shared" si="10"/>
        <v/>
      </c>
      <c r="K973" s="4" t="str">
        <f t="array" ref="K973">XLOOKUP(G973,'Dados Funil'!A:A,'Dados Funil'!O:O,"")</f>
        <v/>
      </c>
      <c r="L973" s="4"/>
      <c r="M973" s="4"/>
      <c r="N973" s="7" t="str">
        <f t="shared" si="3"/>
        <v/>
      </c>
      <c r="O973" s="4" t="str">
        <f t="shared" si="11"/>
        <v/>
      </c>
      <c r="P973" s="4" t="str">
        <f t="array" ref="P973">XLOOKUP(L973,'Dados Funil'!A:A,'Dados Funil'!AM:AM,"")</f>
        <v/>
      </c>
      <c r="Q973" s="4" t="str">
        <f t="array" ref="Q973">XLOOKUP(L973,'Dados Funil'!A:A,'Dados Funil'!AN:AN,"")</f>
        <v/>
      </c>
      <c r="T973" s="7" t="str">
        <f t="shared" si="4"/>
        <v/>
      </c>
      <c r="U973" s="4" t="str">
        <f t="shared" si="12"/>
        <v/>
      </c>
      <c r="V973" s="4" t="str">
        <f t="array" ref="V973">XLOOKUP(R973,'Dados Funil'!$A:$A,'Dados Funil'!$K:$K,"")</f>
        <v/>
      </c>
      <c r="W973" s="4" t="str">
        <f t="array" ref="W973">XLOOKUP(R973,'Dados Funil'!$A:$A,'Dados Funil'!$L:$L,"")</f>
        <v/>
      </c>
      <c r="X973" s="4"/>
      <c r="Y973" s="4"/>
      <c r="Z973" s="7" t="str">
        <f t="shared" si="5"/>
        <v/>
      </c>
      <c r="AA973" s="4" t="str">
        <f t="shared" si="13"/>
        <v/>
      </c>
      <c r="AB973" s="4" t="str">
        <f t="array" ref="AB973">XLOOKUP(X973,'Dados Funil'!A:A,'Dados Funil'!O:O,"")</f>
        <v/>
      </c>
      <c r="AE973" s="7" t="str">
        <f t="shared" si="6"/>
        <v/>
      </c>
      <c r="AG973" s="4" t="str">
        <f t="array" ref="AG973">XLOOKUP(AC973,'Dados Funil'!A:A,'Dados Funil'!AM:AM,"")</f>
        <v/>
      </c>
      <c r="AH973" s="4" t="str">
        <f t="array" ref="AH973">XLOOKUP(AC973,'Dados Funil'!A:A,'Dados Funil'!AN:AN,"")</f>
        <v/>
      </c>
    </row>
    <row r="974">
      <c r="A974" s="4"/>
      <c r="B974" s="4"/>
      <c r="C974" s="7" t="str">
        <f t="shared" si="1"/>
        <v/>
      </c>
      <c r="D974" s="4" t="str">
        <f t="shared" si="9"/>
        <v/>
      </c>
      <c r="E974" s="4" t="str">
        <f t="array" ref="E974">XLOOKUP(A974,'Dados Funil'!$A:$A,'Dados Funil'!$K:$K,"")</f>
        <v/>
      </c>
      <c r="F974" s="4" t="str">
        <f t="array" ref="F974">XLOOKUP(A974,'Dados Funil'!$A:$A,'Dados Funil'!$L:$L,"")</f>
        <v/>
      </c>
      <c r="G974" s="4"/>
      <c r="H974" s="4"/>
      <c r="I974" s="7" t="str">
        <f t="shared" si="2"/>
        <v/>
      </c>
      <c r="J974" s="4" t="str">
        <f t="shared" si="10"/>
        <v/>
      </c>
      <c r="K974" s="4" t="str">
        <f t="array" ref="K974">XLOOKUP(G974,'Dados Funil'!A:A,'Dados Funil'!O:O,"")</f>
        <v/>
      </c>
      <c r="L974" s="4"/>
      <c r="M974" s="4"/>
      <c r="N974" s="7" t="str">
        <f t="shared" si="3"/>
        <v/>
      </c>
      <c r="O974" s="4" t="str">
        <f t="shared" si="11"/>
        <v/>
      </c>
      <c r="P974" s="4" t="str">
        <f t="array" ref="P974">XLOOKUP(L974,'Dados Funil'!A:A,'Dados Funil'!AM:AM,"")</f>
        <v/>
      </c>
      <c r="Q974" s="4" t="str">
        <f t="array" ref="Q974">XLOOKUP(L974,'Dados Funil'!A:A,'Dados Funil'!AN:AN,"")</f>
        <v/>
      </c>
      <c r="T974" s="7" t="str">
        <f t="shared" si="4"/>
        <v/>
      </c>
      <c r="U974" s="4" t="str">
        <f t="shared" si="12"/>
        <v/>
      </c>
      <c r="V974" s="4" t="str">
        <f t="array" ref="V974">XLOOKUP(R974,'Dados Funil'!$A:$A,'Dados Funil'!$K:$K,"")</f>
        <v/>
      </c>
      <c r="W974" s="4" t="str">
        <f t="array" ref="W974">XLOOKUP(R974,'Dados Funil'!$A:$A,'Dados Funil'!$L:$L,"")</f>
        <v/>
      </c>
      <c r="X974" s="4"/>
      <c r="Y974" s="4"/>
      <c r="Z974" s="7" t="str">
        <f t="shared" si="5"/>
        <v/>
      </c>
      <c r="AA974" s="4" t="str">
        <f t="shared" si="13"/>
        <v/>
      </c>
      <c r="AB974" s="4" t="str">
        <f t="array" ref="AB974">XLOOKUP(X974,'Dados Funil'!A:A,'Dados Funil'!O:O,"")</f>
        <v/>
      </c>
      <c r="AE974" s="7" t="str">
        <f t="shared" si="6"/>
        <v/>
      </c>
      <c r="AG974" s="4" t="str">
        <f t="array" ref="AG974">XLOOKUP(AC974,'Dados Funil'!A:A,'Dados Funil'!AM:AM,"")</f>
        <v/>
      </c>
      <c r="AH974" s="4" t="str">
        <f t="array" ref="AH974">XLOOKUP(AC974,'Dados Funil'!A:A,'Dados Funil'!AN:AN,"")</f>
        <v/>
      </c>
    </row>
    <row r="975">
      <c r="A975" s="4"/>
      <c r="B975" s="4"/>
      <c r="C975" s="7" t="str">
        <f t="shared" si="1"/>
        <v/>
      </c>
      <c r="D975" s="4" t="str">
        <f t="shared" si="9"/>
        <v/>
      </c>
      <c r="E975" s="4" t="str">
        <f t="array" ref="E975">XLOOKUP(A975,'Dados Funil'!$A:$A,'Dados Funil'!$K:$K,"")</f>
        <v/>
      </c>
      <c r="F975" s="4" t="str">
        <f t="array" ref="F975">XLOOKUP(A975,'Dados Funil'!$A:$A,'Dados Funil'!$L:$L,"")</f>
        <v/>
      </c>
      <c r="G975" s="4"/>
      <c r="H975" s="4"/>
      <c r="I975" s="7" t="str">
        <f t="shared" si="2"/>
        <v/>
      </c>
      <c r="J975" s="4" t="str">
        <f t="shared" si="10"/>
        <v/>
      </c>
      <c r="K975" s="4" t="str">
        <f t="array" ref="K975">XLOOKUP(G975,'Dados Funil'!A:A,'Dados Funil'!O:O,"")</f>
        <v/>
      </c>
      <c r="L975" s="4"/>
      <c r="M975" s="4"/>
      <c r="N975" s="7" t="str">
        <f t="shared" si="3"/>
        <v/>
      </c>
      <c r="O975" s="4" t="str">
        <f t="shared" si="11"/>
        <v/>
      </c>
      <c r="P975" s="4" t="str">
        <f t="array" ref="P975">XLOOKUP(L975,'Dados Funil'!A:A,'Dados Funil'!AM:AM,"")</f>
        <v/>
      </c>
      <c r="Q975" s="4" t="str">
        <f t="array" ref="Q975">XLOOKUP(L975,'Dados Funil'!A:A,'Dados Funil'!AN:AN,"")</f>
        <v/>
      </c>
      <c r="T975" s="7" t="str">
        <f t="shared" si="4"/>
        <v/>
      </c>
      <c r="U975" s="4" t="str">
        <f t="shared" si="12"/>
        <v/>
      </c>
      <c r="V975" s="4" t="str">
        <f t="array" ref="V975">XLOOKUP(R975,'Dados Funil'!$A:$A,'Dados Funil'!$K:$K,"")</f>
        <v/>
      </c>
      <c r="W975" s="4" t="str">
        <f t="array" ref="W975">XLOOKUP(R975,'Dados Funil'!$A:$A,'Dados Funil'!$L:$L,"")</f>
        <v/>
      </c>
      <c r="X975" s="4"/>
      <c r="Y975" s="4"/>
      <c r="Z975" s="7" t="str">
        <f t="shared" si="5"/>
        <v/>
      </c>
      <c r="AA975" s="4" t="str">
        <f t="shared" si="13"/>
        <v/>
      </c>
      <c r="AB975" s="4" t="str">
        <f t="array" ref="AB975">XLOOKUP(X975,'Dados Funil'!A:A,'Dados Funil'!O:O,"")</f>
        <v/>
      </c>
      <c r="AE975" s="7" t="str">
        <f t="shared" si="6"/>
        <v/>
      </c>
      <c r="AG975" s="4" t="str">
        <f t="array" ref="AG975">XLOOKUP(AC975,'Dados Funil'!A:A,'Dados Funil'!AM:AM,"")</f>
        <v/>
      </c>
      <c r="AH975" s="4" t="str">
        <f t="array" ref="AH975">XLOOKUP(AC975,'Dados Funil'!A:A,'Dados Funil'!AN:AN,"")</f>
        <v/>
      </c>
    </row>
    <row r="976">
      <c r="A976" s="4"/>
      <c r="B976" s="4"/>
      <c r="C976" s="7" t="str">
        <f t="shared" si="1"/>
        <v/>
      </c>
      <c r="D976" s="4" t="str">
        <f t="shared" si="9"/>
        <v/>
      </c>
      <c r="E976" s="4" t="str">
        <f t="array" ref="E976">XLOOKUP(A976,'Dados Funil'!$A:$A,'Dados Funil'!$K:$K,"")</f>
        <v/>
      </c>
      <c r="F976" s="4" t="str">
        <f t="array" ref="F976">XLOOKUP(A976,'Dados Funil'!$A:$A,'Dados Funil'!$L:$L,"")</f>
        <v/>
      </c>
      <c r="G976" s="4"/>
      <c r="H976" s="4"/>
      <c r="I976" s="7" t="str">
        <f t="shared" si="2"/>
        <v/>
      </c>
      <c r="J976" s="4" t="str">
        <f t="shared" si="10"/>
        <v/>
      </c>
      <c r="K976" s="4" t="str">
        <f t="array" ref="K976">XLOOKUP(G976,'Dados Funil'!A:A,'Dados Funil'!O:O,"")</f>
        <v/>
      </c>
      <c r="L976" s="4"/>
      <c r="M976" s="4"/>
      <c r="N976" s="7" t="str">
        <f t="shared" si="3"/>
        <v/>
      </c>
      <c r="O976" s="4" t="str">
        <f t="shared" si="11"/>
        <v/>
      </c>
      <c r="P976" s="4" t="str">
        <f t="array" ref="P976">XLOOKUP(L976,'Dados Funil'!A:A,'Dados Funil'!AM:AM,"")</f>
        <v/>
      </c>
      <c r="Q976" s="4" t="str">
        <f t="array" ref="Q976">XLOOKUP(L976,'Dados Funil'!A:A,'Dados Funil'!AN:AN,"")</f>
        <v/>
      </c>
      <c r="T976" s="7" t="str">
        <f t="shared" si="4"/>
        <v/>
      </c>
      <c r="U976" s="4" t="str">
        <f t="shared" si="12"/>
        <v/>
      </c>
      <c r="V976" s="4" t="str">
        <f t="array" ref="V976">XLOOKUP(R976,'Dados Funil'!$A:$A,'Dados Funil'!$K:$K,"")</f>
        <v/>
      </c>
      <c r="W976" s="4" t="str">
        <f t="array" ref="W976">XLOOKUP(R976,'Dados Funil'!$A:$A,'Dados Funil'!$L:$L,"")</f>
        <v/>
      </c>
      <c r="X976" s="4"/>
      <c r="Y976" s="4"/>
      <c r="Z976" s="7" t="str">
        <f t="shared" si="5"/>
        <v/>
      </c>
      <c r="AA976" s="4" t="str">
        <f t="shared" si="13"/>
        <v/>
      </c>
      <c r="AB976" s="4" t="str">
        <f t="array" ref="AB976">XLOOKUP(X976,'Dados Funil'!A:A,'Dados Funil'!O:O,"")</f>
        <v/>
      </c>
      <c r="AE976" s="7" t="str">
        <f t="shared" si="6"/>
        <v/>
      </c>
      <c r="AG976" s="4" t="str">
        <f t="array" ref="AG976">XLOOKUP(AC976,'Dados Funil'!A:A,'Dados Funil'!AM:AM,"")</f>
        <v/>
      </c>
      <c r="AH976" s="4" t="str">
        <f t="array" ref="AH976">XLOOKUP(AC976,'Dados Funil'!A:A,'Dados Funil'!AN:AN,"")</f>
        <v/>
      </c>
    </row>
    <row r="977">
      <c r="A977" s="4"/>
      <c r="B977" s="4"/>
      <c r="C977" s="7" t="str">
        <f t="shared" si="1"/>
        <v/>
      </c>
      <c r="D977" s="4" t="str">
        <f t="shared" si="9"/>
        <v/>
      </c>
      <c r="E977" s="4" t="str">
        <f t="array" ref="E977">XLOOKUP(A977,'Dados Funil'!$A:$A,'Dados Funil'!$K:$K,"")</f>
        <v/>
      </c>
      <c r="F977" s="4" t="str">
        <f t="array" ref="F977">XLOOKUP(A977,'Dados Funil'!$A:$A,'Dados Funil'!$L:$L,"")</f>
        <v/>
      </c>
      <c r="G977" s="4"/>
      <c r="H977" s="4"/>
      <c r="I977" s="7" t="str">
        <f t="shared" si="2"/>
        <v/>
      </c>
      <c r="J977" s="4" t="str">
        <f t="shared" si="10"/>
        <v/>
      </c>
      <c r="K977" s="4" t="str">
        <f t="array" ref="K977">XLOOKUP(G977,'Dados Funil'!A:A,'Dados Funil'!O:O,"")</f>
        <v/>
      </c>
      <c r="L977" s="4"/>
      <c r="M977" s="4"/>
      <c r="N977" s="7" t="str">
        <f t="shared" si="3"/>
        <v/>
      </c>
      <c r="O977" s="4" t="str">
        <f t="shared" si="11"/>
        <v/>
      </c>
      <c r="P977" s="4" t="str">
        <f t="array" ref="P977">XLOOKUP(L977,'Dados Funil'!A:A,'Dados Funil'!AM:AM,"")</f>
        <v/>
      </c>
      <c r="Q977" s="4" t="str">
        <f t="array" ref="Q977">XLOOKUP(L977,'Dados Funil'!A:A,'Dados Funil'!AN:AN,"")</f>
        <v/>
      </c>
      <c r="T977" s="7" t="str">
        <f t="shared" si="4"/>
        <v/>
      </c>
      <c r="U977" s="4" t="str">
        <f t="shared" si="12"/>
        <v/>
      </c>
      <c r="V977" s="4" t="str">
        <f t="array" ref="V977">XLOOKUP(R977,'Dados Funil'!$A:$A,'Dados Funil'!$K:$K,"")</f>
        <v/>
      </c>
      <c r="W977" s="4" t="str">
        <f t="array" ref="W977">XLOOKUP(R977,'Dados Funil'!$A:$A,'Dados Funil'!$L:$L,"")</f>
        <v/>
      </c>
      <c r="X977" s="4"/>
      <c r="Y977" s="4"/>
      <c r="Z977" s="7" t="str">
        <f t="shared" si="5"/>
        <v/>
      </c>
      <c r="AA977" s="4" t="str">
        <f t="shared" si="13"/>
        <v/>
      </c>
      <c r="AB977" s="4" t="str">
        <f t="array" ref="AB977">XLOOKUP(X977,'Dados Funil'!A:A,'Dados Funil'!O:O,"")</f>
        <v/>
      </c>
      <c r="AE977" s="7" t="str">
        <f t="shared" si="6"/>
        <v/>
      </c>
      <c r="AG977" s="4" t="str">
        <f t="array" ref="AG977">XLOOKUP(AC977,'Dados Funil'!A:A,'Dados Funil'!AM:AM,"")</f>
        <v/>
      </c>
      <c r="AH977" s="4" t="str">
        <f t="array" ref="AH977">XLOOKUP(AC977,'Dados Funil'!A:A,'Dados Funil'!AN:AN,"")</f>
        <v/>
      </c>
    </row>
    <row r="978">
      <c r="A978" s="4"/>
      <c r="B978" s="4"/>
      <c r="C978" s="7" t="str">
        <f t="shared" si="1"/>
        <v/>
      </c>
      <c r="D978" s="4" t="str">
        <f t="shared" si="9"/>
        <v/>
      </c>
      <c r="E978" s="4" t="str">
        <f t="array" ref="E978">XLOOKUP(A978,'Dados Funil'!$A:$A,'Dados Funil'!$K:$K,"")</f>
        <v/>
      </c>
      <c r="F978" s="4" t="str">
        <f t="array" ref="F978">XLOOKUP(A978,'Dados Funil'!$A:$A,'Dados Funil'!$L:$L,"")</f>
        <v/>
      </c>
      <c r="G978" s="4"/>
      <c r="H978" s="4"/>
      <c r="I978" s="7" t="str">
        <f t="shared" si="2"/>
        <v/>
      </c>
      <c r="J978" s="4" t="str">
        <f t="shared" si="10"/>
        <v/>
      </c>
      <c r="K978" s="4" t="str">
        <f t="array" ref="K978">XLOOKUP(G978,'Dados Funil'!A:A,'Dados Funil'!O:O,"")</f>
        <v/>
      </c>
      <c r="L978" s="4"/>
      <c r="M978" s="4"/>
      <c r="N978" s="7" t="str">
        <f t="shared" si="3"/>
        <v/>
      </c>
      <c r="O978" s="4" t="str">
        <f t="shared" si="11"/>
        <v/>
      </c>
      <c r="P978" s="4" t="str">
        <f t="array" ref="P978">XLOOKUP(L978,'Dados Funil'!A:A,'Dados Funil'!AM:AM,"")</f>
        <v/>
      </c>
      <c r="Q978" s="4" t="str">
        <f t="array" ref="Q978">XLOOKUP(L978,'Dados Funil'!A:A,'Dados Funil'!AN:AN,"")</f>
        <v/>
      </c>
      <c r="T978" s="7" t="str">
        <f t="shared" si="4"/>
        <v/>
      </c>
      <c r="U978" s="4" t="str">
        <f t="shared" si="12"/>
        <v/>
      </c>
      <c r="V978" s="4" t="str">
        <f t="array" ref="V978">XLOOKUP(R978,'Dados Funil'!$A:$A,'Dados Funil'!$K:$K,"")</f>
        <v/>
      </c>
      <c r="W978" s="4" t="str">
        <f t="array" ref="W978">XLOOKUP(R978,'Dados Funil'!$A:$A,'Dados Funil'!$L:$L,"")</f>
        <v/>
      </c>
      <c r="X978" s="4"/>
      <c r="Y978" s="4"/>
      <c r="Z978" s="7" t="str">
        <f t="shared" si="5"/>
        <v/>
      </c>
      <c r="AA978" s="4" t="str">
        <f t="shared" si="13"/>
        <v/>
      </c>
      <c r="AB978" s="4" t="str">
        <f t="array" ref="AB978">XLOOKUP(X978,'Dados Funil'!A:A,'Dados Funil'!O:O,"")</f>
        <v/>
      </c>
      <c r="AE978" s="7" t="str">
        <f t="shared" si="6"/>
        <v/>
      </c>
      <c r="AG978" s="4" t="str">
        <f t="array" ref="AG978">XLOOKUP(AC978,'Dados Funil'!A:A,'Dados Funil'!AM:AM,"")</f>
        <v/>
      </c>
      <c r="AH978" s="4" t="str">
        <f t="array" ref="AH978">XLOOKUP(AC978,'Dados Funil'!A:A,'Dados Funil'!AN:AN,"")</f>
        <v/>
      </c>
    </row>
    <row r="979">
      <c r="A979" s="4"/>
      <c r="B979" s="4"/>
      <c r="C979" s="7" t="str">
        <f t="shared" si="1"/>
        <v/>
      </c>
      <c r="D979" s="4" t="str">
        <f t="shared" si="9"/>
        <v/>
      </c>
      <c r="E979" s="4" t="str">
        <f t="array" ref="E979">XLOOKUP(A979,'Dados Funil'!$A:$A,'Dados Funil'!$K:$K,"")</f>
        <v/>
      </c>
      <c r="F979" s="4" t="str">
        <f t="array" ref="F979">XLOOKUP(A979,'Dados Funil'!$A:$A,'Dados Funil'!$L:$L,"")</f>
        <v/>
      </c>
      <c r="G979" s="4"/>
      <c r="H979" s="4"/>
      <c r="I979" s="7" t="str">
        <f t="shared" si="2"/>
        <v/>
      </c>
      <c r="J979" s="4" t="str">
        <f t="shared" si="10"/>
        <v/>
      </c>
      <c r="K979" s="4" t="str">
        <f t="array" ref="K979">XLOOKUP(G979,'Dados Funil'!A:A,'Dados Funil'!O:O,"")</f>
        <v/>
      </c>
      <c r="L979" s="4"/>
      <c r="M979" s="4"/>
      <c r="N979" s="7" t="str">
        <f t="shared" si="3"/>
        <v/>
      </c>
      <c r="O979" s="4" t="str">
        <f t="shared" si="11"/>
        <v/>
      </c>
      <c r="P979" s="4" t="str">
        <f t="array" ref="P979">XLOOKUP(L979,'Dados Funil'!A:A,'Dados Funil'!AM:AM,"")</f>
        <v/>
      </c>
      <c r="Q979" s="4" t="str">
        <f t="array" ref="Q979">XLOOKUP(L979,'Dados Funil'!A:A,'Dados Funil'!AN:AN,"")</f>
        <v/>
      </c>
      <c r="T979" s="7" t="str">
        <f t="shared" si="4"/>
        <v/>
      </c>
      <c r="U979" s="4" t="str">
        <f t="shared" si="12"/>
        <v/>
      </c>
      <c r="V979" s="4" t="str">
        <f t="array" ref="V979">XLOOKUP(R979,'Dados Funil'!$A:$A,'Dados Funil'!$K:$K,"")</f>
        <v/>
      </c>
      <c r="W979" s="4" t="str">
        <f t="array" ref="W979">XLOOKUP(R979,'Dados Funil'!$A:$A,'Dados Funil'!$L:$L,"")</f>
        <v/>
      </c>
      <c r="X979" s="4"/>
      <c r="Y979" s="4"/>
      <c r="Z979" s="7" t="str">
        <f t="shared" si="5"/>
        <v/>
      </c>
      <c r="AA979" s="4" t="str">
        <f t="shared" si="13"/>
        <v/>
      </c>
      <c r="AB979" s="4" t="str">
        <f t="array" ref="AB979">XLOOKUP(X979,'Dados Funil'!A:A,'Dados Funil'!O:O,"")</f>
        <v/>
      </c>
      <c r="AE979" s="7" t="str">
        <f t="shared" si="6"/>
        <v/>
      </c>
      <c r="AG979" s="4" t="str">
        <f t="array" ref="AG979">XLOOKUP(AC979,'Dados Funil'!A:A,'Dados Funil'!AM:AM,"")</f>
        <v/>
      </c>
      <c r="AH979" s="4" t="str">
        <f t="array" ref="AH979">XLOOKUP(AC979,'Dados Funil'!A:A,'Dados Funil'!AN:AN,"")</f>
        <v/>
      </c>
    </row>
    <row r="980">
      <c r="A980" s="4"/>
      <c r="B980" s="4"/>
      <c r="C980" s="7" t="str">
        <f t="shared" si="1"/>
        <v/>
      </c>
      <c r="D980" s="4" t="str">
        <f t="shared" si="9"/>
        <v/>
      </c>
      <c r="E980" s="4" t="str">
        <f t="array" ref="E980">XLOOKUP(A980,'Dados Funil'!$A:$A,'Dados Funil'!$K:$K,"")</f>
        <v/>
      </c>
      <c r="F980" s="4" t="str">
        <f t="array" ref="F980">XLOOKUP(A980,'Dados Funil'!$A:$A,'Dados Funil'!$L:$L,"")</f>
        <v/>
      </c>
      <c r="G980" s="4"/>
      <c r="H980" s="4"/>
      <c r="I980" s="7" t="str">
        <f t="shared" si="2"/>
        <v/>
      </c>
      <c r="J980" s="4" t="str">
        <f t="shared" si="10"/>
        <v/>
      </c>
      <c r="K980" s="4" t="str">
        <f t="array" ref="K980">XLOOKUP(G980,'Dados Funil'!A:A,'Dados Funil'!O:O,"")</f>
        <v/>
      </c>
      <c r="L980" s="4"/>
      <c r="M980" s="4"/>
      <c r="N980" s="7" t="str">
        <f t="shared" si="3"/>
        <v/>
      </c>
      <c r="O980" s="4" t="str">
        <f t="shared" si="11"/>
        <v/>
      </c>
      <c r="P980" s="4" t="str">
        <f t="array" ref="P980">XLOOKUP(L980,'Dados Funil'!A:A,'Dados Funil'!AM:AM,"")</f>
        <v/>
      </c>
      <c r="Q980" s="4" t="str">
        <f t="array" ref="Q980">XLOOKUP(L980,'Dados Funil'!A:A,'Dados Funil'!AN:AN,"")</f>
        <v/>
      </c>
      <c r="T980" s="7" t="str">
        <f t="shared" si="4"/>
        <v/>
      </c>
      <c r="U980" s="4" t="str">
        <f t="shared" si="12"/>
        <v/>
      </c>
      <c r="V980" s="4" t="str">
        <f t="array" ref="V980">XLOOKUP(R980,'Dados Funil'!$A:$A,'Dados Funil'!$K:$K,"")</f>
        <v/>
      </c>
      <c r="W980" s="4" t="str">
        <f t="array" ref="W980">XLOOKUP(R980,'Dados Funil'!$A:$A,'Dados Funil'!$L:$L,"")</f>
        <v/>
      </c>
      <c r="X980" s="4"/>
      <c r="Y980" s="4"/>
      <c r="Z980" s="7" t="str">
        <f t="shared" si="5"/>
        <v/>
      </c>
      <c r="AA980" s="4" t="str">
        <f t="shared" si="13"/>
        <v/>
      </c>
      <c r="AB980" s="4" t="str">
        <f t="array" ref="AB980">XLOOKUP(X980,'Dados Funil'!A:A,'Dados Funil'!O:O,"")</f>
        <v/>
      </c>
      <c r="AE980" s="7" t="str">
        <f t="shared" si="6"/>
        <v/>
      </c>
      <c r="AG980" s="4" t="str">
        <f t="array" ref="AG980">XLOOKUP(AC980,'Dados Funil'!A:A,'Dados Funil'!AM:AM,"")</f>
        <v/>
      </c>
      <c r="AH980" s="4" t="str">
        <f t="array" ref="AH980">XLOOKUP(AC980,'Dados Funil'!A:A,'Dados Funil'!AN:AN,"")</f>
        <v/>
      </c>
    </row>
    <row r="981">
      <c r="A981" s="4"/>
      <c r="B981" s="4"/>
      <c r="C981" s="7" t="str">
        <f t="shared" si="1"/>
        <v/>
      </c>
      <c r="D981" s="4" t="str">
        <f t="shared" si="9"/>
        <v/>
      </c>
      <c r="E981" s="4" t="str">
        <f t="array" ref="E981">XLOOKUP(A981,'Dados Funil'!$A:$A,'Dados Funil'!$K:$K,"")</f>
        <v/>
      </c>
      <c r="F981" s="4" t="str">
        <f t="array" ref="F981">XLOOKUP(A981,'Dados Funil'!$A:$A,'Dados Funil'!$L:$L,"")</f>
        <v/>
      </c>
      <c r="G981" s="4"/>
      <c r="H981" s="4"/>
      <c r="I981" s="7" t="str">
        <f t="shared" si="2"/>
        <v/>
      </c>
      <c r="J981" s="4" t="str">
        <f t="shared" si="10"/>
        <v/>
      </c>
      <c r="K981" s="4" t="str">
        <f t="array" ref="K981">XLOOKUP(G981,'Dados Funil'!A:A,'Dados Funil'!O:O,"")</f>
        <v/>
      </c>
      <c r="L981" s="4"/>
      <c r="M981" s="4"/>
      <c r="N981" s="7" t="str">
        <f t="shared" si="3"/>
        <v/>
      </c>
      <c r="O981" s="4" t="str">
        <f t="shared" si="11"/>
        <v/>
      </c>
      <c r="P981" s="4" t="str">
        <f t="array" ref="P981">XLOOKUP(L981,'Dados Funil'!A:A,'Dados Funil'!AM:AM,"")</f>
        <v/>
      </c>
      <c r="Q981" s="4" t="str">
        <f t="array" ref="Q981">XLOOKUP(L981,'Dados Funil'!A:A,'Dados Funil'!AN:AN,"")</f>
        <v/>
      </c>
      <c r="T981" s="7" t="str">
        <f t="shared" si="4"/>
        <v/>
      </c>
      <c r="U981" s="4" t="str">
        <f t="shared" si="12"/>
        <v/>
      </c>
      <c r="V981" s="4" t="str">
        <f t="array" ref="V981">XLOOKUP(R981,'Dados Funil'!$A:$A,'Dados Funil'!$K:$K,"")</f>
        <v/>
      </c>
      <c r="W981" s="4" t="str">
        <f t="array" ref="W981">XLOOKUP(R981,'Dados Funil'!$A:$A,'Dados Funil'!$L:$L,"")</f>
        <v/>
      </c>
      <c r="X981" s="4"/>
      <c r="Y981" s="4"/>
      <c r="Z981" s="7" t="str">
        <f t="shared" si="5"/>
        <v/>
      </c>
      <c r="AA981" s="4" t="str">
        <f t="shared" si="13"/>
        <v/>
      </c>
      <c r="AB981" s="4" t="str">
        <f t="array" ref="AB981">XLOOKUP(X981,'Dados Funil'!A:A,'Dados Funil'!O:O,"")</f>
        <v/>
      </c>
      <c r="AE981" s="7" t="str">
        <f t="shared" si="6"/>
        <v/>
      </c>
      <c r="AG981" s="4" t="str">
        <f t="array" ref="AG981">XLOOKUP(AC981,'Dados Funil'!A:A,'Dados Funil'!AM:AM,"")</f>
        <v/>
      </c>
      <c r="AH981" s="4" t="str">
        <f t="array" ref="AH981">XLOOKUP(AC981,'Dados Funil'!A:A,'Dados Funil'!AN:AN,"")</f>
        <v/>
      </c>
    </row>
    <row r="982">
      <c r="A982" s="4"/>
      <c r="B982" s="4"/>
      <c r="C982" s="7" t="str">
        <f t="shared" si="1"/>
        <v/>
      </c>
      <c r="D982" s="4" t="str">
        <f t="shared" si="9"/>
        <v/>
      </c>
      <c r="E982" s="4" t="str">
        <f t="array" ref="E982">XLOOKUP(A982,'Dados Funil'!$A:$A,'Dados Funil'!$K:$K,"")</f>
        <v/>
      </c>
      <c r="F982" s="4" t="str">
        <f t="array" ref="F982">XLOOKUP(A982,'Dados Funil'!$A:$A,'Dados Funil'!$L:$L,"")</f>
        <v/>
      </c>
      <c r="G982" s="4"/>
      <c r="H982" s="4"/>
      <c r="I982" s="7" t="str">
        <f t="shared" si="2"/>
        <v/>
      </c>
      <c r="J982" s="4" t="str">
        <f t="shared" si="10"/>
        <v/>
      </c>
      <c r="K982" s="4" t="str">
        <f t="array" ref="K982">XLOOKUP(G982,'Dados Funil'!A:A,'Dados Funil'!O:O,"")</f>
        <v/>
      </c>
      <c r="L982" s="4"/>
      <c r="M982" s="4"/>
      <c r="N982" s="7" t="str">
        <f t="shared" si="3"/>
        <v/>
      </c>
      <c r="O982" s="4" t="str">
        <f t="shared" si="11"/>
        <v/>
      </c>
      <c r="P982" s="4" t="str">
        <f t="array" ref="P982">XLOOKUP(L982,'Dados Funil'!A:A,'Dados Funil'!AM:AM,"")</f>
        <v/>
      </c>
      <c r="Q982" s="4" t="str">
        <f t="array" ref="Q982">XLOOKUP(L982,'Dados Funil'!A:A,'Dados Funil'!AN:AN,"")</f>
        <v/>
      </c>
      <c r="T982" s="7" t="str">
        <f t="shared" si="4"/>
        <v/>
      </c>
      <c r="U982" s="4" t="str">
        <f t="shared" si="12"/>
        <v/>
      </c>
      <c r="V982" s="4" t="str">
        <f t="array" ref="V982">XLOOKUP(R982,'Dados Funil'!$A:$A,'Dados Funil'!$K:$K,"")</f>
        <v/>
      </c>
      <c r="W982" s="4" t="str">
        <f t="array" ref="W982">XLOOKUP(R982,'Dados Funil'!$A:$A,'Dados Funil'!$L:$L,"")</f>
        <v/>
      </c>
      <c r="X982" s="4"/>
      <c r="Y982" s="4"/>
      <c r="Z982" s="7" t="str">
        <f t="shared" si="5"/>
        <v/>
      </c>
      <c r="AA982" s="4" t="str">
        <f t="shared" si="13"/>
        <v/>
      </c>
      <c r="AB982" s="4" t="str">
        <f t="array" ref="AB982">XLOOKUP(X982,'Dados Funil'!A:A,'Dados Funil'!O:O,"")</f>
        <v/>
      </c>
      <c r="AE982" s="7" t="str">
        <f t="shared" si="6"/>
        <v/>
      </c>
      <c r="AG982" s="4" t="str">
        <f t="array" ref="AG982">XLOOKUP(AC982,'Dados Funil'!A:A,'Dados Funil'!AM:AM,"")</f>
        <v/>
      </c>
      <c r="AH982" s="4" t="str">
        <f t="array" ref="AH982">XLOOKUP(AC982,'Dados Funil'!A:A,'Dados Funil'!AN:AN,"")</f>
        <v/>
      </c>
    </row>
    <row r="983">
      <c r="A983" s="4"/>
      <c r="B983" s="4"/>
      <c r="C983" s="7" t="str">
        <f t="shared" si="1"/>
        <v/>
      </c>
      <c r="D983" s="4" t="str">
        <f t="shared" si="9"/>
        <v/>
      </c>
      <c r="E983" s="4" t="str">
        <f t="array" ref="E983">XLOOKUP(A983,'Dados Funil'!$A:$A,'Dados Funil'!$K:$K,"")</f>
        <v/>
      </c>
      <c r="F983" s="4" t="str">
        <f t="array" ref="F983">XLOOKUP(A983,'Dados Funil'!$A:$A,'Dados Funil'!$L:$L,"")</f>
        <v/>
      </c>
      <c r="G983" s="4"/>
      <c r="H983" s="4"/>
      <c r="I983" s="7" t="str">
        <f t="shared" si="2"/>
        <v/>
      </c>
      <c r="J983" s="4" t="str">
        <f t="shared" si="10"/>
        <v/>
      </c>
      <c r="K983" s="4" t="str">
        <f t="array" ref="K983">XLOOKUP(G983,'Dados Funil'!A:A,'Dados Funil'!O:O,"")</f>
        <v/>
      </c>
      <c r="L983" s="4"/>
      <c r="M983" s="4"/>
      <c r="N983" s="7" t="str">
        <f t="shared" si="3"/>
        <v/>
      </c>
      <c r="O983" s="4" t="str">
        <f t="shared" si="11"/>
        <v/>
      </c>
      <c r="P983" s="4" t="str">
        <f t="array" ref="P983">XLOOKUP(L983,'Dados Funil'!A:A,'Dados Funil'!AM:AM,"")</f>
        <v/>
      </c>
      <c r="Q983" s="4" t="str">
        <f t="array" ref="Q983">XLOOKUP(L983,'Dados Funil'!A:A,'Dados Funil'!AN:AN,"")</f>
        <v/>
      </c>
      <c r="T983" s="7" t="str">
        <f t="shared" si="4"/>
        <v/>
      </c>
      <c r="U983" s="4" t="str">
        <f t="shared" si="12"/>
        <v/>
      </c>
      <c r="V983" s="4" t="str">
        <f t="array" ref="V983">XLOOKUP(R983,'Dados Funil'!$A:$A,'Dados Funil'!$K:$K,"")</f>
        <v/>
      </c>
      <c r="W983" s="4" t="str">
        <f t="array" ref="W983">XLOOKUP(R983,'Dados Funil'!$A:$A,'Dados Funil'!$L:$L,"")</f>
        <v/>
      </c>
      <c r="X983" s="4"/>
      <c r="Y983" s="4"/>
      <c r="Z983" s="7" t="str">
        <f t="shared" si="5"/>
        <v/>
      </c>
      <c r="AA983" s="4" t="str">
        <f t="shared" si="13"/>
        <v/>
      </c>
      <c r="AB983" s="4" t="str">
        <f t="array" ref="AB983">XLOOKUP(X983,'Dados Funil'!A:A,'Dados Funil'!O:O,"")</f>
        <v/>
      </c>
      <c r="AE983" s="7" t="str">
        <f t="shared" si="6"/>
        <v/>
      </c>
      <c r="AG983" s="4" t="str">
        <f t="array" ref="AG983">XLOOKUP(AC983,'Dados Funil'!A:A,'Dados Funil'!AM:AM,"")</f>
        <v/>
      </c>
      <c r="AH983" s="4" t="str">
        <f t="array" ref="AH983">XLOOKUP(AC983,'Dados Funil'!A:A,'Dados Funil'!AN:AN,"")</f>
        <v/>
      </c>
    </row>
    <row r="984">
      <c r="A984" s="4"/>
      <c r="B984" s="4"/>
      <c r="C984" s="7" t="str">
        <f t="shared" si="1"/>
        <v/>
      </c>
      <c r="D984" s="4" t="str">
        <f t="shared" si="9"/>
        <v/>
      </c>
      <c r="E984" s="4" t="str">
        <f t="array" ref="E984">XLOOKUP(A984,'Dados Funil'!$A:$A,'Dados Funil'!$K:$K,"")</f>
        <v/>
      </c>
      <c r="F984" s="4" t="str">
        <f t="array" ref="F984">XLOOKUP(A984,'Dados Funil'!$A:$A,'Dados Funil'!$L:$L,"")</f>
        <v/>
      </c>
      <c r="G984" s="4"/>
      <c r="H984" s="4"/>
      <c r="I984" s="7" t="str">
        <f t="shared" si="2"/>
        <v/>
      </c>
      <c r="J984" s="4" t="str">
        <f t="shared" si="10"/>
        <v/>
      </c>
      <c r="K984" s="4" t="str">
        <f t="array" ref="K984">XLOOKUP(G984,'Dados Funil'!A:A,'Dados Funil'!O:O,"")</f>
        <v/>
      </c>
      <c r="L984" s="4"/>
      <c r="M984" s="4"/>
      <c r="N984" s="7" t="str">
        <f t="shared" si="3"/>
        <v/>
      </c>
      <c r="O984" s="4" t="str">
        <f t="shared" si="11"/>
        <v/>
      </c>
      <c r="P984" s="4" t="str">
        <f t="array" ref="P984">XLOOKUP(L984,'Dados Funil'!A:A,'Dados Funil'!AM:AM,"")</f>
        <v/>
      </c>
      <c r="Q984" s="4" t="str">
        <f t="array" ref="Q984">XLOOKUP(L984,'Dados Funil'!A:A,'Dados Funil'!AN:AN,"")</f>
        <v/>
      </c>
      <c r="T984" s="7" t="str">
        <f t="shared" si="4"/>
        <v/>
      </c>
      <c r="U984" s="4" t="str">
        <f t="shared" si="12"/>
        <v/>
      </c>
      <c r="V984" s="4" t="str">
        <f t="array" ref="V984">XLOOKUP(R984,'Dados Funil'!$A:$A,'Dados Funil'!$K:$K,"")</f>
        <v/>
      </c>
      <c r="W984" s="4" t="str">
        <f t="array" ref="W984">XLOOKUP(R984,'Dados Funil'!$A:$A,'Dados Funil'!$L:$L,"")</f>
        <v/>
      </c>
      <c r="X984" s="4"/>
      <c r="Y984" s="4"/>
      <c r="Z984" s="7" t="str">
        <f t="shared" si="5"/>
        <v/>
      </c>
      <c r="AA984" s="4" t="str">
        <f t="shared" si="13"/>
        <v/>
      </c>
      <c r="AB984" s="4" t="str">
        <f t="array" ref="AB984">XLOOKUP(X984,'Dados Funil'!A:A,'Dados Funil'!O:O,"")</f>
        <v/>
      </c>
      <c r="AE984" s="7" t="str">
        <f t="shared" si="6"/>
        <v/>
      </c>
      <c r="AG984" s="4" t="str">
        <f t="array" ref="AG984">XLOOKUP(AC984,'Dados Funil'!A:A,'Dados Funil'!AM:AM,"")</f>
        <v/>
      </c>
      <c r="AH984" s="4" t="str">
        <f t="array" ref="AH984">XLOOKUP(AC984,'Dados Funil'!A:A,'Dados Funil'!AN:AN,"")</f>
        <v/>
      </c>
    </row>
    <row r="985">
      <c r="A985" s="4"/>
      <c r="B985" s="4"/>
      <c r="C985" s="7" t="str">
        <f t="shared" si="1"/>
        <v/>
      </c>
      <c r="D985" s="4" t="str">
        <f t="shared" si="9"/>
        <v/>
      </c>
      <c r="E985" s="4" t="str">
        <f t="array" ref="E985">XLOOKUP(A985,'Dados Funil'!$A:$A,'Dados Funil'!$K:$K,"")</f>
        <v/>
      </c>
      <c r="F985" s="4" t="str">
        <f t="array" ref="F985">XLOOKUP(A985,'Dados Funil'!$A:$A,'Dados Funil'!$L:$L,"")</f>
        <v/>
      </c>
      <c r="G985" s="4"/>
      <c r="H985" s="4"/>
      <c r="I985" s="7" t="str">
        <f t="shared" si="2"/>
        <v/>
      </c>
      <c r="J985" s="4" t="str">
        <f t="shared" si="10"/>
        <v/>
      </c>
      <c r="K985" s="4" t="str">
        <f t="array" ref="K985">XLOOKUP(G985,'Dados Funil'!A:A,'Dados Funil'!O:O,"")</f>
        <v/>
      </c>
      <c r="L985" s="4"/>
      <c r="M985" s="4"/>
      <c r="N985" s="7" t="str">
        <f t="shared" si="3"/>
        <v/>
      </c>
      <c r="O985" s="4" t="str">
        <f t="shared" si="11"/>
        <v/>
      </c>
      <c r="P985" s="4" t="str">
        <f t="array" ref="P985">XLOOKUP(L985,'Dados Funil'!A:A,'Dados Funil'!AM:AM,"")</f>
        <v/>
      </c>
      <c r="Q985" s="4" t="str">
        <f t="array" ref="Q985">XLOOKUP(L985,'Dados Funil'!A:A,'Dados Funil'!AN:AN,"")</f>
        <v/>
      </c>
      <c r="T985" s="7" t="str">
        <f t="shared" si="4"/>
        <v/>
      </c>
      <c r="U985" s="4" t="str">
        <f t="shared" si="12"/>
        <v/>
      </c>
      <c r="V985" s="4" t="str">
        <f t="array" ref="V985">XLOOKUP(R985,'Dados Funil'!$A:$A,'Dados Funil'!$K:$K,"")</f>
        <v/>
      </c>
      <c r="W985" s="4" t="str">
        <f t="array" ref="W985">XLOOKUP(R985,'Dados Funil'!$A:$A,'Dados Funil'!$L:$L,"")</f>
        <v/>
      </c>
      <c r="X985" s="4"/>
      <c r="Y985" s="4"/>
      <c r="Z985" s="7" t="str">
        <f t="shared" si="5"/>
        <v/>
      </c>
      <c r="AA985" s="4" t="str">
        <f t="shared" si="13"/>
        <v/>
      </c>
      <c r="AB985" s="4" t="str">
        <f t="array" ref="AB985">XLOOKUP(X985,'Dados Funil'!A:A,'Dados Funil'!O:O,"")</f>
        <v/>
      </c>
      <c r="AE985" s="7" t="str">
        <f t="shared" si="6"/>
        <v/>
      </c>
      <c r="AG985" s="4" t="str">
        <f t="array" ref="AG985">XLOOKUP(AC985,'Dados Funil'!A:A,'Dados Funil'!AM:AM,"")</f>
        <v/>
      </c>
      <c r="AH985" s="4" t="str">
        <f t="array" ref="AH985">XLOOKUP(AC985,'Dados Funil'!A:A,'Dados Funil'!AN:AN,"")</f>
        <v/>
      </c>
    </row>
    <row r="986">
      <c r="A986" s="4"/>
      <c r="B986" s="4"/>
      <c r="C986" s="7" t="str">
        <f t="shared" si="1"/>
        <v/>
      </c>
      <c r="D986" s="4" t="str">
        <f t="shared" si="9"/>
        <v/>
      </c>
      <c r="E986" s="4" t="str">
        <f t="array" ref="E986">XLOOKUP(A986,'Dados Funil'!$A:$A,'Dados Funil'!$K:$K,"")</f>
        <v/>
      </c>
      <c r="F986" s="4" t="str">
        <f t="array" ref="F986">XLOOKUP(A986,'Dados Funil'!$A:$A,'Dados Funil'!$L:$L,"")</f>
        <v/>
      </c>
      <c r="G986" s="4"/>
      <c r="H986" s="4"/>
      <c r="I986" s="7" t="str">
        <f t="shared" si="2"/>
        <v/>
      </c>
      <c r="J986" s="4" t="str">
        <f t="shared" si="10"/>
        <v/>
      </c>
      <c r="K986" s="4" t="str">
        <f t="array" ref="K986">XLOOKUP(G986,'Dados Funil'!A:A,'Dados Funil'!O:O,"")</f>
        <v/>
      </c>
      <c r="L986" s="4"/>
      <c r="M986" s="4"/>
      <c r="N986" s="7" t="str">
        <f t="shared" si="3"/>
        <v/>
      </c>
      <c r="O986" s="4" t="str">
        <f t="shared" si="11"/>
        <v/>
      </c>
      <c r="P986" s="4" t="str">
        <f t="array" ref="P986">XLOOKUP(L986,'Dados Funil'!A:A,'Dados Funil'!AM:AM,"")</f>
        <v/>
      </c>
      <c r="Q986" s="4" t="str">
        <f t="array" ref="Q986">XLOOKUP(L986,'Dados Funil'!A:A,'Dados Funil'!AN:AN,"")</f>
        <v/>
      </c>
      <c r="T986" s="7" t="str">
        <f t="shared" si="4"/>
        <v/>
      </c>
      <c r="U986" s="4" t="str">
        <f t="shared" si="12"/>
        <v/>
      </c>
      <c r="V986" s="4" t="str">
        <f t="array" ref="V986">XLOOKUP(R986,'Dados Funil'!$A:$A,'Dados Funil'!$K:$K,"")</f>
        <v/>
      </c>
      <c r="W986" s="4" t="str">
        <f t="array" ref="W986">XLOOKUP(R986,'Dados Funil'!$A:$A,'Dados Funil'!$L:$L,"")</f>
        <v/>
      </c>
      <c r="X986" s="4"/>
      <c r="Y986" s="4"/>
      <c r="Z986" s="7" t="str">
        <f t="shared" si="5"/>
        <v/>
      </c>
      <c r="AA986" s="4" t="str">
        <f t="shared" si="13"/>
        <v/>
      </c>
      <c r="AB986" s="4" t="str">
        <f t="array" ref="AB986">XLOOKUP(X986,'Dados Funil'!A:A,'Dados Funil'!O:O,"")</f>
        <v/>
      </c>
      <c r="AE986" s="7" t="str">
        <f t="shared" si="6"/>
        <v/>
      </c>
      <c r="AG986" s="4" t="str">
        <f t="array" ref="AG986">XLOOKUP(AC986,'Dados Funil'!A:A,'Dados Funil'!AM:AM,"")</f>
        <v/>
      </c>
      <c r="AH986" s="4" t="str">
        <f t="array" ref="AH986">XLOOKUP(AC986,'Dados Funil'!A:A,'Dados Funil'!AN:AN,"")</f>
        <v/>
      </c>
    </row>
    <row r="987">
      <c r="A987" s="4"/>
      <c r="B987" s="4"/>
      <c r="C987" s="7" t="str">
        <f t="shared" si="1"/>
        <v/>
      </c>
      <c r="D987" s="4" t="str">
        <f t="shared" si="9"/>
        <v/>
      </c>
      <c r="E987" s="4" t="str">
        <f t="array" ref="E987">XLOOKUP(A987,'Dados Funil'!$A:$A,'Dados Funil'!$K:$K,"")</f>
        <v/>
      </c>
      <c r="F987" s="4" t="str">
        <f t="array" ref="F987">XLOOKUP(A987,'Dados Funil'!$A:$A,'Dados Funil'!$L:$L,"")</f>
        <v/>
      </c>
      <c r="G987" s="4"/>
      <c r="H987" s="4"/>
      <c r="I987" s="7" t="str">
        <f t="shared" si="2"/>
        <v/>
      </c>
      <c r="J987" s="4" t="str">
        <f t="shared" si="10"/>
        <v/>
      </c>
      <c r="K987" s="4" t="str">
        <f t="array" ref="K987">XLOOKUP(G987,'Dados Funil'!A:A,'Dados Funil'!O:O,"")</f>
        <v/>
      </c>
      <c r="L987" s="4"/>
      <c r="M987" s="4"/>
      <c r="N987" s="7" t="str">
        <f t="shared" si="3"/>
        <v/>
      </c>
      <c r="O987" s="4" t="str">
        <f t="shared" si="11"/>
        <v/>
      </c>
      <c r="P987" s="4" t="str">
        <f t="array" ref="P987">XLOOKUP(L987,'Dados Funil'!A:A,'Dados Funil'!AM:AM,"")</f>
        <v/>
      </c>
      <c r="Q987" s="4" t="str">
        <f t="array" ref="Q987">XLOOKUP(L987,'Dados Funil'!A:A,'Dados Funil'!AN:AN,"")</f>
        <v/>
      </c>
      <c r="T987" s="7" t="str">
        <f t="shared" si="4"/>
        <v/>
      </c>
      <c r="U987" s="4" t="str">
        <f t="shared" si="12"/>
        <v/>
      </c>
      <c r="V987" s="4" t="str">
        <f t="array" ref="V987">XLOOKUP(R987,'Dados Funil'!$A:$A,'Dados Funil'!$K:$K,"")</f>
        <v/>
      </c>
      <c r="W987" s="4" t="str">
        <f t="array" ref="W987">XLOOKUP(R987,'Dados Funil'!$A:$A,'Dados Funil'!$L:$L,"")</f>
        <v/>
      </c>
      <c r="X987" s="4"/>
      <c r="Y987" s="4"/>
      <c r="Z987" s="7" t="str">
        <f t="shared" si="5"/>
        <v/>
      </c>
      <c r="AA987" s="4" t="str">
        <f t="shared" si="13"/>
        <v/>
      </c>
      <c r="AB987" s="4" t="str">
        <f t="array" ref="AB987">XLOOKUP(X987,'Dados Funil'!A:A,'Dados Funil'!O:O,"")</f>
        <v/>
      </c>
      <c r="AE987" s="7" t="str">
        <f t="shared" si="6"/>
        <v/>
      </c>
      <c r="AG987" s="4" t="str">
        <f t="array" ref="AG987">XLOOKUP(AC987,'Dados Funil'!A:A,'Dados Funil'!AM:AM,"")</f>
        <v/>
      </c>
      <c r="AH987" s="4" t="str">
        <f t="array" ref="AH987">XLOOKUP(AC987,'Dados Funil'!A:A,'Dados Funil'!AN:AN,"")</f>
        <v/>
      </c>
    </row>
    <row r="988">
      <c r="A988" s="4"/>
      <c r="B988" s="4"/>
      <c r="C988" s="7" t="str">
        <f t="shared" si="1"/>
        <v/>
      </c>
      <c r="D988" s="4" t="str">
        <f t="shared" si="9"/>
        <v/>
      </c>
      <c r="E988" s="4" t="str">
        <f t="array" ref="E988">XLOOKUP(A988,'Dados Funil'!$A:$A,'Dados Funil'!$K:$K,"")</f>
        <v/>
      </c>
      <c r="F988" s="4" t="str">
        <f t="array" ref="F988">XLOOKUP(A988,'Dados Funil'!$A:$A,'Dados Funil'!$L:$L,"")</f>
        <v/>
      </c>
      <c r="G988" s="4"/>
      <c r="H988" s="4"/>
      <c r="I988" s="7" t="str">
        <f t="shared" si="2"/>
        <v/>
      </c>
      <c r="J988" s="4" t="str">
        <f t="shared" si="10"/>
        <v/>
      </c>
      <c r="K988" s="4" t="str">
        <f t="array" ref="K988">XLOOKUP(G988,'Dados Funil'!A:A,'Dados Funil'!O:O,"")</f>
        <v/>
      </c>
      <c r="L988" s="4"/>
      <c r="M988" s="4"/>
      <c r="N988" s="7" t="str">
        <f t="shared" si="3"/>
        <v/>
      </c>
      <c r="O988" s="4" t="str">
        <f t="shared" si="11"/>
        <v/>
      </c>
      <c r="P988" s="4" t="str">
        <f t="array" ref="P988">XLOOKUP(L988,'Dados Funil'!A:A,'Dados Funil'!AM:AM,"")</f>
        <v/>
      </c>
      <c r="Q988" s="4" t="str">
        <f t="array" ref="Q988">XLOOKUP(L988,'Dados Funil'!A:A,'Dados Funil'!AN:AN,"")</f>
        <v/>
      </c>
      <c r="T988" s="7" t="str">
        <f t="shared" si="4"/>
        <v/>
      </c>
      <c r="U988" s="4" t="str">
        <f t="shared" si="12"/>
        <v/>
      </c>
      <c r="V988" s="4" t="str">
        <f t="array" ref="V988">XLOOKUP(R988,'Dados Funil'!$A:$A,'Dados Funil'!$K:$K,"")</f>
        <v/>
      </c>
      <c r="W988" s="4" t="str">
        <f t="array" ref="W988">XLOOKUP(R988,'Dados Funil'!$A:$A,'Dados Funil'!$L:$L,"")</f>
        <v/>
      </c>
      <c r="X988" s="4"/>
      <c r="Y988" s="4"/>
      <c r="Z988" s="7" t="str">
        <f t="shared" si="5"/>
        <v/>
      </c>
      <c r="AA988" s="4" t="str">
        <f t="shared" si="13"/>
        <v/>
      </c>
      <c r="AB988" s="4" t="str">
        <f t="array" ref="AB988">XLOOKUP(X988,'Dados Funil'!A:A,'Dados Funil'!O:O,"")</f>
        <v/>
      </c>
      <c r="AE988" s="7" t="str">
        <f t="shared" si="6"/>
        <v/>
      </c>
      <c r="AG988" s="4" t="str">
        <f t="array" ref="AG988">XLOOKUP(AC988,'Dados Funil'!A:A,'Dados Funil'!AM:AM,"")</f>
        <v/>
      </c>
      <c r="AH988" s="4" t="str">
        <f t="array" ref="AH988">XLOOKUP(AC988,'Dados Funil'!A:A,'Dados Funil'!AN:AN,"")</f>
        <v/>
      </c>
    </row>
    <row r="989">
      <c r="A989" s="4"/>
      <c r="B989" s="4"/>
      <c r="C989" s="7" t="str">
        <f t="shared" si="1"/>
        <v/>
      </c>
      <c r="D989" s="4" t="str">
        <f t="shared" si="9"/>
        <v/>
      </c>
      <c r="E989" s="4" t="str">
        <f t="array" ref="E989">XLOOKUP(A989,'Dados Funil'!$A:$A,'Dados Funil'!$K:$K,"")</f>
        <v/>
      </c>
      <c r="F989" s="4" t="str">
        <f t="array" ref="F989">XLOOKUP(A989,'Dados Funil'!$A:$A,'Dados Funil'!$L:$L,"")</f>
        <v/>
      </c>
      <c r="G989" s="4"/>
      <c r="H989" s="4"/>
      <c r="I989" s="7" t="str">
        <f t="shared" si="2"/>
        <v/>
      </c>
      <c r="J989" s="4" t="str">
        <f t="shared" si="10"/>
        <v/>
      </c>
      <c r="K989" s="4" t="str">
        <f t="array" ref="K989">XLOOKUP(G989,'Dados Funil'!A:A,'Dados Funil'!O:O,"")</f>
        <v/>
      </c>
      <c r="L989" s="4"/>
      <c r="M989" s="4"/>
      <c r="N989" s="7" t="str">
        <f t="shared" si="3"/>
        <v/>
      </c>
      <c r="O989" s="4" t="str">
        <f t="shared" si="11"/>
        <v/>
      </c>
      <c r="P989" s="4" t="str">
        <f t="array" ref="P989">XLOOKUP(L989,'Dados Funil'!A:A,'Dados Funil'!AM:AM,"")</f>
        <v/>
      </c>
      <c r="Q989" s="4" t="str">
        <f t="array" ref="Q989">XLOOKUP(L989,'Dados Funil'!A:A,'Dados Funil'!AN:AN,"")</f>
        <v/>
      </c>
      <c r="T989" s="7" t="str">
        <f t="shared" si="4"/>
        <v/>
      </c>
      <c r="U989" s="4" t="str">
        <f t="shared" si="12"/>
        <v/>
      </c>
      <c r="V989" s="4" t="str">
        <f t="array" ref="V989">XLOOKUP(R989,'Dados Funil'!$A:$A,'Dados Funil'!$K:$K,"")</f>
        <v/>
      </c>
      <c r="W989" s="4" t="str">
        <f t="array" ref="W989">XLOOKUP(R989,'Dados Funil'!$A:$A,'Dados Funil'!$L:$L,"")</f>
        <v/>
      </c>
      <c r="X989" s="4"/>
      <c r="Y989" s="4"/>
      <c r="Z989" s="7" t="str">
        <f t="shared" si="5"/>
        <v/>
      </c>
      <c r="AA989" s="4" t="str">
        <f t="shared" si="13"/>
        <v/>
      </c>
      <c r="AB989" s="4" t="str">
        <f t="array" ref="AB989">XLOOKUP(X989,'Dados Funil'!A:A,'Dados Funil'!O:O,"")</f>
        <v/>
      </c>
      <c r="AE989" s="7" t="str">
        <f t="shared" si="6"/>
        <v/>
      </c>
      <c r="AG989" s="4" t="str">
        <f t="array" ref="AG989">XLOOKUP(AC989,'Dados Funil'!A:A,'Dados Funil'!AM:AM,"")</f>
        <v/>
      </c>
      <c r="AH989" s="4" t="str">
        <f t="array" ref="AH989">XLOOKUP(AC989,'Dados Funil'!A:A,'Dados Funil'!AN:AN,"")</f>
        <v/>
      </c>
    </row>
    <row r="990">
      <c r="A990" s="4"/>
      <c r="B990" s="4"/>
      <c r="C990" s="7" t="str">
        <f t="shared" si="1"/>
        <v/>
      </c>
      <c r="D990" s="4" t="str">
        <f t="shared" si="9"/>
        <v/>
      </c>
      <c r="E990" s="4" t="str">
        <f t="array" ref="E990">XLOOKUP(A990,'Dados Funil'!$A:$A,'Dados Funil'!$K:$K,"")</f>
        <v/>
      </c>
      <c r="F990" s="4" t="str">
        <f t="array" ref="F990">XLOOKUP(A990,'Dados Funil'!$A:$A,'Dados Funil'!$L:$L,"")</f>
        <v/>
      </c>
      <c r="G990" s="4"/>
      <c r="H990" s="4"/>
      <c r="I990" s="7" t="str">
        <f t="shared" si="2"/>
        <v/>
      </c>
      <c r="J990" s="4" t="str">
        <f t="shared" si="10"/>
        <v/>
      </c>
      <c r="K990" s="4" t="str">
        <f t="array" ref="K990">XLOOKUP(G990,'Dados Funil'!A:A,'Dados Funil'!O:O,"")</f>
        <v/>
      </c>
      <c r="L990" s="4"/>
      <c r="M990" s="4"/>
      <c r="N990" s="7" t="str">
        <f t="shared" si="3"/>
        <v/>
      </c>
      <c r="O990" s="4" t="str">
        <f t="shared" si="11"/>
        <v/>
      </c>
      <c r="P990" s="4" t="str">
        <f t="array" ref="P990">XLOOKUP(L990,'Dados Funil'!A:A,'Dados Funil'!AM:AM,"")</f>
        <v/>
      </c>
      <c r="Q990" s="4" t="str">
        <f t="array" ref="Q990">XLOOKUP(L990,'Dados Funil'!A:A,'Dados Funil'!AN:AN,"")</f>
        <v/>
      </c>
      <c r="T990" s="7" t="str">
        <f t="shared" si="4"/>
        <v/>
      </c>
      <c r="U990" s="4" t="str">
        <f t="shared" si="12"/>
        <v/>
      </c>
      <c r="V990" s="4" t="str">
        <f t="array" ref="V990">XLOOKUP(R990,'Dados Funil'!$A:$A,'Dados Funil'!$K:$K,"")</f>
        <v/>
      </c>
      <c r="W990" s="4" t="str">
        <f t="array" ref="W990">XLOOKUP(R990,'Dados Funil'!$A:$A,'Dados Funil'!$L:$L,"")</f>
        <v/>
      </c>
      <c r="X990" s="4"/>
      <c r="Y990" s="4"/>
      <c r="Z990" s="7" t="str">
        <f t="shared" si="5"/>
        <v/>
      </c>
      <c r="AA990" s="4" t="str">
        <f t="shared" si="13"/>
        <v/>
      </c>
      <c r="AB990" s="4" t="str">
        <f t="array" ref="AB990">XLOOKUP(X990,'Dados Funil'!A:A,'Dados Funil'!O:O,"")</f>
        <v/>
      </c>
      <c r="AE990" s="7" t="str">
        <f t="shared" si="6"/>
        <v/>
      </c>
      <c r="AG990" s="4" t="str">
        <f t="array" ref="AG990">XLOOKUP(AC990,'Dados Funil'!A:A,'Dados Funil'!AM:AM,"")</f>
        <v/>
      </c>
      <c r="AH990" s="4" t="str">
        <f t="array" ref="AH990">XLOOKUP(AC990,'Dados Funil'!A:A,'Dados Funil'!AN:AN,"")</f>
        <v/>
      </c>
    </row>
    <row r="991">
      <c r="A991" s="4"/>
      <c r="B991" s="4"/>
      <c r="C991" s="7" t="str">
        <f t="shared" si="1"/>
        <v/>
      </c>
      <c r="D991" s="4" t="str">
        <f t="shared" si="9"/>
        <v/>
      </c>
      <c r="E991" s="4" t="str">
        <f t="array" ref="E991">XLOOKUP(A991,'Dados Funil'!$A:$A,'Dados Funil'!$K:$K,"")</f>
        <v/>
      </c>
      <c r="F991" s="4" t="str">
        <f t="array" ref="F991">XLOOKUP(A991,'Dados Funil'!$A:$A,'Dados Funil'!$L:$L,"")</f>
        <v/>
      </c>
      <c r="G991" s="4"/>
      <c r="H991" s="4"/>
      <c r="I991" s="7" t="str">
        <f t="shared" si="2"/>
        <v/>
      </c>
      <c r="J991" s="4" t="str">
        <f t="shared" si="10"/>
        <v/>
      </c>
      <c r="K991" s="4" t="str">
        <f t="array" ref="K991">XLOOKUP(G991,'Dados Funil'!A:A,'Dados Funil'!O:O,"")</f>
        <v/>
      </c>
      <c r="L991" s="4"/>
      <c r="M991" s="4"/>
      <c r="N991" s="7" t="str">
        <f t="shared" si="3"/>
        <v/>
      </c>
      <c r="O991" s="4" t="str">
        <f t="shared" si="11"/>
        <v/>
      </c>
      <c r="P991" s="4" t="str">
        <f t="array" ref="P991">XLOOKUP(L991,'Dados Funil'!A:A,'Dados Funil'!AM:AM,"")</f>
        <v/>
      </c>
      <c r="Q991" s="4" t="str">
        <f t="array" ref="Q991">XLOOKUP(L991,'Dados Funil'!A:A,'Dados Funil'!AN:AN,"")</f>
        <v/>
      </c>
      <c r="T991" s="7" t="str">
        <f t="shared" si="4"/>
        <v/>
      </c>
      <c r="U991" s="4" t="str">
        <f t="shared" si="12"/>
        <v/>
      </c>
      <c r="V991" s="4" t="str">
        <f t="array" ref="V991">XLOOKUP(R991,'Dados Funil'!$A:$A,'Dados Funil'!$K:$K,"")</f>
        <v/>
      </c>
      <c r="W991" s="4" t="str">
        <f t="array" ref="W991">XLOOKUP(R991,'Dados Funil'!$A:$A,'Dados Funil'!$L:$L,"")</f>
        <v/>
      </c>
      <c r="X991" s="4"/>
      <c r="Y991" s="4"/>
      <c r="Z991" s="7" t="str">
        <f t="shared" si="5"/>
        <v/>
      </c>
      <c r="AA991" s="4" t="str">
        <f t="shared" si="13"/>
        <v/>
      </c>
      <c r="AB991" s="4" t="str">
        <f t="array" ref="AB991">XLOOKUP(X991,'Dados Funil'!A:A,'Dados Funil'!O:O,"")</f>
        <v/>
      </c>
      <c r="AE991" s="7" t="str">
        <f t="shared" si="6"/>
        <v/>
      </c>
      <c r="AG991" s="4" t="str">
        <f t="array" ref="AG991">XLOOKUP(AC991,'Dados Funil'!A:A,'Dados Funil'!AM:AM,"")</f>
        <v/>
      </c>
      <c r="AH991" s="4" t="str">
        <f t="array" ref="AH991">XLOOKUP(AC991,'Dados Funil'!A:A,'Dados Funil'!AN:AN,"")</f>
        <v/>
      </c>
    </row>
    <row r="992">
      <c r="A992" s="4"/>
      <c r="B992" s="4"/>
      <c r="C992" s="7" t="str">
        <f t="shared" si="1"/>
        <v/>
      </c>
      <c r="D992" s="4" t="str">
        <f t="shared" si="9"/>
        <v/>
      </c>
      <c r="E992" s="4" t="str">
        <f t="array" ref="E992">XLOOKUP(A992,'Dados Funil'!$A:$A,'Dados Funil'!$K:$K,"")</f>
        <v/>
      </c>
      <c r="F992" s="4" t="str">
        <f t="array" ref="F992">XLOOKUP(A992,'Dados Funil'!$A:$A,'Dados Funil'!$L:$L,"")</f>
        <v/>
      </c>
      <c r="G992" s="4"/>
      <c r="H992" s="4"/>
      <c r="I992" s="7" t="str">
        <f t="shared" si="2"/>
        <v/>
      </c>
      <c r="J992" s="4" t="str">
        <f t="shared" si="10"/>
        <v/>
      </c>
      <c r="K992" s="4" t="str">
        <f t="array" ref="K992">XLOOKUP(G992,'Dados Funil'!A:A,'Dados Funil'!O:O,"")</f>
        <v/>
      </c>
      <c r="L992" s="4"/>
      <c r="M992" s="4"/>
      <c r="N992" s="7" t="str">
        <f t="shared" si="3"/>
        <v/>
      </c>
      <c r="O992" s="4" t="str">
        <f t="shared" si="11"/>
        <v/>
      </c>
      <c r="P992" s="4" t="str">
        <f t="array" ref="P992">XLOOKUP(L992,'Dados Funil'!A:A,'Dados Funil'!AM:AM,"")</f>
        <v/>
      </c>
      <c r="Q992" s="4" t="str">
        <f t="array" ref="Q992">XLOOKUP(L992,'Dados Funil'!A:A,'Dados Funil'!AN:AN,"")</f>
        <v/>
      </c>
      <c r="T992" s="7" t="str">
        <f t="shared" si="4"/>
        <v/>
      </c>
      <c r="U992" s="4" t="str">
        <f t="shared" si="12"/>
        <v/>
      </c>
      <c r="V992" s="4" t="str">
        <f t="array" ref="V992">XLOOKUP(R992,'Dados Funil'!$A:$A,'Dados Funil'!$K:$K,"")</f>
        <v/>
      </c>
      <c r="W992" s="4" t="str">
        <f t="array" ref="W992">XLOOKUP(R992,'Dados Funil'!$A:$A,'Dados Funil'!$L:$L,"")</f>
        <v/>
      </c>
      <c r="X992" s="4"/>
      <c r="Y992" s="4"/>
      <c r="Z992" s="7" t="str">
        <f t="shared" si="5"/>
        <v/>
      </c>
      <c r="AA992" s="4" t="str">
        <f t="shared" si="13"/>
        <v/>
      </c>
      <c r="AB992" s="4" t="str">
        <f t="array" ref="AB992">XLOOKUP(X992,'Dados Funil'!A:A,'Dados Funil'!O:O,"")</f>
        <v/>
      </c>
      <c r="AE992" s="7" t="str">
        <f t="shared" si="6"/>
        <v/>
      </c>
      <c r="AG992" s="4" t="str">
        <f t="array" ref="AG992">XLOOKUP(AC992,'Dados Funil'!A:A,'Dados Funil'!AM:AM,"")</f>
        <v/>
      </c>
      <c r="AH992" s="4" t="str">
        <f t="array" ref="AH992">XLOOKUP(AC992,'Dados Funil'!A:A,'Dados Funil'!AN:AN,"")</f>
        <v/>
      </c>
    </row>
    <row r="993">
      <c r="A993" s="4"/>
      <c r="B993" s="4"/>
      <c r="C993" s="7" t="str">
        <f t="shared" si="1"/>
        <v/>
      </c>
      <c r="D993" s="4" t="str">
        <f t="shared" si="9"/>
        <v/>
      </c>
      <c r="E993" s="4" t="str">
        <f t="array" ref="E993">XLOOKUP(A993,'Dados Funil'!$A:$A,'Dados Funil'!$K:$K,"")</f>
        <v/>
      </c>
      <c r="F993" s="4" t="str">
        <f t="array" ref="F993">XLOOKUP(A993,'Dados Funil'!$A:$A,'Dados Funil'!$L:$L,"")</f>
        <v/>
      </c>
      <c r="G993" s="4"/>
      <c r="H993" s="4"/>
      <c r="I993" s="7" t="str">
        <f t="shared" si="2"/>
        <v/>
      </c>
      <c r="J993" s="4" t="str">
        <f t="shared" si="10"/>
        <v/>
      </c>
      <c r="K993" s="4" t="str">
        <f t="array" ref="K993">XLOOKUP(G993,'Dados Funil'!A:A,'Dados Funil'!O:O,"")</f>
        <v/>
      </c>
      <c r="L993" s="4"/>
      <c r="M993" s="4"/>
      <c r="N993" s="7" t="str">
        <f t="shared" si="3"/>
        <v/>
      </c>
      <c r="O993" s="4" t="str">
        <f t="shared" si="11"/>
        <v/>
      </c>
      <c r="P993" s="4" t="str">
        <f t="array" ref="P993">XLOOKUP(L993,'Dados Funil'!A:A,'Dados Funil'!AM:AM,"")</f>
        <v/>
      </c>
      <c r="Q993" s="4" t="str">
        <f t="array" ref="Q993">XLOOKUP(L993,'Dados Funil'!A:A,'Dados Funil'!AN:AN,"")</f>
        <v/>
      </c>
      <c r="T993" s="7" t="str">
        <f t="shared" si="4"/>
        <v/>
      </c>
      <c r="U993" s="4" t="str">
        <f t="shared" si="12"/>
        <v/>
      </c>
      <c r="V993" s="4" t="str">
        <f t="array" ref="V993">XLOOKUP(R993,'Dados Funil'!$A:$A,'Dados Funil'!$K:$K,"")</f>
        <v/>
      </c>
      <c r="W993" s="4" t="str">
        <f t="array" ref="W993">XLOOKUP(R993,'Dados Funil'!$A:$A,'Dados Funil'!$L:$L,"")</f>
        <v/>
      </c>
      <c r="X993" s="4"/>
      <c r="Y993" s="4"/>
      <c r="Z993" s="7" t="str">
        <f t="shared" si="5"/>
        <v/>
      </c>
      <c r="AA993" s="4" t="str">
        <f t="shared" si="13"/>
        <v/>
      </c>
      <c r="AB993" s="4" t="str">
        <f t="array" ref="AB993">XLOOKUP(X993,'Dados Funil'!A:A,'Dados Funil'!O:O,"")</f>
        <v/>
      </c>
      <c r="AE993" s="7" t="str">
        <f t="shared" si="6"/>
        <v/>
      </c>
      <c r="AG993" s="4" t="str">
        <f t="array" ref="AG993">XLOOKUP(AC993,'Dados Funil'!A:A,'Dados Funil'!AM:AM,"")</f>
        <v/>
      </c>
      <c r="AH993" s="4" t="str">
        <f t="array" ref="AH993">XLOOKUP(AC993,'Dados Funil'!A:A,'Dados Funil'!AN:AN,"")</f>
        <v/>
      </c>
    </row>
    <row r="994">
      <c r="A994" s="4"/>
      <c r="B994" s="4"/>
      <c r="C994" s="7" t="str">
        <f t="shared" si="1"/>
        <v/>
      </c>
      <c r="D994" s="4" t="str">
        <f t="shared" si="9"/>
        <v/>
      </c>
      <c r="E994" s="4" t="str">
        <f t="array" ref="E994">XLOOKUP(A994,'Dados Funil'!$A:$A,'Dados Funil'!$K:$K,"")</f>
        <v/>
      </c>
      <c r="F994" s="4" t="str">
        <f t="array" ref="F994">XLOOKUP(A994,'Dados Funil'!$A:$A,'Dados Funil'!$L:$L,"")</f>
        <v/>
      </c>
      <c r="G994" s="4"/>
      <c r="H994" s="4"/>
      <c r="I994" s="7" t="str">
        <f t="shared" si="2"/>
        <v/>
      </c>
      <c r="J994" s="4" t="str">
        <f t="shared" si="10"/>
        <v/>
      </c>
      <c r="K994" s="4" t="str">
        <f t="array" ref="K994">XLOOKUP(G994,'Dados Funil'!A:A,'Dados Funil'!O:O,"")</f>
        <v/>
      </c>
      <c r="L994" s="4"/>
      <c r="M994" s="4"/>
      <c r="N994" s="7" t="str">
        <f t="shared" si="3"/>
        <v/>
      </c>
      <c r="O994" s="4" t="str">
        <f t="shared" si="11"/>
        <v/>
      </c>
      <c r="P994" s="4" t="str">
        <f t="array" ref="P994">XLOOKUP(L994,'Dados Funil'!A:A,'Dados Funil'!AM:AM,"")</f>
        <v/>
      </c>
      <c r="Q994" s="4" t="str">
        <f t="array" ref="Q994">XLOOKUP(L994,'Dados Funil'!A:A,'Dados Funil'!AN:AN,"")</f>
        <v/>
      </c>
      <c r="T994" s="7" t="str">
        <f t="shared" si="4"/>
        <v/>
      </c>
      <c r="U994" s="4" t="str">
        <f t="shared" si="12"/>
        <v/>
      </c>
      <c r="V994" s="4" t="str">
        <f t="array" ref="V994">XLOOKUP(R994,'Dados Funil'!$A:$A,'Dados Funil'!$K:$K,"")</f>
        <v/>
      </c>
      <c r="W994" s="4" t="str">
        <f t="array" ref="W994">XLOOKUP(R994,'Dados Funil'!$A:$A,'Dados Funil'!$L:$L,"")</f>
        <v/>
      </c>
      <c r="X994" s="4"/>
      <c r="Y994" s="4"/>
      <c r="Z994" s="7" t="str">
        <f t="shared" si="5"/>
        <v/>
      </c>
      <c r="AA994" s="4" t="str">
        <f t="shared" si="13"/>
        <v/>
      </c>
      <c r="AB994" s="4" t="str">
        <f t="array" ref="AB994">XLOOKUP(X994,'Dados Funil'!A:A,'Dados Funil'!O:O,"")</f>
        <v/>
      </c>
      <c r="AE994" s="7" t="str">
        <f t="shared" si="6"/>
        <v/>
      </c>
      <c r="AG994" s="4" t="str">
        <f t="array" ref="AG994">XLOOKUP(AC994,'Dados Funil'!A:A,'Dados Funil'!AM:AM,"")</f>
        <v/>
      </c>
      <c r="AH994" s="4" t="str">
        <f t="array" ref="AH994">XLOOKUP(AC994,'Dados Funil'!A:A,'Dados Funil'!AN:AN,"")</f>
        <v/>
      </c>
    </row>
    <row r="995">
      <c r="A995" s="4"/>
      <c r="B995" s="4"/>
      <c r="C995" s="7" t="str">
        <f t="shared" si="1"/>
        <v/>
      </c>
      <c r="D995" s="4" t="str">
        <f t="shared" si="9"/>
        <v/>
      </c>
      <c r="E995" s="4" t="str">
        <f t="array" ref="E995">XLOOKUP(A995,'Dados Funil'!$A:$A,'Dados Funil'!$K:$K,"")</f>
        <v/>
      </c>
      <c r="F995" s="4" t="str">
        <f t="array" ref="F995">XLOOKUP(A995,'Dados Funil'!$A:$A,'Dados Funil'!$L:$L,"")</f>
        <v/>
      </c>
      <c r="G995" s="4"/>
      <c r="H995" s="4"/>
      <c r="I995" s="7" t="str">
        <f t="shared" si="2"/>
        <v/>
      </c>
      <c r="J995" s="4" t="str">
        <f t="shared" si="10"/>
        <v/>
      </c>
      <c r="K995" s="4" t="str">
        <f t="array" ref="K995">XLOOKUP(G995,'Dados Funil'!A:A,'Dados Funil'!O:O,"")</f>
        <v/>
      </c>
      <c r="L995" s="4"/>
      <c r="M995" s="4"/>
      <c r="N995" s="7" t="str">
        <f t="shared" si="3"/>
        <v/>
      </c>
      <c r="O995" s="4" t="str">
        <f t="shared" si="11"/>
        <v/>
      </c>
      <c r="P995" s="4" t="str">
        <f t="array" ref="P995">XLOOKUP(L995,'Dados Funil'!A:A,'Dados Funil'!AM:AM,"")</f>
        <v/>
      </c>
      <c r="Q995" s="4" t="str">
        <f t="array" ref="Q995">XLOOKUP(L995,'Dados Funil'!A:A,'Dados Funil'!AN:AN,"")</f>
        <v/>
      </c>
      <c r="T995" s="7" t="str">
        <f t="shared" si="4"/>
        <v/>
      </c>
      <c r="U995" s="4" t="str">
        <f t="shared" si="12"/>
        <v/>
      </c>
      <c r="V995" s="4" t="str">
        <f t="array" ref="V995">XLOOKUP(R995,'Dados Funil'!$A:$A,'Dados Funil'!$K:$K,"")</f>
        <v/>
      </c>
      <c r="W995" s="4" t="str">
        <f t="array" ref="W995">XLOOKUP(R995,'Dados Funil'!$A:$A,'Dados Funil'!$L:$L,"")</f>
        <v/>
      </c>
      <c r="X995" s="4"/>
      <c r="Y995" s="4"/>
      <c r="Z995" s="7" t="str">
        <f t="shared" si="5"/>
        <v/>
      </c>
      <c r="AA995" s="4" t="str">
        <f t="shared" si="13"/>
        <v/>
      </c>
      <c r="AB995" s="4" t="str">
        <f t="array" ref="AB995">XLOOKUP(X995,'Dados Funil'!A:A,'Dados Funil'!O:O,"")</f>
        <v/>
      </c>
      <c r="AE995" s="7" t="str">
        <f t="shared" si="6"/>
        <v/>
      </c>
      <c r="AG995" s="4" t="str">
        <f t="array" ref="AG995">XLOOKUP(AC995,'Dados Funil'!A:A,'Dados Funil'!AM:AM,"")</f>
        <v/>
      </c>
      <c r="AH995" s="4" t="str">
        <f t="array" ref="AH995">XLOOKUP(AC995,'Dados Funil'!A:A,'Dados Funil'!AN:AN,"")</f>
        <v/>
      </c>
    </row>
    <row r="996">
      <c r="A996" s="4"/>
      <c r="B996" s="4"/>
      <c r="C996" s="7" t="str">
        <f t="shared" si="1"/>
        <v/>
      </c>
      <c r="D996" s="4" t="str">
        <f t="shared" si="9"/>
        <v/>
      </c>
      <c r="E996" s="4" t="str">
        <f t="array" ref="E996">XLOOKUP(A996,'Dados Funil'!$A:$A,'Dados Funil'!$K:$K,"")</f>
        <v/>
      </c>
      <c r="F996" s="4" t="str">
        <f t="array" ref="F996">XLOOKUP(A996,'Dados Funil'!$A:$A,'Dados Funil'!$L:$L,"")</f>
        <v/>
      </c>
      <c r="G996" s="4"/>
      <c r="H996" s="4"/>
      <c r="I996" s="7" t="str">
        <f t="shared" si="2"/>
        <v/>
      </c>
      <c r="J996" s="4" t="str">
        <f t="shared" si="10"/>
        <v/>
      </c>
      <c r="K996" s="4" t="str">
        <f t="array" ref="K996">XLOOKUP(G996,'Dados Funil'!A:A,'Dados Funil'!O:O,"")</f>
        <v/>
      </c>
      <c r="L996" s="4"/>
      <c r="M996" s="4"/>
      <c r="N996" s="7" t="str">
        <f t="shared" si="3"/>
        <v/>
      </c>
      <c r="O996" s="4" t="str">
        <f t="shared" si="11"/>
        <v/>
      </c>
      <c r="P996" s="4" t="str">
        <f t="array" ref="P996">XLOOKUP(L996,'Dados Funil'!A:A,'Dados Funil'!AM:AM,"")</f>
        <v/>
      </c>
      <c r="Q996" s="4" t="str">
        <f t="array" ref="Q996">XLOOKUP(L996,'Dados Funil'!A:A,'Dados Funil'!AN:AN,"")</f>
        <v/>
      </c>
      <c r="T996" s="7" t="str">
        <f t="shared" si="4"/>
        <v/>
      </c>
      <c r="U996" s="4" t="str">
        <f t="shared" si="12"/>
        <v/>
      </c>
      <c r="V996" s="4" t="str">
        <f t="array" ref="V996">XLOOKUP(R996,'Dados Funil'!$A:$A,'Dados Funil'!$K:$K,"")</f>
        <v/>
      </c>
      <c r="W996" s="4" t="str">
        <f t="array" ref="W996">XLOOKUP(R996,'Dados Funil'!$A:$A,'Dados Funil'!$L:$L,"")</f>
        <v/>
      </c>
      <c r="X996" s="4"/>
      <c r="Y996" s="4"/>
      <c r="Z996" s="7" t="str">
        <f t="shared" si="5"/>
        <v/>
      </c>
      <c r="AA996" s="4" t="str">
        <f t="shared" si="13"/>
        <v/>
      </c>
      <c r="AB996" s="4" t="str">
        <f t="array" ref="AB996">XLOOKUP(X996,'Dados Funil'!A:A,'Dados Funil'!O:O,"")</f>
        <v/>
      </c>
      <c r="AE996" s="7" t="str">
        <f t="shared" si="6"/>
        <v/>
      </c>
      <c r="AG996" s="4" t="str">
        <f t="array" ref="AG996">XLOOKUP(AC996,'Dados Funil'!A:A,'Dados Funil'!AM:AM,"")</f>
        <v/>
      </c>
      <c r="AH996" s="4" t="str">
        <f t="array" ref="AH996">XLOOKUP(AC996,'Dados Funil'!A:A,'Dados Funil'!AN:AN,"")</f>
        <v/>
      </c>
    </row>
    <row r="997">
      <c r="A997" s="4"/>
      <c r="B997" s="4"/>
      <c r="C997" s="7" t="str">
        <f t="shared" si="1"/>
        <v/>
      </c>
      <c r="D997" s="4" t="str">
        <f t="shared" si="9"/>
        <v/>
      </c>
      <c r="E997" s="4" t="str">
        <f t="array" ref="E997">XLOOKUP(A997,'Dados Funil'!$A:$A,'Dados Funil'!$K:$K,"")</f>
        <v/>
      </c>
      <c r="F997" s="4" t="str">
        <f t="array" ref="F997">XLOOKUP(A997,'Dados Funil'!$A:$A,'Dados Funil'!$L:$L,"")</f>
        <v/>
      </c>
      <c r="G997" s="4"/>
      <c r="H997" s="4"/>
      <c r="I997" s="7" t="str">
        <f t="shared" si="2"/>
        <v/>
      </c>
      <c r="J997" s="4" t="str">
        <f t="shared" si="10"/>
        <v/>
      </c>
      <c r="K997" s="4" t="str">
        <f t="array" ref="K997">XLOOKUP(G997,'Dados Funil'!A:A,'Dados Funil'!O:O,"")</f>
        <v/>
      </c>
      <c r="L997" s="4"/>
      <c r="M997" s="4"/>
      <c r="N997" s="7" t="str">
        <f t="shared" si="3"/>
        <v/>
      </c>
      <c r="O997" s="4" t="str">
        <f t="shared" si="11"/>
        <v/>
      </c>
      <c r="P997" s="4" t="str">
        <f t="array" ref="P997">XLOOKUP(L997,'Dados Funil'!A:A,'Dados Funil'!AM:AM,"")</f>
        <v/>
      </c>
      <c r="Q997" s="4" t="str">
        <f t="array" ref="Q997">XLOOKUP(L997,'Dados Funil'!A:A,'Dados Funil'!AN:AN,"")</f>
        <v/>
      </c>
      <c r="T997" s="7" t="str">
        <f t="shared" si="4"/>
        <v/>
      </c>
      <c r="U997" s="4" t="str">
        <f t="shared" si="12"/>
        <v/>
      </c>
      <c r="V997" s="4" t="str">
        <f t="array" ref="V997">XLOOKUP(R997,'Dados Funil'!$A:$A,'Dados Funil'!$K:$K,"")</f>
        <v/>
      </c>
      <c r="W997" s="4" t="str">
        <f t="array" ref="W997">XLOOKUP(R997,'Dados Funil'!$A:$A,'Dados Funil'!$L:$L,"")</f>
        <v/>
      </c>
      <c r="X997" s="4"/>
      <c r="Y997" s="4"/>
      <c r="Z997" s="7" t="str">
        <f t="shared" si="5"/>
        <v/>
      </c>
      <c r="AA997" s="4" t="str">
        <f t="shared" si="13"/>
        <v/>
      </c>
      <c r="AB997" s="4" t="str">
        <f t="array" ref="AB997">XLOOKUP(X997,'Dados Funil'!A:A,'Dados Funil'!O:O,"")</f>
        <v/>
      </c>
      <c r="AE997" s="7" t="str">
        <f t="shared" si="6"/>
        <v/>
      </c>
      <c r="AG997" s="4" t="str">
        <f t="array" ref="AG997">XLOOKUP(AC997,'Dados Funil'!A:A,'Dados Funil'!AM:AM,"")</f>
        <v/>
      </c>
      <c r="AH997" s="4" t="str">
        <f t="array" ref="AH997">XLOOKUP(AC997,'Dados Funil'!A:A,'Dados Funil'!AN:AN,"")</f>
        <v/>
      </c>
    </row>
    <row r="998">
      <c r="A998" s="4"/>
      <c r="B998" s="4"/>
      <c r="C998" s="7" t="str">
        <f t="shared" si="1"/>
        <v/>
      </c>
      <c r="D998" s="4" t="str">
        <f t="shared" si="9"/>
        <v/>
      </c>
      <c r="E998" s="4" t="str">
        <f t="array" ref="E998">XLOOKUP(A998,'Dados Funil'!$A:$A,'Dados Funil'!$K:$K,"")</f>
        <v/>
      </c>
      <c r="F998" s="4" t="str">
        <f t="array" ref="F998">XLOOKUP(A998,'Dados Funil'!$A:$A,'Dados Funil'!$L:$L,"")</f>
        <v/>
      </c>
      <c r="G998" s="4"/>
      <c r="H998" s="4"/>
      <c r="I998" s="7" t="str">
        <f t="shared" si="2"/>
        <v/>
      </c>
      <c r="J998" s="4" t="str">
        <f t="shared" si="10"/>
        <v/>
      </c>
      <c r="K998" s="4" t="str">
        <f t="array" ref="K998">XLOOKUP(G998,'Dados Funil'!A:A,'Dados Funil'!O:O,"")</f>
        <v/>
      </c>
      <c r="L998" s="4"/>
      <c r="M998" s="4"/>
      <c r="N998" s="7" t="str">
        <f t="shared" si="3"/>
        <v/>
      </c>
      <c r="O998" s="4" t="str">
        <f t="shared" si="11"/>
        <v/>
      </c>
      <c r="P998" s="4" t="str">
        <f t="array" ref="P998">XLOOKUP(L998,'Dados Funil'!A:A,'Dados Funil'!AM:AM,"")</f>
        <v/>
      </c>
      <c r="Q998" s="4" t="str">
        <f t="array" ref="Q998">XLOOKUP(L998,'Dados Funil'!A:A,'Dados Funil'!AN:AN,"")</f>
        <v/>
      </c>
      <c r="T998" s="7" t="str">
        <f t="shared" si="4"/>
        <v/>
      </c>
      <c r="U998" s="4" t="str">
        <f t="shared" si="12"/>
        <v/>
      </c>
      <c r="V998" s="4" t="str">
        <f t="array" ref="V998">XLOOKUP(R998,'Dados Funil'!$A:$A,'Dados Funil'!$K:$K,"")</f>
        <v/>
      </c>
      <c r="W998" s="4" t="str">
        <f t="array" ref="W998">XLOOKUP(R998,'Dados Funil'!$A:$A,'Dados Funil'!$L:$L,"")</f>
        <v/>
      </c>
      <c r="X998" s="4"/>
      <c r="Y998" s="4"/>
      <c r="Z998" s="7" t="str">
        <f t="shared" si="5"/>
        <v/>
      </c>
      <c r="AA998" s="4" t="str">
        <f t="shared" si="13"/>
        <v/>
      </c>
      <c r="AB998" s="4" t="str">
        <f t="array" ref="AB998">XLOOKUP(X998,'Dados Funil'!A:A,'Dados Funil'!O:O,"")</f>
        <v/>
      </c>
      <c r="AE998" s="7" t="str">
        <f t="shared" si="6"/>
        <v/>
      </c>
      <c r="AG998" s="4" t="str">
        <f t="array" ref="AG998">XLOOKUP(AC998,'Dados Funil'!A:A,'Dados Funil'!AM:AM,"")</f>
        <v/>
      </c>
      <c r="AH998" s="4" t="str">
        <f t="array" ref="AH998">XLOOKUP(AC998,'Dados Funil'!A:A,'Dados Funil'!AN:AN,"")</f>
        <v/>
      </c>
    </row>
    <row r="999">
      <c r="A999" s="4"/>
      <c r="B999" s="4"/>
      <c r="C999" s="7" t="str">
        <f t="shared" si="1"/>
        <v/>
      </c>
      <c r="D999" s="4" t="str">
        <f t="shared" si="9"/>
        <v/>
      </c>
      <c r="E999" s="4" t="str">
        <f t="array" ref="E999">XLOOKUP(A999,'Dados Funil'!$A:$A,'Dados Funil'!$K:$K,"")</f>
        <v/>
      </c>
      <c r="F999" s="4" t="str">
        <f t="array" ref="F999">XLOOKUP(A999,'Dados Funil'!$A:$A,'Dados Funil'!$L:$L,"")</f>
        <v/>
      </c>
      <c r="G999" s="4"/>
      <c r="H999" s="4"/>
      <c r="I999" s="7" t="str">
        <f t="shared" si="2"/>
        <v/>
      </c>
      <c r="J999" s="4" t="str">
        <f t="shared" si="10"/>
        <v/>
      </c>
      <c r="K999" s="4" t="str">
        <f t="array" ref="K999">XLOOKUP(G999,'Dados Funil'!A:A,'Dados Funil'!O:O,"")</f>
        <v/>
      </c>
      <c r="L999" s="4"/>
      <c r="M999" s="4"/>
      <c r="N999" s="7" t="str">
        <f t="shared" si="3"/>
        <v/>
      </c>
      <c r="O999" s="4" t="str">
        <f t="shared" si="11"/>
        <v/>
      </c>
      <c r="P999" s="4" t="str">
        <f t="array" ref="P999">XLOOKUP(L999,'Dados Funil'!A:A,'Dados Funil'!AM:AM,"")</f>
        <v/>
      </c>
      <c r="Q999" s="4" t="str">
        <f t="array" ref="Q999">XLOOKUP(L999,'Dados Funil'!A:A,'Dados Funil'!AN:AN,"")</f>
        <v/>
      </c>
      <c r="T999" s="7" t="str">
        <f t="shared" si="4"/>
        <v/>
      </c>
      <c r="U999" s="4" t="str">
        <f t="shared" si="12"/>
        <v/>
      </c>
      <c r="V999" s="4" t="str">
        <f t="array" ref="V999">XLOOKUP(R999,'Dados Funil'!$A:$A,'Dados Funil'!$K:$K,"")</f>
        <v/>
      </c>
      <c r="W999" s="4" t="str">
        <f t="array" ref="W999">XLOOKUP(R999,'Dados Funil'!$A:$A,'Dados Funil'!$L:$L,"")</f>
        <v/>
      </c>
      <c r="X999" s="4"/>
      <c r="Y999" s="4"/>
      <c r="Z999" s="7" t="str">
        <f t="shared" si="5"/>
        <v/>
      </c>
      <c r="AA999" s="4" t="str">
        <f t="shared" si="13"/>
        <v/>
      </c>
      <c r="AB999" s="4" t="str">
        <f t="array" ref="AB999">XLOOKUP(X999,'Dados Funil'!A:A,'Dados Funil'!O:O,"")</f>
        <v/>
      </c>
      <c r="AE999" s="7" t="str">
        <f t="shared" si="6"/>
        <v/>
      </c>
      <c r="AG999" s="4" t="str">
        <f t="array" ref="AG999">XLOOKUP(AC999,'Dados Funil'!A:A,'Dados Funil'!AM:AM,"")</f>
        <v/>
      </c>
      <c r="AH999" s="4" t="str">
        <f t="array" ref="AH999">XLOOKUP(AC999,'Dados Funil'!A:A,'Dados Funil'!AN:AN,"")</f>
        <v/>
      </c>
    </row>
    <row r="1000">
      <c r="A1000" s="4"/>
      <c r="B1000" s="4"/>
      <c r="C1000" s="7" t="str">
        <f t="shared" si="1"/>
        <v/>
      </c>
      <c r="D1000" s="4" t="str">
        <f t="shared" si="9"/>
        <v/>
      </c>
      <c r="E1000" s="4" t="str">
        <f t="array" ref="E1000">XLOOKUP(A1000,'Dados Funil'!$A:$A,'Dados Funil'!$K:$K,"")</f>
        <v/>
      </c>
      <c r="F1000" s="4" t="str">
        <f t="array" ref="F1000">XLOOKUP(A1000,'Dados Funil'!$A:$A,'Dados Funil'!$L:$L,"")</f>
        <v/>
      </c>
      <c r="G1000" s="4"/>
      <c r="H1000" s="4"/>
      <c r="I1000" s="7" t="str">
        <f t="shared" si="2"/>
        <v/>
      </c>
      <c r="J1000" s="4" t="str">
        <f t="shared" si="10"/>
        <v/>
      </c>
      <c r="K1000" s="4" t="str">
        <f t="array" ref="K1000">XLOOKUP(G1000,'Dados Funil'!A:A,'Dados Funil'!O:O,"")</f>
        <v/>
      </c>
      <c r="L1000" s="4"/>
      <c r="M1000" s="4"/>
      <c r="N1000" s="7" t="str">
        <f t="shared" si="3"/>
        <v/>
      </c>
      <c r="O1000" s="4" t="str">
        <f t="shared" si="11"/>
        <v/>
      </c>
      <c r="P1000" s="4" t="str">
        <f t="array" ref="P1000">XLOOKUP(L1000,'Dados Funil'!A:A,'Dados Funil'!AM:AM,"")</f>
        <v/>
      </c>
      <c r="Q1000" s="4" t="str">
        <f t="array" ref="Q1000">XLOOKUP(L1000,'Dados Funil'!A:A,'Dados Funil'!AN:AN,"")</f>
        <v/>
      </c>
      <c r="T1000" s="7" t="str">
        <f t="shared" si="4"/>
        <v/>
      </c>
      <c r="U1000" s="4" t="str">
        <f t="shared" si="12"/>
        <v/>
      </c>
      <c r="V1000" s="4" t="str">
        <f t="array" ref="V1000">XLOOKUP(R1000,'Dados Funil'!$A:$A,'Dados Funil'!$K:$K,"")</f>
        <v/>
      </c>
      <c r="W1000" s="4" t="str">
        <f t="array" ref="W1000">XLOOKUP(R1000,'Dados Funil'!$A:$A,'Dados Funil'!$L:$L,"")</f>
        <v/>
      </c>
      <c r="X1000" s="4"/>
      <c r="Y1000" s="4"/>
      <c r="Z1000" s="7" t="str">
        <f t="shared" si="5"/>
        <v/>
      </c>
      <c r="AA1000" s="4" t="str">
        <f t="shared" si="13"/>
        <v/>
      </c>
      <c r="AB1000" s="4" t="str">
        <f t="array" ref="AB1000">XLOOKUP(X1000,'Dados Funil'!A:A,'Dados Funil'!O:O,"")</f>
        <v/>
      </c>
      <c r="AE1000" s="7" t="str">
        <f t="shared" si="6"/>
        <v/>
      </c>
      <c r="AG1000" s="4" t="str">
        <f t="array" ref="AG1000">XLOOKUP(AC1000,'Dados Funil'!A:A,'Dados Funil'!AM:AM,"")</f>
        <v/>
      </c>
      <c r="AH1000" s="4" t="str">
        <f t="array" ref="AH1000">XLOOKUP(AC1000,'Dados Funil'!A:A,'Dados Funil'!AN:AN,"")</f>
        <v/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96</v>
      </c>
      <c r="B1" s="1" t="s">
        <v>97</v>
      </c>
    </row>
  </sheetData>
  <dataValidations>
    <dataValidation type="list" allowBlank="1" showErrorMessage="1" sqref="B1">
      <formula1>"Geral,Mari,Tai,Matheus,Euder"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0.75"/>
    <col customWidth="1" min="3" max="3" width="11.88"/>
    <col customWidth="1" min="4" max="4" width="12.25"/>
    <col customWidth="1" min="5" max="5" width="12.63"/>
    <col customWidth="1" min="6" max="6" width="22.38"/>
    <col customWidth="1" min="7" max="7" width="25.38"/>
    <col customWidth="1" min="8" max="8" width="25.0"/>
    <col customWidth="1" min="9" max="9" width="10.75"/>
    <col customWidth="1" min="10" max="10" width="11.38"/>
    <col customWidth="1" min="11" max="11" width="11.63"/>
    <col customWidth="1" min="12" max="12" width="13.13"/>
    <col customWidth="1" min="13" max="13" width="21.88"/>
    <col customWidth="1" min="14" max="14" width="25.0"/>
    <col customWidth="1" min="15" max="15" width="24.63"/>
    <col customWidth="1" min="16" max="16" width="10.75"/>
    <col customWidth="1" min="17" max="17" width="11.38"/>
    <col customWidth="1" min="18" max="18" width="11.25"/>
    <col customWidth="1" min="19" max="19" width="12.63"/>
    <col customWidth="1" min="20" max="20" width="22.13"/>
    <col customWidth="1" min="21" max="21" width="25.25"/>
    <col customWidth="1" min="22" max="22" width="24.88"/>
    <col customWidth="1" min="23" max="23" width="10.75"/>
    <col customWidth="1" min="24" max="24" width="11.63"/>
    <col customWidth="1" min="25" max="25" width="11.25"/>
    <col customWidth="1" min="26" max="26" width="12.25"/>
    <col customWidth="1" min="27" max="27" width="14.5"/>
    <col customWidth="1" min="28" max="28" width="17.63"/>
    <col customWidth="1" min="29" max="29" width="14.0"/>
    <col customWidth="1" min="30" max="30" width="16.0"/>
    <col customWidth="1" min="31" max="31" width="10.88"/>
    <col customWidth="1" min="32" max="32" width="13.88"/>
    <col customWidth="1" min="33" max="33" width="11.25"/>
    <col customWidth="1" min="34" max="34" width="12.25"/>
    <col customWidth="1" min="35" max="35" width="25.0"/>
    <col customWidth="1" min="36" max="36" width="27.25"/>
    <col customWidth="1" min="37" max="37" width="18.13"/>
    <col customWidth="1" min="38" max="38" width="22.13"/>
    <col customWidth="1" min="39" max="39" width="17.63"/>
    <col customWidth="1" min="40" max="40" width="19.5"/>
    <col customWidth="1" min="41" max="41" width="30.5"/>
    <col customWidth="1" min="42" max="42" width="27.25"/>
  </cols>
  <sheetData>
    <row r="1">
      <c r="A1" s="15" t="s">
        <v>98</v>
      </c>
      <c r="B1" s="15" t="s">
        <v>99</v>
      </c>
      <c r="C1" s="15" t="s">
        <v>100</v>
      </c>
      <c r="D1" s="15" t="s">
        <v>101</v>
      </c>
      <c r="E1" s="16" t="s">
        <v>102</v>
      </c>
      <c r="F1" s="15" t="s">
        <v>103</v>
      </c>
      <c r="G1" s="15" t="s">
        <v>104</v>
      </c>
      <c r="H1" s="17" t="s">
        <v>105</v>
      </c>
      <c r="I1" s="15" t="s">
        <v>87</v>
      </c>
      <c r="J1" s="15" t="s">
        <v>92</v>
      </c>
      <c r="K1" s="15" t="s">
        <v>56</v>
      </c>
      <c r="L1" s="15" t="s">
        <v>57</v>
      </c>
      <c r="M1" s="16" t="s">
        <v>106</v>
      </c>
      <c r="N1" s="15" t="s">
        <v>107</v>
      </c>
      <c r="O1" s="15" t="s">
        <v>108</v>
      </c>
      <c r="P1" s="15" t="s">
        <v>109</v>
      </c>
      <c r="Q1" s="15" t="s">
        <v>110</v>
      </c>
      <c r="R1" s="15" t="s">
        <v>111</v>
      </c>
      <c r="S1" s="15" t="s">
        <v>112</v>
      </c>
      <c r="T1" s="15" t="s">
        <v>113</v>
      </c>
      <c r="U1" s="15" t="s">
        <v>114</v>
      </c>
      <c r="V1" s="15" t="s">
        <v>115</v>
      </c>
      <c r="W1" s="15" t="s">
        <v>116</v>
      </c>
      <c r="X1" s="15" t="s">
        <v>117</v>
      </c>
      <c r="Y1" s="15" t="s">
        <v>118</v>
      </c>
      <c r="Z1" s="15" t="s">
        <v>119</v>
      </c>
      <c r="AA1" s="15" t="s">
        <v>120</v>
      </c>
      <c r="AB1" s="15" t="s">
        <v>121</v>
      </c>
      <c r="AC1" s="15" t="s">
        <v>122</v>
      </c>
      <c r="AD1" s="15" t="s">
        <v>123</v>
      </c>
      <c r="AE1" s="15" t="s">
        <v>124</v>
      </c>
      <c r="AF1" s="15" t="s">
        <v>125</v>
      </c>
      <c r="AG1" s="15" t="s">
        <v>126</v>
      </c>
      <c r="AH1" s="15" t="s">
        <v>127</v>
      </c>
      <c r="AI1" s="15" t="s">
        <v>128</v>
      </c>
      <c r="AJ1" s="15" t="s">
        <v>129</v>
      </c>
      <c r="AK1" s="15" t="s">
        <v>89</v>
      </c>
      <c r="AL1" s="15" t="s">
        <v>94</v>
      </c>
      <c r="AM1" s="15" t="s">
        <v>67</v>
      </c>
      <c r="AN1" s="15" t="s">
        <v>68</v>
      </c>
      <c r="AO1" s="15" t="s">
        <v>130</v>
      </c>
      <c r="AP1" s="15" t="s">
        <v>131</v>
      </c>
    </row>
    <row r="2">
      <c r="A2" s="4" t="str">
        <f>IFERROR(__xludf.DUMMYFUNCTION("ARRAYFORMULA(IFERROR(FILTER(
  IMPORTRANGE(""https://docs.google.com/spreadsheets/d/1D6uzcbxSwPrh4oDMzqUQcTT-8H5GNx5DfmYrtr-kz2w"", 
  ""Visão ""&amp;'Parâmetro'!B1&amp;"" - Metas Comercial!A7:AH100""),
  INDEX(IMPORTRANGE(""https://docs.google.com/spreadsheets/d"&amp;"/1D6uzcbxSwPrh4oDMzqUQcTT-8H5GNx5DfmYrtr-kz2w"", 
  ""Visão ""&amp;'Parâmetro'!B1&amp;"" - Metas Comercial!BF7:BF100""))=""Funis de Marketing""
), 0))
"),"Form G4 Instagram G4")</f>
        <v>Form G4 Instagram G4</v>
      </c>
      <c r="B2" s="18">
        <f>IFERROR(__xludf.DUMMYFUNCTION("""COMPUTED_VALUE"""),767.7419354838706)</f>
        <v>767.7419355</v>
      </c>
      <c r="C2" s="19">
        <f>IFERROR(__xludf.DUMMYFUNCTION("""COMPUTED_VALUE"""),708.0)</f>
        <v>708</v>
      </c>
      <c r="D2" s="20">
        <f>IFERROR(__xludf.DUMMYFUNCTION("""COMPUTED_VALUE"""),-59.741935483870634)</f>
        <v>-59.74193548</v>
      </c>
      <c r="E2" s="21">
        <f>IFERROR(__xludf.DUMMYFUNCTION("""COMPUTED_VALUE"""),-0.07781512605041976)</f>
        <v>-0.07781512605</v>
      </c>
      <c r="F2" s="22">
        <f>IFERROR(__xludf.DUMMYFUNCTION("""COMPUTED_VALUE"""),0.8)</f>
        <v>0.8</v>
      </c>
      <c r="G2" s="22">
        <f>IFERROR(__xludf.DUMMYFUNCTION("""COMPUTED_VALUE"""),0.7669491525423728)</f>
        <v>0.7669491525</v>
      </c>
      <c r="H2" s="23">
        <f>IFERROR(__xludf.DUMMYFUNCTION("""COMPUTED_VALUE"""),-3.305084745762721)</f>
        <v>-3.305084746</v>
      </c>
      <c r="I2" s="18">
        <f>IFERROR(__xludf.DUMMYFUNCTION("""COMPUTED_VALUE"""),614.1935483870965)</f>
        <v>614.1935484</v>
      </c>
      <c r="J2" s="19">
        <f>IFERROR(__xludf.DUMMYFUNCTION("""COMPUTED_VALUE"""),543.0)</f>
        <v>543</v>
      </c>
      <c r="K2" s="20">
        <f>IFERROR(__xludf.DUMMYFUNCTION("""COMPUTED_VALUE"""),-71.19354838709648)</f>
        <v>-71.19354839</v>
      </c>
      <c r="L2" s="21">
        <f>IFERROR(__xludf.DUMMYFUNCTION("""COMPUTED_VALUE"""),-0.11591386554621808)</f>
        <v>-0.1159138655</v>
      </c>
      <c r="M2" s="24">
        <f>IFERROR(__xludf.DUMMYFUNCTION("""COMPUTED_VALUE"""),0.3619368879216539)</f>
        <v>0.3619368879</v>
      </c>
      <c r="N2" s="22">
        <f>IFERROR(__xludf.DUMMYFUNCTION("""COMPUTED_VALUE"""),0.3425414364640884)</f>
        <v>0.3425414365</v>
      </c>
      <c r="O2" s="25">
        <f>IFERROR(__xludf.DUMMYFUNCTION("""COMPUTED_VALUE"""),-1.9395451457565493)</f>
        <v>-1.939545146</v>
      </c>
      <c r="P2" s="18">
        <f>IFERROR(__xludf.DUMMYFUNCTION("""COMPUTED_VALUE"""),222.95312295973878)</f>
        <v>222.953123</v>
      </c>
      <c r="Q2" s="19">
        <f>IFERROR(__xludf.DUMMYFUNCTION("""COMPUTED_VALUE"""),186.0)</f>
        <v>186</v>
      </c>
      <c r="R2" s="20">
        <f>IFERROR(__xludf.DUMMYFUNCTION("""COMPUTED_VALUE"""),-36.95312295973878)</f>
        <v>-36.95312296</v>
      </c>
      <c r="S2" s="26">
        <f>IFERROR(__xludf.DUMMYFUNCTION("""COMPUTED_VALUE"""),-0.1657439127525109)</f>
        <v>-0.1657439128</v>
      </c>
      <c r="T2" s="22">
        <f>IFERROR(__xludf.DUMMYFUNCTION("""COMPUTED_VALUE"""),0.18)</f>
        <v>0.18</v>
      </c>
      <c r="U2" s="22">
        <f>IFERROR(__xludf.DUMMYFUNCTION("""COMPUTED_VALUE"""),0.10215053763440861)</f>
        <v>0.1021505376</v>
      </c>
      <c r="V2" s="23">
        <f>IFERROR(__xludf.DUMMYFUNCTION("""COMPUTED_VALUE"""),-7.784946236559138)</f>
        <v>-7.784946237</v>
      </c>
      <c r="W2" s="18">
        <f>IFERROR(__xludf.DUMMYFUNCTION("""COMPUTED_VALUE"""),40.13156213275298)</f>
        <v>40.13156213</v>
      </c>
      <c r="X2" s="19">
        <f>IFERROR(__xludf.DUMMYFUNCTION("""COMPUTED_VALUE"""),19.0)</f>
        <v>19</v>
      </c>
      <c r="Y2" s="20">
        <f>IFERROR(__xludf.DUMMYFUNCTION("""COMPUTED_VALUE"""),-21.131562132752983)</f>
        <v>-21.13156213</v>
      </c>
      <c r="Z2" s="27">
        <f>IFERROR(__xludf.DUMMYFUNCTION("""COMPUTED_VALUE"""),-0.5265571786827272)</f>
        <v>-0.5265571787</v>
      </c>
      <c r="AA2" s="18">
        <f>IFERROR(__xludf.DUMMYFUNCTION("""COMPUTED_VALUE"""),28000.0)</f>
        <v>28000</v>
      </c>
      <c r="AB2" s="19">
        <f>IFERROR(__xludf.DUMMYFUNCTION("""COMPUTED_VALUE"""),34776.15789473684)</f>
        <v>34776.15789</v>
      </c>
      <c r="AC2" s="20">
        <f>IFERROR(__xludf.DUMMYFUNCTION("""COMPUTED_VALUE"""),6776.15789473684)</f>
        <v>6776.157895</v>
      </c>
      <c r="AD2" s="27">
        <f>IFERROR(__xludf.DUMMYFUNCTION("""COMPUTED_VALUE"""),0.24200563909774428)</f>
        <v>0.2420056391</v>
      </c>
      <c r="AE2" s="18">
        <f>IFERROR(__xludf.DUMMYFUNCTION("""COMPUTED_VALUE"""),867075.2347926005)</f>
        <v>867075.2348</v>
      </c>
      <c r="AF2" s="19">
        <f>IFERROR(__xludf.DUMMYFUNCTION("""COMPUTED_VALUE"""),660747.0)</f>
        <v>660747</v>
      </c>
      <c r="AG2" s="20">
        <f>IFERROR(__xludf.DUMMYFUNCTION("""COMPUTED_VALUE"""),-206328.2347926005)</f>
        <v>-206328.2348</v>
      </c>
      <c r="AH2" s="28">
        <f>IFERROR(__xludf.DUMMYFUNCTION("""COMPUTED_VALUE"""),-0.23795886044646755)</f>
        <v>-0.2379588604</v>
      </c>
      <c r="AI2" s="29">
        <f>IFERROR(__xludf.DUMMYFUNCTION("ARRAYFORMULA(IFERROR(FILTER(
  IMPORTRANGE(""https://docs.google.com/spreadsheets/d/1D6uzcbxSwPrh4oDMzqUQcTT-8H5GNx5DfmYrtr-kz2w"", 
  ""Visão ""&amp;'Parâmetro'!B1&amp;"" - Metas Comercial!BB7:BC100""),
  INDEX(IMPORTRANGE(""https://docs.google.com/spreadsheets/"&amp;"d/1D6uzcbxSwPrh4oDMzqUQcTT-8H5GNx5DfmYrtr-kz2w"", 
  ""Visão ""&amp;'Parâmetro'!B1&amp;"" - Metas Comercial!BF7:BF100""))=""Funis de Marketing""
), 0))
"),-129868.55957035994)</f>
        <v>-129868.5596</v>
      </c>
      <c r="AJ2" s="29">
        <f>IFERROR(__xludf.DUMMYFUNCTION("""COMPUTED_VALUE"""),-329772.9199129487)</f>
        <v>-329772.9199</v>
      </c>
      <c r="AK2" s="4">
        <f>IFERROR(__xludf.DUMMYFUNCTION("ARRAYFORMULA(IFERROR(FILTER(
  IMPORTRANGE(""https://docs.google.com/spreadsheets/d/1D6uzcbxSwPrh4oDMzqUQcTT-8H5GNx5DfmYrtr-kz2w"", 
  ""Visão ""&amp;'Parâmetro'!B1&amp;"" - Metas Comercial!AT7:AU100""),
  INDEX(IMPORTRANGE(""https://docs.google.com/spreadsheets/"&amp;"d/1D6uzcbxSwPrh4oDMzqUQcTT-8H5GNx5DfmYrtr-kz2w"", 
  ""Visão ""&amp;'Parâmetro'!B1&amp;"" - Metas Comercial!BF7:BF100""))=""Funis de Marketing""
), 0))
"),5040.0)</f>
        <v>5040</v>
      </c>
      <c r="AL2" s="30">
        <f>IFERROR(__xludf.DUMMYFUNCTION("""COMPUTED_VALUE"""),3552.4032258064517)</f>
        <v>3552.403226</v>
      </c>
      <c r="AM2" s="29">
        <f t="shared" ref="AM2:AM16" si="1">AL2-AK2</f>
        <v>-1487.596774</v>
      </c>
      <c r="AN2" s="31">
        <f t="shared" ref="AN2:AN16" si="2">AM2/AK2</f>
        <v>-0.2951580901</v>
      </c>
      <c r="AO2" s="12">
        <f t="shared" ref="AO2:AO16" si="3">J2*(N2-M2)*AK2</f>
        <v>-53079.91991</v>
      </c>
      <c r="AP2" s="12">
        <f t="shared" ref="AP2:AP16" si="4">J2*N2*AM2</f>
        <v>-276693</v>
      </c>
      <c r="AQ2" s="12">
        <f>SUMIFS(AP2:AP16,AP2:AP16,"&lt;"&amp;0)</f>
        <v>-1192905.447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>
      <c r="A3" s="4" t="str">
        <f>IFERROR(__xludf.DUMMYFUNCTION("""COMPUTED_VALUE"""),"Form G4 Outros - Orgânico")</f>
        <v>Form G4 Outros - Orgânico</v>
      </c>
      <c r="B3" s="18">
        <f>IFERROR(__xludf.DUMMYFUNCTION("""COMPUTED_VALUE"""),319.38064516129015)</f>
        <v>319.3806452</v>
      </c>
      <c r="C3" s="19">
        <f>IFERROR(__xludf.DUMMYFUNCTION("""COMPUTED_VALUE"""),262.0)</f>
        <v>262</v>
      </c>
      <c r="D3" s="20">
        <f>IFERROR(__xludf.DUMMYFUNCTION("""COMPUTED_VALUE"""),-57.38064516129015)</f>
        <v>-57.38064516</v>
      </c>
      <c r="E3" s="21">
        <f>IFERROR(__xludf.DUMMYFUNCTION("""COMPUTED_VALUE"""),-0.17966224951519025)</f>
        <v>-0.1796622495</v>
      </c>
      <c r="F3" s="22">
        <f>IFERROR(__xludf.DUMMYFUNCTION("""COMPUTED_VALUE"""),0.5817307692307692)</f>
        <v>0.5817307692</v>
      </c>
      <c r="G3" s="22">
        <f>IFERROR(__xludf.DUMMYFUNCTION("""COMPUTED_VALUE"""),0.6297709923664122)</f>
        <v>0.6297709924</v>
      </c>
      <c r="H3" s="23">
        <f>IFERROR(__xludf.DUMMYFUNCTION("""COMPUTED_VALUE"""),4.804022313564305)</f>
        <v>4.804022314</v>
      </c>
      <c r="I3" s="18">
        <f>IFERROR(__xludf.DUMMYFUNCTION("""COMPUTED_VALUE"""),185.79354838709665)</f>
        <v>185.7935484</v>
      </c>
      <c r="J3" s="19">
        <f>IFERROR(__xludf.DUMMYFUNCTION("""COMPUTED_VALUE"""),165.0)</f>
        <v>165</v>
      </c>
      <c r="K3" s="20">
        <f>IFERROR(__xludf.DUMMYFUNCTION("""COMPUTED_VALUE"""),-20.79354838709665)</f>
        <v>-20.79354839</v>
      </c>
      <c r="L3" s="21">
        <f>IFERROR(__xludf.DUMMYFUNCTION("""COMPUTED_VALUE"""),-0.11191749427043485)</f>
        <v>-0.1119174943</v>
      </c>
      <c r="M3" s="24">
        <f>IFERROR(__xludf.DUMMYFUNCTION("""COMPUTED_VALUE"""),0.44214876033057854)</f>
        <v>0.4421487603</v>
      </c>
      <c r="N3" s="22">
        <f>IFERROR(__xludf.DUMMYFUNCTION("""COMPUTED_VALUE"""),0.5212121212121212)</f>
        <v>0.5212121212</v>
      </c>
      <c r="O3" s="25">
        <f>IFERROR(__xludf.DUMMYFUNCTION("""COMPUTED_VALUE"""),7.90633608815427)</f>
        <v>7.906336088</v>
      </c>
      <c r="P3" s="18">
        <f>IFERROR(__xludf.DUMMYFUNCTION("""COMPUTED_VALUE"""),82.38999999999999)</f>
        <v>82.39</v>
      </c>
      <c r="Q3" s="19">
        <f>IFERROR(__xludf.DUMMYFUNCTION("""COMPUTED_VALUE"""),86.0)</f>
        <v>86</v>
      </c>
      <c r="R3" s="20">
        <f>IFERROR(__xludf.DUMMYFUNCTION("""COMPUTED_VALUE"""),3.6100000000000136)</f>
        <v>3.61</v>
      </c>
      <c r="S3" s="26">
        <f>IFERROR(__xludf.DUMMYFUNCTION("""COMPUTED_VALUE"""),0.0438159970870253)</f>
        <v>0.04381599709</v>
      </c>
      <c r="T3" s="22">
        <f>IFERROR(__xludf.DUMMYFUNCTION("""COMPUTED_VALUE"""),0.23364485981308414)</f>
        <v>0.2336448598</v>
      </c>
      <c r="U3" s="22">
        <f>IFERROR(__xludf.DUMMYFUNCTION("""COMPUTED_VALUE"""),0.16279069767441862)</f>
        <v>0.1627906977</v>
      </c>
      <c r="V3" s="23">
        <f>IFERROR(__xludf.DUMMYFUNCTION("""COMPUTED_VALUE"""),-7.085416213866552)</f>
        <v>-7.085416214</v>
      </c>
      <c r="W3" s="18">
        <f>IFERROR(__xludf.DUMMYFUNCTION("""COMPUTED_VALUE"""),19.249999999999996)</f>
        <v>19.25</v>
      </c>
      <c r="X3" s="19">
        <f>IFERROR(__xludf.DUMMYFUNCTION("""COMPUTED_VALUE"""),14.0)</f>
        <v>14</v>
      </c>
      <c r="Y3" s="20">
        <f>IFERROR(__xludf.DUMMYFUNCTION("""COMPUTED_VALUE"""),-5.2499999999999964)</f>
        <v>-5.25</v>
      </c>
      <c r="Z3" s="27">
        <f>IFERROR(__xludf.DUMMYFUNCTION("""COMPUTED_VALUE"""),-0.2727272727272726)</f>
        <v>-0.2727272727</v>
      </c>
      <c r="AA3" s="18">
        <f>IFERROR(__xludf.DUMMYFUNCTION("""COMPUTED_VALUE"""),23052.0)</f>
        <v>23052</v>
      </c>
      <c r="AB3" s="19">
        <f>IFERROR(__xludf.DUMMYFUNCTION("""COMPUTED_VALUE"""),34983.882114955355)</f>
        <v>34983.88211</v>
      </c>
      <c r="AC3" s="20">
        <f>IFERROR(__xludf.DUMMYFUNCTION("""COMPUTED_VALUE"""),11931.882114955355)</f>
        <v>11931.88211</v>
      </c>
      <c r="AD3" s="27">
        <f>IFERROR(__xludf.DUMMYFUNCTION("""COMPUTED_VALUE"""),0.5176072408014643)</f>
        <v>0.5176072408</v>
      </c>
      <c r="AE3" s="18">
        <f>IFERROR(__xludf.DUMMYFUNCTION("""COMPUTED_VALUE"""),342414.408)</f>
        <v>342414.408</v>
      </c>
      <c r="AF3" s="19">
        <f>IFERROR(__xludf.DUMMYFUNCTION("""COMPUTED_VALUE"""),489774.349609375)</f>
        <v>489774.3496</v>
      </c>
      <c r="AG3" s="20">
        <f>IFERROR(__xludf.DUMMYFUNCTION("""COMPUTED_VALUE"""),147359.941609375)</f>
        <v>147359.9416</v>
      </c>
      <c r="AH3" s="28">
        <f>IFERROR(__xludf.DUMMYFUNCTION("""COMPUTED_VALUE"""),0.43035555212202115)</f>
        <v>0.4303555521</v>
      </c>
      <c r="AI3" s="29">
        <f>IFERROR(__xludf.DUMMYFUNCTION("""COMPUTED_VALUE"""),-49517.859237536366)</f>
        <v>-49517.85924</v>
      </c>
      <c r="AJ3" s="29">
        <f>IFERROR(__xludf.DUMMYFUNCTION("""COMPUTED_VALUE"""),96842.53142755672)</f>
        <v>96842.53143</v>
      </c>
      <c r="AK3" s="4">
        <f>IFERROR(__xludf.DUMMYFUNCTION("""COMPUTED_VALUE"""),5385.981308411216)</f>
        <v>5385.981308</v>
      </c>
      <c r="AL3" s="30">
        <f>IFERROR(__xludf.DUMMYFUNCTION("""COMPUTED_VALUE"""),5695.0505768531975)</f>
        <v>5695.050577</v>
      </c>
      <c r="AM3" s="29">
        <f t="shared" si="1"/>
        <v>309.0692684</v>
      </c>
      <c r="AN3" s="31">
        <f t="shared" si="2"/>
        <v>0.05738402173</v>
      </c>
      <c r="AO3" s="12">
        <f t="shared" si="3"/>
        <v>70262.57434</v>
      </c>
      <c r="AP3" s="12">
        <f t="shared" si="4"/>
        <v>26579.95709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>
      <c r="A4" s="4" t="str">
        <f>IFERROR(__xludf.DUMMYFUNCTION("""COMPUTED_VALUE"""),"Form G4 Instagram Outros")</f>
        <v>Form G4 Instagram Outros</v>
      </c>
      <c r="B4" s="18">
        <f>IFERROR(__xludf.DUMMYFUNCTION("""COMPUTED_VALUE"""),230.32258064516117)</f>
        <v>230.3225806</v>
      </c>
      <c r="C4" s="19">
        <f>IFERROR(__xludf.DUMMYFUNCTION("""COMPUTED_VALUE"""),108.0)</f>
        <v>108</v>
      </c>
      <c r="D4" s="20">
        <f>IFERROR(__xludf.DUMMYFUNCTION("""COMPUTED_VALUE"""),-122.32258064516117)</f>
        <v>-122.3225806</v>
      </c>
      <c r="E4" s="21">
        <f>IFERROR(__xludf.DUMMYFUNCTION("""COMPUTED_VALUE"""),-0.5310924369747897)</f>
        <v>-0.531092437</v>
      </c>
      <c r="F4" s="22">
        <f>IFERROR(__xludf.DUMMYFUNCTION("""COMPUTED_VALUE"""),0.81)</f>
        <v>0.81</v>
      </c>
      <c r="G4" s="22">
        <f>IFERROR(__xludf.DUMMYFUNCTION("""COMPUTED_VALUE"""),0.8703703703703703)</f>
        <v>0.8703703704</v>
      </c>
      <c r="H4" s="23">
        <f>IFERROR(__xludf.DUMMYFUNCTION("""COMPUTED_VALUE"""),6.037037037037029)</f>
        <v>6.037037037</v>
      </c>
      <c r="I4" s="18">
        <f>IFERROR(__xludf.DUMMYFUNCTION("""COMPUTED_VALUE"""),186.5612903225806)</f>
        <v>186.5612903</v>
      </c>
      <c r="J4" s="19">
        <f>IFERROR(__xludf.DUMMYFUNCTION("""COMPUTED_VALUE"""),94.0)</f>
        <v>94</v>
      </c>
      <c r="K4" s="20">
        <f>IFERROR(__xludf.DUMMYFUNCTION("""COMPUTED_VALUE"""),-92.56129032258059)</f>
        <v>-92.56129032</v>
      </c>
      <c r="L4" s="21">
        <f>IFERROR(__xludf.DUMMYFUNCTION("""COMPUTED_VALUE"""),-0.49614413666701235)</f>
        <v>-0.4961441367</v>
      </c>
      <c r="M4" s="24">
        <f>IFERROR(__xludf.DUMMYFUNCTION("""COMPUTED_VALUE"""),0.31)</f>
        <v>0.31</v>
      </c>
      <c r="N4" s="22">
        <f>IFERROR(__xludf.DUMMYFUNCTION("""COMPUTED_VALUE"""),0.40425531914893614)</f>
        <v>0.4042553191</v>
      </c>
      <c r="O4" s="25">
        <f>IFERROR(__xludf.DUMMYFUNCTION("""COMPUTED_VALUE"""),9.425531914893615)</f>
        <v>9.425531915</v>
      </c>
      <c r="P4" s="18">
        <f>IFERROR(__xludf.DUMMYFUNCTION("""COMPUTED_VALUE"""),58.0041)</f>
        <v>58.0041</v>
      </c>
      <c r="Q4" s="19">
        <f>IFERROR(__xludf.DUMMYFUNCTION("""COMPUTED_VALUE"""),38.0)</f>
        <v>38</v>
      </c>
      <c r="R4" s="20">
        <f>IFERROR(__xludf.DUMMYFUNCTION("""COMPUTED_VALUE"""),-20.0041)</f>
        <v>-20.0041</v>
      </c>
      <c r="S4" s="26">
        <f>IFERROR(__xludf.DUMMYFUNCTION("""COMPUTED_VALUE"""),-0.344873896845223)</f>
        <v>-0.3448738968</v>
      </c>
      <c r="T4" s="22">
        <f>IFERROR(__xludf.DUMMYFUNCTION("""COMPUTED_VALUE"""),0.23)</f>
        <v>0.23</v>
      </c>
      <c r="U4" s="22">
        <f>IFERROR(__xludf.DUMMYFUNCTION("""COMPUTED_VALUE"""),0.13157894736842105)</f>
        <v>0.1315789474</v>
      </c>
      <c r="V4" s="23">
        <f>IFERROR(__xludf.DUMMYFUNCTION("""COMPUTED_VALUE"""),-9.842105263157897)</f>
        <v>-9.842105263</v>
      </c>
      <c r="W4" s="18">
        <f>IFERROR(__xludf.DUMMYFUNCTION("""COMPUTED_VALUE"""),13.340943000000001)</f>
        <v>13.340943</v>
      </c>
      <c r="X4" s="19">
        <f>IFERROR(__xludf.DUMMYFUNCTION("""COMPUTED_VALUE"""),5.0)</f>
        <v>5</v>
      </c>
      <c r="Y4" s="20">
        <f>IFERROR(__xludf.DUMMYFUNCTION("""COMPUTED_VALUE"""),-8.340943000000001)</f>
        <v>-8.340943</v>
      </c>
      <c r="Z4" s="27">
        <f>IFERROR(__xludf.DUMMYFUNCTION("""COMPUTED_VALUE"""),-0.6252138997970383)</f>
        <v>-0.6252138998</v>
      </c>
      <c r="AA4" s="18">
        <f>IFERROR(__xludf.DUMMYFUNCTION("""COMPUTED_VALUE"""),30000.0)</f>
        <v>30000</v>
      </c>
      <c r="AB4" s="19">
        <f>IFERROR(__xludf.DUMMYFUNCTION("""COMPUTED_VALUE"""),23353.8)</f>
        <v>23353.8</v>
      </c>
      <c r="AC4" s="20">
        <f>IFERROR(__xludf.DUMMYFUNCTION("""COMPUTED_VALUE"""),-6646.200000000001)</f>
        <v>-6646.2</v>
      </c>
      <c r="AD4" s="27">
        <f>IFERROR(__xludf.DUMMYFUNCTION("""COMPUTED_VALUE"""),-0.22154000000000001)</f>
        <v>-0.22154</v>
      </c>
      <c r="AE4" s="18">
        <f>IFERROR(__xludf.DUMMYFUNCTION("""COMPUTED_VALUE"""),308830.70232000004)</f>
        <v>308830.7023</v>
      </c>
      <c r="AF4" s="19">
        <f>IFERROR(__xludf.DUMMYFUNCTION("""COMPUTED_VALUE"""),116769.0)</f>
        <v>116769</v>
      </c>
      <c r="AG4" s="20">
        <f>IFERROR(__xludf.DUMMYFUNCTION("""COMPUTED_VALUE"""),-192061.70232000004)</f>
        <v>-192061.7023</v>
      </c>
      <c r="AH4" s="28">
        <f>IFERROR(__xludf.DUMMYFUNCTION("""COMPUTED_VALUE"""),-0.6218996391135754)</f>
        <v>-0.6218996391</v>
      </c>
      <c r="AI4" s="29">
        <f>IFERROR(__xludf.DUMMYFUNCTION("""COMPUTED_VALUE"""),-197988.5999999999)</f>
        <v>-197988.6</v>
      </c>
      <c r="AJ4" s="29">
        <f>IFERROR(__xludf.DUMMYFUNCTION("""COMPUTED_VALUE"""),-84297.0)</f>
        <v>-84297</v>
      </c>
      <c r="AK4" s="4">
        <f>IFERROR(__xludf.DUMMYFUNCTION("""COMPUTED_VALUE"""),6900.0)</f>
        <v>6900</v>
      </c>
      <c r="AL4" s="30">
        <f>IFERROR(__xludf.DUMMYFUNCTION("""COMPUTED_VALUE"""),3072.8684210526317)</f>
        <v>3072.868421</v>
      </c>
      <c r="AM4" s="29">
        <f t="shared" si="1"/>
        <v>-3827.131579</v>
      </c>
      <c r="AN4" s="31">
        <f t="shared" si="2"/>
        <v>-0.5546567506</v>
      </c>
      <c r="AO4" s="12">
        <f t="shared" si="3"/>
        <v>61134</v>
      </c>
      <c r="AP4" s="12">
        <f t="shared" si="4"/>
        <v>-145431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>
      <c r="A5" s="4" t="str">
        <f>IFERROR(__xludf.DUMMYFUNCTION("""COMPUTED_VALUE"""),"[IM] Chat")</f>
        <v>[IM] Chat</v>
      </c>
      <c r="B5" s="18">
        <f>IFERROR(__xludf.DUMMYFUNCTION("""COMPUTED_VALUE"""),329.58064516129014)</f>
        <v>329.5806452</v>
      </c>
      <c r="C5" s="19">
        <f>IFERROR(__xludf.DUMMYFUNCTION("""COMPUTED_VALUE"""),330.0)</f>
        <v>330</v>
      </c>
      <c r="D5" s="20">
        <f>IFERROR(__xludf.DUMMYFUNCTION("""COMPUTED_VALUE"""),0.41935483870986445)</f>
        <v>0.4193548387</v>
      </c>
      <c r="E5" s="21">
        <f>IFERROR(__xludf.DUMMYFUNCTION("""COMPUTED_VALUE"""),0.0012723891553299213)</f>
        <v>0.001272389155</v>
      </c>
      <c r="F5" s="22">
        <f>IFERROR(__xludf.DUMMYFUNCTION("""COMPUTED_VALUE"""),0.8146611341632088)</f>
        <v>0.8146611342</v>
      </c>
      <c r="G5" s="22">
        <f>IFERROR(__xludf.DUMMYFUNCTION("""COMPUTED_VALUE"""),0.7484848484848485)</f>
        <v>0.7484848485</v>
      </c>
      <c r="H5" s="23">
        <f>IFERROR(__xludf.DUMMYFUNCTION("""COMPUTED_VALUE"""),-6.617628567836031)</f>
        <v>-6.617628568</v>
      </c>
      <c r="I5" s="18">
        <f>IFERROR(__xludf.DUMMYFUNCTION("""COMPUTED_VALUE"""),268.49654218533874)</f>
        <v>268.4965422</v>
      </c>
      <c r="J5" s="19">
        <f>IFERROR(__xludf.DUMMYFUNCTION("""COMPUTED_VALUE"""),247.0)</f>
        <v>247</v>
      </c>
      <c r="K5" s="20">
        <f>IFERROR(__xludf.DUMMYFUNCTION("""COMPUTED_VALUE"""),-21.49654218533874)</f>
        <v>-21.49654219</v>
      </c>
      <c r="L5" s="21">
        <f>IFERROR(__xludf.DUMMYFUNCTION("""COMPUTED_VALUE"""),-0.08006264069687732)</f>
        <v>-0.0800626407</v>
      </c>
      <c r="M5" s="24">
        <f>IFERROR(__xludf.DUMMYFUNCTION("""COMPUTED_VALUE"""),0.30390492359932086)</f>
        <v>0.3039049236</v>
      </c>
      <c r="N5" s="22">
        <f>IFERROR(__xludf.DUMMYFUNCTION("""COMPUTED_VALUE"""),0.27530364372469635)</f>
        <v>0.2753036437</v>
      </c>
      <c r="O5" s="25">
        <f>IFERROR(__xludf.DUMMYFUNCTION("""COMPUTED_VALUE"""),-2.8601279874624517)</f>
        <v>-2.860127987</v>
      </c>
      <c r="P5" s="18">
        <f>IFERROR(__xludf.DUMMYFUNCTION("""COMPUTED_VALUE"""),81.83741355463346)</f>
        <v>81.83741355</v>
      </c>
      <c r="Q5" s="19">
        <f>IFERROR(__xludf.DUMMYFUNCTION("""COMPUTED_VALUE"""),68.0)</f>
        <v>68</v>
      </c>
      <c r="R5" s="20">
        <f>IFERROR(__xludf.DUMMYFUNCTION("""COMPUTED_VALUE"""),-13.837413554633457)</f>
        <v>-13.83741355</v>
      </c>
      <c r="S5" s="26">
        <f>IFERROR(__xludf.DUMMYFUNCTION("""COMPUTED_VALUE"""),-0.16908419943398875)</f>
        <v>-0.1690841994</v>
      </c>
      <c r="T5" s="22">
        <f>IFERROR(__xludf.DUMMYFUNCTION("""COMPUTED_VALUE"""),0.1787709497206704)</f>
        <v>0.1787709497</v>
      </c>
      <c r="U5" s="22">
        <f>IFERROR(__xludf.DUMMYFUNCTION("""COMPUTED_VALUE"""),0.11764705882352941)</f>
        <v>0.1176470588</v>
      </c>
      <c r="V5" s="23">
        <f>IFERROR(__xludf.DUMMYFUNCTION("""COMPUTED_VALUE"""),-6.112389089714099)</f>
        <v>-6.11238909</v>
      </c>
      <c r="W5" s="18">
        <f>IFERROR(__xludf.DUMMYFUNCTION("""COMPUTED_VALUE"""),14.630152143845088)</f>
        <v>14.63015214</v>
      </c>
      <c r="X5" s="19">
        <f>IFERROR(__xludf.DUMMYFUNCTION("""COMPUTED_VALUE"""),8.0)</f>
        <v>8</v>
      </c>
      <c r="Y5" s="20">
        <f>IFERROR(__xludf.DUMMYFUNCTION("""COMPUTED_VALUE"""),-6.630152143845088)</f>
        <v>-6.630152144</v>
      </c>
      <c r="Z5" s="27">
        <f>IFERROR(__xludf.DUMMYFUNCTION("""COMPUTED_VALUE"""),-0.4531840871275147)</f>
        <v>-0.4531840871</v>
      </c>
      <c r="AA5" s="18">
        <f>IFERROR(__xludf.DUMMYFUNCTION("""COMPUTED_VALUE"""),26828.0)</f>
        <v>26828</v>
      </c>
      <c r="AB5" s="19">
        <f>IFERROR(__xludf.DUMMYFUNCTION("""COMPUTED_VALUE"""),66261.8935546875)</f>
        <v>66261.89355</v>
      </c>
      <c r="AC5" s="20">
        <f>IFERROR(__xludf.DUMMYFUNCTION("""COMPUTED_VALUE"""),39433.8935546875)</f>
        <v>39433.89355</v>
      </c>
      <c r="AD5" s="27">
        <f>IFERROR(__xludf.DUMMYFUNCTION("""COMPUTED_VALUE"""),1.469878244919021)</f>
        <v>1.469878245</v>
      </c>
      <c r="AE5" s="18">
        <f>IFERROR(__xludf.DUMMYFUNCTION("""COMPUTED_VALUE"""),302865.5147197787)</f>
        <v>302865.5147</v>
      </c>
      <c r="AF5" s="19">
        <f>IFERROR(__xludf.DUMMYFUNCTION("""COMPUTED_VALUE"""),530095.1484375)</f>
        <v>530095.1484</v>
      </c>
      <c r="AG5" s="20">
        <f>IFERROR(__xludf.DUMMYFUNCTION("""COMPUTED_VALUE"""),227229.63371772133)</f>
        <v>227229.6337</v>
      </c>
      <c r="AH5" s="28">
        <f>IFERROR(__xludf.DUMMYFUNCTION("""COMPUTED_VALUE"""),0.750265786872308)</f>
        <v>0.7502657869</v>
      </c>
      <c r="AI5" s="29">
        <f>IFERROR(__xludf.DUMMYFUNCTION("""COMPUTED_VALUE"""),-31332.250390398243)</f>
        <v>-31332.25039</v>
      </c>
      <c r="AJ5" s="29">
        <f>IFERROR(__xludf.DUMMYFUNCTION("""COMPUTED_VALUE"""),170080.6968245968)</f>
        <v>170080.6968</v>
      </c>
      <c r="AK5" s="4">
        <f>IFERROR(__xludf.DUMMYFUNCTION("""COMPUTED_VALUE"""),4796.067039106146)</f>
        <v>4796.067039</v>
      </c>
      <c r="AL5" s="30">
        <f>IFERROR(__xludf.DUMMYFUNCTION("""COMPUTED_VALUE"""),7795.516888786765)</f>
        <v>7795.516889</v>
      </c>
      <c r="AM5" s="29">
        <f t="shared" si="1"/>
        <v>2999.44985</v>
      </c>
      <c r="AN5" s="31">
        <f t="shared" si="2"/>
        <v>0.6253978156</v>
      </c>
      <c r="AO5" s="12">
        <f t="shared" si="3"/>
        <v>-33881.89295</v>
      </c>
      <c r="AP5" s="12">
        <f t="shared" si="4"/>
        <v>203962.5898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  <row r="6">
      <c r="A6" s="4" t="str">
        <f>IFERROR(__xludf.DUMMYFUNCTION("""COMPUTED_VALUE"""),"Form G4 Instagram Tallis")</f>
        <v>Form G4 Instagram Tallis</v>
      </c>
      <c r="B6" s="18">
        <f>IFERROR(__xludf.DUMMYFUNCTION("""COMPUTED_VALUE"""),219.35483870967732)</f>
        <v>219.3548387</v>
      </c>
      <c r="C6" s="19">
        <f>IFERROR(__xludf.DUMMYFUNCTION("""COMPUTED_VALUE"""),102.0)</f>
        <v>102</v>
      </c>
      <c r="D6" s="20">
        <f>IFERROR(__xludf.DUMMYFUNCTION("""COMPUTED_VALUE"""),-117.35483870967732)</f>
        <v>-117.3548387</v>
      </c>
      <c r="E6" s="21">
        <f>IFERROR(__xludf.DUMMYFUNCTION("""COMPUTED_VALUE"""),-0.5349999999999998)</f>
        <v>-0.535</v>
      </c>
      <c r="F6" s="22">
        <f>IFERROR(__xludf.DUMMYFUNCTION("""COMPUTED_VALUE"""),0.7454545454545455)</f>
        <v>0.7454545455</v>
      </c>
      <c r="G6" s="22">
        <f>IFERROR(__xludf.DUMMYFUNCTION("""COMPUTED_VALUE"""),0.8235294117647058)</f>
        <v>0.8235294118</v>
      </c>
      <c r="H6" s="23">
        <f>IFERROR(__xludf.DUMMYFUNCTION("""COMPUTED_VALUE"""),7.807486631016037)</f>
        <v>7.807486631</v>
      </c>
      <c r="I6" s="18">
        <f>IFERROR(__xludf.DUMMYFUNCTION("""COMPUTED_VALUE"""),163.51906158357764)</f>
        <v>163.5190616</v>
      </c>
      <c r="J6" s="19">
        <f>IFERROR(__xludf.DUMMYFUNCTION("""COMPUTED_VALUE"""),84.0)</f>
        <v>84</v>
      </c>
      <c r="K6" s="20">
        <f>IFERROR(__xludf.DUMMYFUNCTION("""COMPUTED_VALUE"""),-79.51906158357764)</f>
        <v>-79.51906158</v>
      </c>
      <c r="L6" s="21">
        <f>IFERROR(__xludf.DUMMYFUNCTION("""COMPUTED_VALUE"""),-0.48629842180774724)</f>
        <v>-0.4862984218</v>
      </c>
      <c r="M6" s="24">
        <f>IFERROR(__xludf.DUMMYFUNCTION("""COMPUTED_VALUE"""),0.45365853658536587)</f>
        <v>0.4536585366</v>
      </c>
      <c r="N6" s="22">
        <f>IFERROR(__xludf.DUMMYFUNCTION("""COMPUTED_VALUE"""),0.5357142857142857)</f>
        <v>0.5357142857</v>
      </c>
      <c r="O6" s="25">
        <f>IFERROR(__xludf.DUMMYFUNCTION("""COMPUTED_VALUE"""),8.205574912891983)</f>
        <v>8.205574913</v>
      </c>
      <c r="P6" s="18">
        <f>IFERROR(__xludf.DUMMYFUNCTION("""COMPUTED_VALUE"""),74.39999999999999)</f>
        <v>74.4</v>
      </c>
      <c r="Q6" s="19">
        <f>IFERROR(__xludf.DUMMYFUNCTION("""COMPUTED_VALUE"""),45.0)</f>
        <v>45</v>
      </c>
      <c r="R6" s="20">
        <f>IFERROR(__xludf.DUMMYFUNCTION("""COMPUTED_VALUE"""),-29.39999999999999)</f>
        <v>-29.4</v>
      </c>
      <c r="S6" s="26">
        <f>IFERROR(__xludf.DUMMYFUNCTION("""COMPUTED_VALUE"""),-0.39516129032258057)</f>
        <v>-0.3951612903</v>
      </c>
      <c r="T6" s="22">
        <f>IFERROR(__xludf.DUMMYFUNCTION("""COMPUTED_VALUE"""),0.1989247311827957)</f>
        <v>0.1989247312</v>
      </c>
      <c r="U6" s="22">
        <f>IFERROR(__xludf.DUMMYFUNCTION("""COMPUTED_VALUE"""),0.06666666666666667)</f>
        <v>0.06666666667</v>
      </c>
      <c r="V6" s="23">
        <f>IFERROR(__xludf.DUMMYFUNCTION("""COMPUTED_VALUE"""),-13.225806451612904)</f>
        <v>-13.22580645</v>
      </c>
      <c r="W6" s="18">
        <f>IFERROR(__xludf.DUMMYFUNCTION("""COMPUTED_VALUE"""),14.799999999999999)</f>
        <v>14.8</v>
      </c>
      <c r="X6" s="19">
        <f>IFERROR(__xludf.DUMMYFUNCTION("""COMPUTED_VALUE"""),3.0)</f>
        <v>3</v>
      </c>
      <c r="Y6" s="20">
        <f>IFERROR(__xludf.DUMMYFUNCTION("""COMPUTED_VALUE"""),-11.799999999999999)</f>
        <v>-11.8</v>
      </c>
      <c r="Z6" s="27">
        <f>IFERROR(__xludf.DUMMYFUNCTION("""COMPUTED_VALUE"""),-0.7972972972972973)</f>
        <v>-0.7972972973</v>
      </c>
      <c r="AA6" s="18">
        <f>IFERROR(__xludf.DUMMYFUNCTION("""COMPUTED_VALUE"""),26077.0)</f>
        <v>26077</v>
      </c>
      <c r="AB6" s="19">
        <f>IFERROR(__xludf.DUMMYFUNCTION("""COMPUTED_VALUE"""),17521.0)</f>
        <v>17521</v>
      </c>
      <c r="AC6" s="20">
        <f>IFERROR(__xludf.DUMMYFUNCTION("""COMPUTED_VALUE"""),-8556.0)</f>
        <v>-8556</v>
      </c>
      <c r="AD6" s="27">
        <f>IFERROR(__xludf.DUMMYFUNCTION("""COMPUTED_VALUE"""),-0.32810522682823945)</f>
        <v>-0.3281052268</v>
      </c>
      <c r="AE6" s="18">
        <f>IFERROR(__xludf.DUMMYFUNCTION("""COMPUTED_VALUE"""),297805.02952727274)</f>
        <v>297805.0295</v>
      </c>
      <c r="AF6" s="19">
        <f>IFERROR(__xludf.DUMMYFUNCTION("""COMPUTED_VALUE"""),52563.0)</f>
        <v>52563</v>
      </c>
      <c r="AG6" s="20">
        <f>IFERROR(__xludf.DUMMYFUNCTION("""COMPUTED_VALUE"""),-245242.02952727274)</f>
        <v>-245242.0295</v>
      </c>
      <c r="AH6" s="28">
        <f>IFERROR(__xludf.DUMMYFUNCTION("""COMPUTED_VALUE"""),-0.8234986155759793)</f>
        <v>-0.8234986156</v>
      </c>
      <c r="AI6" s="29">
        <f>IFERROR(__xludf.DUMMYFUNCTION("""COMPUTED_VALUE"""),-187131.4318289105)</f>
        <v>-187131.4318</v>
      </c>
      <c r="AJ6" s="29">
        <f>IFERROR(__xludf.DUMMYFUNCTION("""COMPUTED_VALUE"""),-145113.38048780488)</f>
        <v>-145113.3805</v>
      </c>
      <c r="AK6" s="4">
        <f>IFERROR(__xludf.DUMMYFUNCTION("""COMPUTED_VALUE"""),5187.360215053764)</f>
        <v>5187.360215</v>
      </c>
      <c r="AL6" s="30">
        <f>IFERROR(__xludf.DUMMYFUNCTION("""COMPUTED_VALUE"""),1168.0666666666666)</f>
        <v>1168.066667</v>
      </c>
      <c r="AM6" s="29">
        <f t="shared" si="1"/>
        <v>-4019.293548</v>
      </c>
      <c r="AN6" s="31">
        <f t="shared" si="2"/>
        <v>-0.7748244544</v>
      </c>
      <c r="AO6" s="12">
        <f t="shared" si="3"/>
        <v>35754.82919</v>
      </c>
      <c r="AP6" s="12">
        <f t="shared" si="4"/>
        <v>-180868.2097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</row>
    <row r="7">
      <c r="A7" s="4" t="str">
        <f>IFERROR(__xludf.DUMMYFUNCTION("""COMPUTED_VALUE"""),"[IM] Form Facebook Ads")</f>
        <v>[IM] Form Facebook Ads</v>
      </c>
      <c r="B7" s="18">
        <f>IFERROR(__xludf.DUMMYFUNCTION("""COMPUTED_VALUE"""),261.85483870967727)</f>
        <v>261.8548387</v>
      </c>
      <c r="C7" s="19">
        <f>IFERROR(__xludf.DUMMYFUNCTION("""COMPUTED_VALUE"""),174.0)</f>
        <v>174</v>
      </c>
      <c r="D7" s="20">
        <f>IFERROR(__xludf.DUMMYFUNCTION("""COMPUTED_VALUE"""),-87.85483870967727)</f>
        <v>-87.85483871</v>
      </c>
      <c r="E7" s="21">
        <f>IFERROR(__xludf.DUMMYFUNCTION("""COMPUTED_VALUE"""),-0.33550970126270363)</f>
        <v>-0.3355097013</v>
      </c>
      <c r="F7" s="22">
        <f>IFERROR(__xludf.DUMMYFUNCTION("""COMPUTED_VALUE"""),0.8)</f>
        <v>0.8</v>
      </c>
      <c r="G7" s="22">
        <f>IFERROR(__xludf.DUMMYFUNCTION("""COMPUTED_VALUE"""),0.6436781609195402)</f>
        <v>0.6436781609</v>
      </c>
      <c r="H7" s="23">
        <f>IFERROR(__xludf.DUMMYFUNCTION("""COMPUTED_VALUE"""),-15.632183908045983)</f>
        <v>-15.63218391</v>
      </c>
      <c r="I7" s="18">
        <f>IFERROR(__xludf.DUMMYFUNCTION("""COMPUTED_VALUE"""),209.48387096774184)</f>
        <v>209.483871</v>
      </c>
      <c r="J7" s="19">
        <f>IFERROR(__xludf.DUMMYFUNCTION("""COMPUTED_VALUE"""),112.0)</f>
        <v>112</v>
      </c>
      <c r="K7" s="20">
        <f>IFERROR(__xludf.DUMMYFUNCTION("""COMPUTED_VALUE"""),-97.48387096774184)</f>
        <v>-97.48387097</v>
      </c>
      <c r="L7" s="21">
        <f>IFERROR(__xludf.DUMMYFUNCTION("""COMPUTED_VALUE"""),-0.4653526331998766)</f>
        <v>-0.4653526332</v>
      </c>
      <c r="M7" s="24">
        <f>IFERROR(__xludf.DUMMYFUNCTION("""COMPUTED_VALUE"""),0.34)</f>
        <v>0.34</v>
      </c>
      <c r="N7" s="22">
        <f>IFERROR(__xludf.DUMMYFUNCTION("""COMPUTED_VALUE"""),0.3482142857142857)</f>
        <v>0.3482142857</v>
      </c>
      <c r="O7" s="25">
        <f>IFERROR(__xludf.DUMMYFUNCTION("""COMPUTED_VALUE"""),0.8214285714285674)</f>
        <v>0.8214285714</v>
      </c>
      <c r="P7" s="18">
        <f>IFERROR(__xludf.DUMMYFUNCTION("""COMPUTED_VALUE"""),71.43399999999998)</f>
        <v>71.434</v>
      </c>
      <c r="Q7" s="19">
        <f>IFERROR(__xludf.DUMMYFUNCTION("""COMPUTED_VALUE"""),39.0)</f>
        <v>39</v>
      </c>
      <c r="R7" s="20">
        <f>IFERROR(__xludf.DUMMYFUNCTION("""COMPUTED_VALUE"""),-32.43399999999998)</f>
        <v>-32.434</v>
      </c>
      <c r="S7" s="26">
        <f>IFERROR(__xludf.DUMMYFUNCTION("""COMPUTED_VALUE"""),-0.45404149284654355)</f>
        <v>-0.4540414928</v>
      </c>
      <c r="T7" s="22">
        <f>IFERROR(__xludf.DUMMYFUNCTION("""COMPUTED_VALUE"""),0.16)</f>
        <v>0.16</v>
      </c>
      <c r="U7" s="22">
        <f>IFERROR(__xludf.DUMMYFUNCTION("""COMPUTED_VALUE"""),0.05128205128205128)</f>
        <v>0.05128205128</v>
      </c>
      <c r="V7" s="23">
        <f>IFERROR(__xludf.DUMMYFUNCTION("""COMPUTED_VALUE"""),-10.871794871794872)</f>
        <v>-10.87179487</v>
      </c>
      <c r="W7" s="18">
        <f>IFERROR(__xludf.DUMMYFUNCTION("""COMPUTED_VALUE"""),11.429439999999998)</f>
        <v>11.42944</v>
      </c>
      <c r="X7" s="19">
        <f>IFERROR(__xludf.DUMMYFUNCTION("""COMPUTED_VALUE"""),2.0)</f>
        <v>2</v>
      </c>
      <c r="Y7" s="20">
        <f>IFERROR(__xludf.DUMMYFUNCTION("""COMPUTED_VALUE"""),-9.429439999999998)</f>
        <v>-9.42944</v>
      </c>
      <c r="Z7" s="27">
        <f>IFERROR(__xludf.DUMMYFUNCTION("""COMPUTED_VALUE"""),-0.8250132989892768)</f>
        <v>-0.825013299</v>
      </c>
      <c r="AA7" s="18">
        <f>IFERROR(__xludf.DUMMYFUNCTION("""COMPUTED_VALUE"""),29000.0)</f>
        <v>29000</v>
      </c>
      <c r="AB7" s="19">
        <f>IFERROR(__xludf.DUMMYFUNCTION("""COMPUTED_VALUE"""),33442.5)</f>
        <v>33442.5</v>
      </c>
      <c r="AC7" s="20">
        <f>IFERROR(__xludf.DUMMYFUNCTION("""COMPUTED_VALUE"""),4442.5)</f>
        <v>4442.5</v>
      </c>
      <c r="AD7" s="27">
        <f>IFERROR(__xludf.DUMMYFUNCTION("""COMPUTED_VALUE"""),0.15318965517241379)</f>
        <v>0.1531896552</v>
      </c>
      <c r="AE7" s="18">
        <f>IFERROR(__xludf.DUMMYFUNCTION("""COMPUTED_VALUE"""),255761.77407999997)</f>
        <v>255761.7741</v>
      </c>
      <c r="AF7" s="19">
        <f>IFERROR(__xludf.DUMMYFUNCTION("""COMPUTED_VALUE"""),66885.0)</f>
        <v>66885</v>
      </c>
      <c r="AG7" s="20">
        <f>IFERROR(__xludf.DUMMYFUNCTION("""COMPUTED_VALUE"""),-188876.77407999997)</f>
        <v>-188876.7741</v>
      </c>
      <c r="AH7" s="28">
        <f>IFERROR(__xludf.DUMMYFUNCTION("""COMPUTED_VALUE"""),-0.7384871127024675)</f>
        <v>-0.7384871127</v>
      </c>
      <c r="AI7" s="29">
        <f>IFERROR(__xludf.DUMMYFUNCTION("""COMPUTED_VALUE"""),-153790.5548387095)</f>
        <v>-153790.5548</v>
      </c>
      <c r="AJ7" s="29">
        <f>IFERROR(__xludf.DUMMYFUNCTION("""COMPUTED_VALUE"""),-109806.19999999998)</f>
        <v>-109806.2</v>
      </c>
      <c r="AK7" s="4">
        <f>IFERROR(__xludf.DUMMYFUNCTION("""COMPUTED_VALUE"""),4640.0)</f>
        <v>4640</v>
      </c>
      <c r="AL7" s="30">
        <f>IFERROR(__xludf.DUMMYFUNCTION("""COMPUTED_VALUE"""),1715.0)</f>
        <v>1715</v>
      </c>
      <c r="AM7" s="29">
        <f t="shared" si="1"/>
        <v>-2925</v>
      </c>
      <c r="AN7" s="31">
        <f t="shared" si="2"/>
        <v>-0.630387931</v>
      </c>
      <c r="AO7" s="12">
        <f t="shared" si="3"/>
        <v>4268.8</v>
      </c>
      <c r="AP7" s="12">
        <f t="shared" si="4"/>
        <v>-114075</v>
      </c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>
      <c r="A8" s="4" t="str">
        <f>IFERROR(__xludf.DUMMYFUNCTION("""COMPUTED_VALUE"""),"[IM] Social DM")</f>
        <v>[IM] Social DM</v>
      </c>
      <c r="B8" s="18">
        <f>IFERROR(__xludf.DUMMYFUNCTION("""COMPUTED_VALUE"""),60.32258064516126)</f>
        <v>60.32258065</v>
      </c>
      <c r="C8" s="19">
        <f>IFERROR(__xludf.DUMMYFUNCTION("""COMPUTED_VALUE"""),64.0)</f>
        <v>64</v>
      </c>
      <c r="D8" s="20">
        <f>IFERROR(__xludf.DUMMYFUNCTION("""COMPUTED_VALUE"""),3.67741935483874)</f>
        <v>3.677419355</v>
      </c>
      <c r="E8" s="21">
        <f>IFERROR(__xludf.DUMMYFUNCTION("""COMPUTED_VALUE"""),0.060962566844920324)</f>
        <v>0.06096256684</v>
      </c>
      <c r="F8" s="22">
        <f>IFERROR(__xludf.DUMMYFUNCTION("""COMPUTED_VALUE"""),0.9411764705882353)</f>
        <v>0.9411764706</v>
      </c>
      <c r="G8" s="22">
        <f>IFERROR(__xludf.DUMMYFUNCTION("""COMPUTED_VALUE"""),1.0)</f>
        <v>1</v>
      </c>
      <c r="H8" s="23">
        <f>IFERROR(__xludf.DUMMYFUNCTION("""COMPUTED_VALUE"""),5.882352941176472)</f>
        <v>5.882352941</v>
      </c>
      <c r="I8" s="18">
        <f>IFERROR(__xludf.DUMMYFUNCTION("""COMPUTED_VALUE"""),56.77419354838707)</f>
        <v>56.77419355</v>
      </c>
      <c r="J8" s="19">
        <f>IFERROR(__xludf.DUMMYFUNCTION("""COMPUTED_VALUE"""),64.0)</f>
        <v>64</v>
      </c>
      <c r="K8" s="20">
        <f>IFERROR(__xludf.DUMMYFUNCTION("""COMPUTED_VALUE"""),7.225806451612932)</f>
        <v>7.225806452</v>
      </c>
      <c r="L8" s="21">
        <f>IFERROR(__xludf.DUMMYFUNCTION("""COMPUTED_VALUE"""),0.12727272727272784)</f>
        <v>0.1272727273</v>
      </c>
      <c r="M8" s="24">
        <f>IFERROR(__xludf.DUMMYFUNCTION("""COMPUTED_VALUE"""),0.4375)</f>
        <v>0.4375</v>
      </c>
      <c r="N8" s="22">
        <f>IFERROR(__xludf.DUMMYFUNCTION("""COMPUTED_VALUE"""),0.421875)</f>
        <v>0.421875</v>
      </c>
      <c r="O8" s="25">
        <f>IFERROR(__xludf.DUMMYFUNCTION("""COMPUTED_VALUE"""),-1.5625)</f>
        <v>-1.5625</v>
      </c>
      <c r="P8" s="18">
        <f>IFERROR(__xludf.DUMMYFUNCTION("""COMPUTED_VALUE"""),24.91176470588235)</f>
        <v>24.91176471</v>
      </c>
      <c r="Q8" s="19">
        <f>IFERROR(__xludf.DUMMYFUNCTION("""COMPUTED_VALUE"""),27.0)</f>
        <v>27</v>
      </c>
      <c r="R8" s="20">
        <f>IFERROR(__xludf.DUMMYFUNCTION("""COMPUTED_VALUE"""),2.0882352941176485)</f>
        <v>2.088235294</v>
      </c>
      <c r="S8" s="26">
        <f>IFERROR(__xludf.DUMMYFUNCTION("""COMPUTED_VALUE"""),0.08382526564344753)</f>
        <v>0.08382526564</v>
      </c>
      <c r="T8" s="22">
        <f>IFERROR(__xludf.DUMMYFUNCTION("""COMPUTED_VALUE"""),0.31)</f>
        <v>0.31</v>
      </c>
      <c r="U8" s="22">
        <f>IFERROR(__xludf.DUMMYFUNCTION("""COMPUTED_VALUE"""),0.2222222222222222)</f>
        <v>0.2222222222</v>
      </c>
      <c r="V8" s="23">
        <f>IFERROR(__xludf.DUMMYFUNCTION("""COMPUTED_VALUE"""),-8.777777777777779)</f>
        <v>-8.777777778</v>
      </c>
      <c r="W8" s="18">
        <f>IFERROR(__xludf.DUMMYFUNCTION("""COMPUTED_VALUE"""),7.7226470588235285)</f>
        <v>7.722647059</v>
      </c>
      <c r="X8" s="19">
        <f>IFERROR(__xludf.DUMMYFUNCTION("""COMPUTED_VALUE"""),6.0)</f>
        <v>6</v>
      </c>
      <c r="Y8" s="20">
        <f>IFERROR(__xludf.DUMMYFUNCTION("""COMPUTED_VALUE"""),-1.7226470588235285)</f>
        <v>-1.722647059</v>
      </c>
      <c r="Z8" s="27">
        <f>IFERROR(__xludf.DUMMYFUNCTION("""COMPUTED_VALUE"""),-0.2230643257036218)</f>
        <v>-0.2230643257</v>
      </c>
      <c r="AA8" s="18">
        <f>IFERROR(__xludf.DUMMYFUNCTION("""COMPUTED_VALUE"""),39578.0)</f>
        <v>39578</v>
      </c>
      <c r="AB8" s="19">
        <f>IFERROR(__xludf.DUMMYFUNCTION("""COMPUTED_VALUE"""),27334.55000813802)</f>
        <v>27334.55001</v>
      </c>
      <c r="AC8" s="20">
        <f>IFERROR(__xludf.DUMMYFUNCTION("""COMPUTED_VALUE"""),-12243.44999186198)</f>
        <v>-12243.44999</v>
      </c>
      <c r="AD8" s="27">
        <f>IFERROR(__xludf.DUMMYFUNCTION("""COMPUTED_VALUE"""),-0.30934989114816264)</f>
        <v>-0.3093498911</v>
      </c>
      <c r="AE8" s="18">
        <f>IFERROR(__xludf.DUMMYFUNCTION("""COMPUTED_VALUE"""),235848.2819905882)</f>
        <v>235848.282</v>
      </c>
      <c r="AF8" s="19">
        <f>IFERROR(__xludf.DUMMYFUNCTION("""COMPUTED_VALUE"""),164007.30004882812)</f>
        <v>164007.3</v>
      </c>
      <c r="AG8" s="20">
        <f>IFERROR(__xludf.DUMMYFUNCTION("""COMPUTED_VALUE"""),-71840.98194176008)</f>
        <v>-71840.98194</v>
      </c>
      <c r="AH8" s="28">
        <f>IFERROR(__xludf.DUMMYFUNCTION("""COMPUTED_VALUE"""),-0.3046067638713051)</f>
        <v>-0.3046067639</v>
      </c>
      <c r="AI8" s="29">
        <f>IFERROR(__xludf.DUMMYFUNCTION("""COMPUTED_VALUE"""),38786.440000000155)</f>
        <v>38786.44</v>
      </c>
      <c r="AJ8" s="29">
        <f>IFERROR(__xludf.DUMMYFUNCTION("""COMPUTED_VALUE"""),-179529.73995117185)</f>
        <v>-179529.74</v>
      </c>
      <c r="AK8" s="4">
        <f>IFERROR(__xludf.DUMMYFUNCTION("""COMPUTED_VALUE"""),12269.179999999998)</f>
        <v>12269.18</v>
      </c>
      <c r="AL8" s="30">
        <f>IFERROR(__xludf.DUMMYFUNCTION("""COMPUTED_VALUE"""),6074.344446252893)</f>
        <v>6074.344446</v>
      </c>
      <c r="AM8" s="29">
        <f t="shared" si="1"/>
        <v>-6194.835554</v>
      </c>
      <c r="AN8" s="31">
        <f t="shared" si="2"/>
        <v>-0.5049103162</v>
      </c>
      <c r="AO8" s="12">
        <f t="shared" si="3"/>
        <v>-12269.18</v>
      </c>
      <c r="AP8" s="12">
        <f t="shared" si="4"/>
        <v>-167260.56</v>
      </c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>
      <c r="A9" s="4" t="str">
        <f>IFERROR(__xludf.DUMMYFUNCTION("""COMPUTED_VALUE"""),"Form G4 Google")</f>
        <v>Form G4 Google</v>
      </c>
      <c r="B9" s="18">
        <f>IFERROR(__xludf.DUMMYFUNCTION("""COMPUTED_VALUE"""),159.03225806451604)</f>
        <v>159.0322581</v>
      </c>
      <c r="C9" s="19">
        <f>IFERROR(__xludf.DUMMYFUNCTION("""COMPUTED_VALUE"""),125.0)</f>
        <v>125</v>
      </c>
      <c r="D9" s="20">
        <f>IFERROR(__xludf.DUMMYFUNCTION("""COMPUTED_VALUE"""),-34.03225806451604)</f>
        <v>-34.03225806</v>
      </c>
      <c r="E9" s="21">
        <f>IFERROR(__xludf.DUMMYFUNCTION("""COMPUTED_VALUE"""),-0.21399594320486773)</f>
        <v>-0.2139959432</v>
      </c>
      <c r="F9" s="22">
        <f>IFERROR(__xludf.DUMMYFUNCTION("""COMPUTED_VALUE"""),0.79)</f>
        <v>0.79</v>
      </c>
      <c r="G9" s="22">
        <f>IFERROR(__xludf.DUMMYFUNCTION("""COMPUTED_VALUE"""),0.768)</f>
        <v>0.768</v>
      </c>
      <c r="H9" s="23">
        <f>IFERROR(__xludf.DUMMYFUNCTION("""COMPUTED_VALUE"""),-2.200000000000002)</f>
        <v>-2.2</v>
      </c>
      <c r="I9" s="18">
        <f>IFERROR(__xludf.DUMMYFUNCTION("""COMPUTED_VALUE"""),125.63548387096769)</f>
        <v>125.6354839</v>
      </c>
      <c r="J9" s="19">
        <f>IFERROR(__xludf.DUMMYFUNCTION("""COMPUTED_VALUE"""),96.0)</f>
        <v>96</v>
      </c>
      <c r="K9" s="20">
        <f>IFERROR(__xludf.DUMMYFUNCTION("""COMPUTED_VALUE"""),-29.63548387096769)</f>
        <v>-29.63548387</v>
      </c>
      <c r="L9" s="21">
        <f>IFERROR(__xludf.DUMMYFUNCTION("""COMPUTED_VALUE"""),-0.2358846637738462)</f>
        <v>-0.2358846638</v>
      </c>
      <c r="M9" s="24">
        <f>IFERROR(__xludf.DUMMYFUNCTION("""COMPUTED_VALUE"""),0.375)</f>
        <v>0.375</v>
      </c>
      <c r="N9" s="22">
        <f>IFERROR(__xludf.DUMMYFUNCTION("""COMPUTED_VALUE"""),0.4270833333333333)</f>
        <v>0.4270833333</v>
      </c>
      <c r="O9" s="25">
        <f>IFERROR(__xludf.DUMMYFUNCTION("""COMPUTED_VALUE"""),5.208333333333331)</f>
        <v>5.208333333</v>
      </c>
      <c r="P9" s="18">
        <f>IFERROR(__xludf.DUMMYFUNCTION("""COMPUTED_VALUE"""),47.251875)</f>
        <v>47.251875</v>
      </c>
      <c r="Q9" s="19">
        <f>IFERROR(__xludf.DUMMYFUNCTION("""COMPUTED_VALUE"""),41.0)</f>
        <v>41</v>
      </c>
      <c r="R9" s="20">
        <f>IFERROR(__xludf.DUMMYFUNCTION("""COMPUTED_VALUE"""),-6.251874999999998)</f>
        <v>-6.251875</v>
      </c>
      <c r="S9" s="26">
        <f>IFERROR(__xludf.DUMMYFUNCTION("""COMPUTED_VALUE"""),-0.1323095644352737)</f>
        <v>-0.1323095644</v>
      </c>
      <c r="T9" s="22">
        <f>IFERROR(__xludf.DUMMYFUNCTION("""COMPUTED_VALUE"""),0.22)</f>
        <v>0.22</v>
      </c>
      <c r="U9" s="22">
        <f>IFERROR(__xludf.DUMMYFUNCTION("""COMPUTED_VALUE"""),0.0975609756097561)</f>
        <v>0.09756097561</v>
      </c>
      <c r="V9" s="23">
        <f>IFERROR(__xludf.DUMMYFUNCTION("""COMPUTED_VALUE"""),-12.24390243902439)</f>
        <v>-12.24390244</v>
      </c>
      <c r="W9" s="18">
        <f>IFERROR(__xludf.DUMMYFUNCTION("""COMPUTED_VALUE"""),10.395412499999999)</f>
        <v>10.3954125</v>
      </c>
      <c r="X9" s="19">
        <f>IFERROR(__xludf.DUMMYFUNCTION("""COMPUTED_VALUE"""),4.0)</f>
        <v>4</v>
      </c>
      <c r="Y9" s="20">
        <f>IFERROR(__xludf.DUMMYFUNCTION("""COMPUTED_VALUE"""),-6.395412499999999)</f>
        <v>-6.3954125</v>
      </c>
      <c r="Z9" s="27">
        <f>IFERROR(__xludf.DUMMYFUNCTION("""COMPUTED_VALUE"""),-0.6152148844502322)</f>
        <v>-0.6152148845</v>
      </c>
      <c r="AA9" s="18">
        <f>IFERROR(__xludf.DUMMYFUNCTION("""COMPUTED_VALUE"""),22129.0)</f>
        <v>22129</v>
      </c>
      <c r="AB9" s="19">
        <f>IFERROR(__xludf.DUMMYFUNCTION("""COMPUTED_VALUE"""),26995.537506103516)</f>
        <v>26995.53751</v>
      </c>
      <c r="AC9" s="20">
        <f>IFERROR(__xludf.DUMMYFUNCTION("""COMPUTED_VALUE"""),4866.537506103516)</f>
        <v>4866.537506</v>
      </c>
      <c r="AD9" s="27">
        <f>IFERROR(__xludf.DUMMYFUNCTION("""COMPUTED_VALUE"""),0.2199167384926348)</f>
        <v>0.2199167385</v>
      </c>
      <c r="AE9" s="18">
        <f>IFERROR(__xludf.DUMMYFUNCTION("""COMPUTED_VALUE"""),177507.29330070002)</f>
        <v>177507.2933</v>
      </c>
      <c r="AF9" s="19">
        <f>IFERROR(__xludf.DUMMYFUNCTION("""COMPUTED_VALUE"""),107982.15002441406)</f>
        <v>107982.15</v>
      </c>
      <c r="AG9" s="20">
        <f>IFERROR(__xludf.DUMMYFUNCTION("""COMPUTED_VALUE"""),-69525.14327628596)</f>
        <v>-69525.14328</v>
      </c>
      <c r="AH9" s="28">
        <f>IFERROR(__xludf.DUMMYFUNCTION("""COMPUTED_VALUE"""),-0.3916748545002561)</f>
        <v>-0.3916748545</v>
      </c>
      <c r="AI9" s="29">
        <f>IFERROR(__xludf.DUMMYFUNCTION("""COMPUTED_VALUE"""),-54103.79886290313)</f>
        <v>-54103.79886</v>
      </c>
      <c r="AJ9" s="29">
        <f>IFERROR(__xludf.DUMMYFUNCTION("""COMPUTED_VALUE"""),-67279.52997558595)</f>
        <v>-67279.52998</v>
      </c>
      <c r="AK9" s="4">
        <f>IFERROR(__xludf.DUMMYFUNCTION("""COMPUTED_VALUE"""),4868.38)</f>
        <v>4868.38</v>
      </c>
      <c r="AL9" s="30">
        <f>IFERROR(__xludf.DUMMYFUNCTION("""COMPUTED_VALUE"""),2633.710976205221)</f>
        <v>2633.710976</v>
      </c>
      <c r="AM9" s="29">
        <f t="shared" si="1"/>
        <v>-2234.669024</v>
      </c>
      <c r="AN9" s="31">
        <f t="shared" si="2"/>
        <v>-0.4590169674</v>
      </c>
      <c r="AO9" s="12">
        <f t="shared" si="3"/>
        <v>24341.9</v>
      </c>
      <c r="AP9" s="12">
        <f t="shared" si="4"/>
        <v>-91621.42998</v>
      </c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</row>
    <row r="10">
      <c r="A10" s="4" t="str">
        <f>IFERROR(__xludf.DUMMYFUNCTION("""COMPUTED_VALUE"""),"[IM] Outros")</f>
        <v>[IM] Outros</v>
      </c>
      <c r="B10" s="18">
        <f>IFERROR(__xludf.DUMMYFUNCTION("""COMPUTED_VALUE"""),112.85806451612899)</f>
        <v>112.8580645</v>
      </c>
      <c r="C10" s="19">
        <f>IFERROR(__xludf.DUMMYFUNCTION("""COMPUTED_VALUE"""),20.0)</f>
        <v>20</v>
      </c>
      <c r="D10" s="20">
        <f>IFERROR(__xludf.DUMMYFUNCTION("""COMPUTED_VALUE"""),-92.85806451612899)</f>
        <v>-92.85806452</v>
      </c>
      <c r="E10" s="21">
        <f>IFERROR(__xludf.DUMMYFUNCTION("""COMPUTED_VALUE"""),-0.8227862573600868)</f>
        <v>-0.8227862574</v>
      </c>
      <c r="F10" s="22">
        <f>IFERROR(__xludf.DUMMYFUNCTION("""COMPUTED_VALUE"""),0.8367346938775511)</f>
        <v>0.8367346939</v>
      </c>
      <c r="G10" s="22">
        <f>IFERROR(__xludf.DUMMYFUNCTION("""COMPUTED_VALUE"""),0.6)</f>
        <v>0.6</v>
      </c>
      <c r="H10" s="23">
        <f>IFERROR(__xludf.DUMMYFUNCTION("""COMPUTED_VALUE"""),-23.67346938775511)</f>
        <v>-23.67346939</v>
      </c>
      <c r="I10" s="18">
        <f>IFERROR(__xludf.DUMMYFUNCTION("""COMPUTED_VALUE"""),94.43225806451609)</f>
        <v>94.43225806</v>
      </c>
      <c r="J10" s="19">
        <f>IFERROR(__xludf.DUMMYFUNCTION("""COMPUTED_VALUE"""),12.0)</f>
        <v>12</v>
      </c>
      <c r="K10" s="20">
        <f>IFERROR(__xludf.DUMMYFUNCTION("""COMPUTED_VALUE"""),-82.43225806451609)</f>
        <v>-82.43225806</v>
      </c>
      <c r="L10" s="21">
        <f>IFERROR(__xludf.DUMMYFUNCTION("""COMPUTED_VALUE"""),-0.8729247796679647)</f>
        <v>-0.8729247797</v>
      </c>
      <c r="M10" s="24">
        <f>IFERROR(__xludf.DUMMYFUNCTION("""COMPUTED_VALUE"""),0.31097560975609756)</f>
        <v>0.3109756098</v>
      </c>
      <c r="N10" s="22">
        <f>IFERROR(__xludf.DUMMYFUNCTION("""COMPUTED_VALUE"""),0.5833333333333334)</f>
        <v>0.5833333333</v>
      </c>
      <c r="O10" s="25">
        <f>IFERROR(__xludf.DUMMYFUNCTION("""COMPUTED_VALUE"""),27.23577235772358)</f>
        <v>27.23577236</v>
      </c>
      <c r="P10" s="18">
        <f>IFERROR(__xludf.DUMMYFUNCTION("""COMPUTED_VALUE"""),29.452499999999997)</f>
        <v>29.4525</v>
      </c>
      <c r="Q10" s="19">
        <f>IFERROR(__xludf.DUMMYFUNCTION("""COMPUTED_VALUE"""),7.0)</f>
        <v>7</v>
      </c>
      <c r="R10" s="20">
        <f>IFERROR(__xludf.DUMMYFUNCTION("""COMPUTED_VALUE"""),-22.452499999999997)</f>
        <v>-22.4525</v>
      </c>
      <c r="S10" s="26">
        <f>IFERROR(__xludf.DUMMYFUNCTION("""COMPUTED_VALUE"""),-0.7623291740938799)</f>
        <v>-0.7623291741</v>
      </c>
      <c r="T10" s="22">
        <f>IFERROR(__xludf.DUMMYFUNCTION("""COMPUTED_VALUE"""),0.3725490196078431)</f>
        <v>0.3725490196</v>
      </c>
      <c r="U10" s="22">
        <f>IFERROR(__xludf.DUMMYFUNCTION("""COMPUTED_VALUE"""),0.14285714285714285)</f>
        <v>0.1428571429</v>
      </c>
      <c r="V10" s="23">
        <f>IFERROR(__xludf.DUMMYFUNCTION("""COMPUTED_VALUE"""),-22.969187675070025)</f>
        <v>-22.96918768</v>
      </c>
      <c r="W10" s="18">
        <f>IFERROR(__xludf.DUMMYFUNCTION("""COMPUTED_VALUE"""),10.972499999999998)</f>
        <v>10.9725</v>
      </c>
      <c r="X10" s="19">
        <f>IFERROR(__xludf.DUMMYFUNCTION("""COMPUTED_VALUE"""),1.0)</f>
        <v>1</v>
      </c>
      <c r="Y10" s="20">
        <f>IFERROR(__xludf.DUMMYFUNCTION("""COMPUTED_VALUE"""),-9.972499999999998)</f>
        <v>-9.9725</v>
      </c>
      <c r="Z10" s="27">
        <f>IFERROR(__xludf.DUMMYFUNCTION("""COMPUTED_VALUE"""),-0.9088630667578036)</f>
        <v>-0.9088630668</v>
      </c>
      <c r="AA10" s="18">
        <f>IFERROR(__xludf.DUMMYFUNCTION("""COMPUTED_VALUE"""),19221.0)</f>
        <v>19221</v>
      </c>
      <c r="AB10" s="19">
        <f>IFERROR(__xludf.DUMMYFUNCTION("""COMPUTED_VALUE"""),10030.0)</f>
        <v>10030</v>
      </c>
      <c r="AC10" s="20">
        <f>IFERROR(__xludf.DUMMYFUNCTION("""COMPUTED_VALUE"""),-9191.0)</f>
        <v>-9191</v>
      </c>
      <c r="AD10" s="27">
        <f>IFERROR(__xludf.DUMMYFUNCTION("""COMPUTED_VALUE"""),-0.4781749128557307)</f>
        <v>-0.4781749129</v>
      </c>
      <c r="AE10" s="18">
        <f>IFERROR(__xludf.DUMMYFUNCTION("""COMPUTED_VALUE"""),162739.97838000002)</f>
        <v>162739.9784</v>
      </c>
      <c r="AF10" s="19">
        <f>IFERROR(__xludf.DUMMYFUNCTION("""COMPUTED_VALUE"""),10030.0)</f>
        <v>10030</v>
      </c>
      <c r="AG10" s="20">
        <f>IFERROR(__xludf.DUMMYFUNCTION("""COMPUTED_VALUE"""),-152709.97838000002)</f>
        <v>-152709.9784</v>
      </c>
      <c r="AH10" s="28">
        <f>IFERROR(__xludf.DUMMYFUNCTION("""COMPUTED_VALUE"""),-0.9383679406876912)</f>
        <v>-0.9383679407</v>
      </c>
      <c r="AI10" s="29">
        <f>IFERROR(__xludf.DUMMYFUNCTION("""COMPUTED_VALUE"""),-183562.06227380008)</f>
        <v>-183562.0623</v>
      </c>
      <c r="AJ10" s="29">
        <f>IFERROR(__xludf.DUMMYFUNCTION("""COMPUTED_VALUE"""),-16691.878048780483)</f>
        <v>-16691.87805</v>
      </c>
      <c r="AK10" s="4">
        <f>IFERROR(__xludf.DUMMYFUNCTION("""COMPUTED_VALUE"""),7160.764705882352)</f>
        <v>7160.764706</v>
      </c>
      <c r="AL10" s="30">
        <f>IFERROR(__xludf.DUMMYFUNCTION("""COMPUTED_VALUE"""),1432.857142857143)</f>
        <v>1432.857143</v>
      </c>
      <c r="AM10" s="29">
        <f t="shared" si="1"/>
        <v>-5727.907563</v>
      </c>
      <c r="AN10" s="31">
        <f t="shared" si="2"/>
        <v>-0.7999016583</v>
      </c>
      <c r="AO10" s="12">
        <f t="shared" si="3"/>
        <v>23403.47489</v>
      </c>
      <c r="AP10" s="12">
        <f t="shared" si="4"/>
        <v>-40095.35294</v>
      </c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>
      <c r="A11" s="4" t="str">
        <f>IFERROR(__xludf.DUMMYFUNCTION("""COMPUTED_VALUE"""),"Form G4 Outros - Não Orgânico")</f>
        <v>Form G4 Outros - Não Orgânico</v>
      </c>
      <c r="B11" s="18">
        <f>IFERROR(__xludf.DUMMYFUNCTION("""COMPUTED_VALUE"""),118.39677419354834)</f>
        <v>118.3967742</v>
      </c>
      <c r="C11" s="19">
        <f>IFERROR(__xludf.DUMMYFUNCTION("""COMPUTED_VALUE"""),62.0)</f>
        <v>62</v>
      </c>
      <c r="D11" s="20">
        <f>IFERROR(__xludf.DUMMYFUNCTION("""COMPUTED_VALUE"""),-56.39677419354834)</f>
        <v>-56.39677419</v>
      </c>
      <c r="E11" s="21">
        <f>IFERROR(__xludf.DUMMYFUNCTION("""COMPUTED_VALUE"""),-0.4763370841620574)</f>
        <v>-0.4763370842</v>
      </c>
      <c r="F11" s="22">
        <f>IFERROR(__xludf.DUMMYFUNCTION("""COMPUTED_VALUE"""),0.7165354330708661)</f>
        <v>0.7165354331</v>
      </c>
      <c r="G11" s="22">
        <f>IFERROR(__xludf.DUMMYFUNCTION("""COMPUTED_VALUE"""),0.7419354838709677)</f>
        <v>0.7419354839</v>
      </c>
      <c r="H11" s="23">
        <f>IFERROR(__xludf.DUMMYFUNCTION("""COMPUTED_VALUE"""),2.540005080010166)</f>
        <v>2.54000508</v>
      </c>
      <c r="I11" s="18">
        <f>IFERROR(__xludf.DUMMYFUNCTION("""COMPUTED_VALUE"""),84.83548387096769)</f>
        <v>84.83548387</v>
      </c>
      <c r="J11" s="19">
        <f>IFERROR(__xludf.DUMMYFUNCTION("""COMPUTED_VALUE"""),46.0)</f>
        <v>46</v>
      </c>
      <c r="K11" s="20">
        <f>IFERROR(__xludf.DUMMYFUNCTION("""COMPUTED_VALUE"""),-38.83548387096769)</f>
        <v>-38.83548387</v>
      </c>
      <c r="L11" s="21">
        <f>IFERROR(__xludf.DUMMYFUNCTION("""COMPUTED_VALUE"""),-0.4577740598501841)</f>
        <v>-0.4577740599</v>
      </c>
      <c r="M11" s="24">
        <f>IFERROR(__xludf.DUMMYFUNCTION("""COMPUTED_VALUE"""),0.38461538461538464)</f>
        <v>0.3846153846</v>
      </c>
      <c r="N11" s="22">
        <f>IFERROR(__xludf.DUMMYFUNCTION("""COMPUTED_VALUE"""),0.30434782608695654)</f>
        <v>0.3043478261</v>
      </c>
      <c r="O11" s="25">
        <f>IFERROR(__xludf.DUMMYFUNCTION("""COMPUTED_VALUE"""),-8.02675585284281)</f>
        <v>-8.026755853</v>
      </c>
      <c r="P11" s="18">
        <f>IFERROR(__xludf.DUMMYFUNCTION("""COMPUTED_VALUE"""),32.724999999999994)</f>
        <v>32.725</v>
      </c>
      <c r="Q11" s="19">
        <f>IFERROR(__xludf.DUMMYFUNCTION("""COMPUTED_VALUE"""),14.0)</f>
        <v>14</v>
      </c>
      <c r="R11" s="20">
        <f>IFERROR(__xludf.DUMMYFUNCTION("""COMPUTED_VALUE"""),-18.724999999999994)</f>
        <v>-18.725</v>
      </c>
      <c r="S11" s="26">
        <f>IFERROR(__xludf.DUMMYFUNCTION("""COMPUTED_VALUE"""),-0.5721925133689839)</f>
        <v>-0.5721925134</v>
      </c>
      <c r="T11" s="22">
        <f>IFERROR(__xludf.DUMMYFUNCTION("""COMPUTED_VALUE"""),0.17142857142857143)</f>
        <v>0.1714285714</v>
      </c>
      <c r="U11" s="22">
        <f>IFERROR(__xludf.DUMMYFUNCTION("""COMPUTED_VALUE"""),0.07142857142857142)</f>
        <v>0.07142857143</v>
      </c>
      <c r="V11" s="23">
        <f>IFERROR(__xludf.DUMMYFUNCTION("""COMPUTED_VALUE"""),-10.0)</f>
        <v>-10</v>
      </c>
      <c r="W11" s="18">
        <f>IFERROR(__xludf.DUMMYFUNCTION("""COMPUTED_VALUE"""),5.6099999999999985)</f>
        <v>5.61</v>
      </c>
      <c r="X11" s="19">
        <f>IFERROR(__xludf.DUMMYFUNCTION("""COMPUTED_VALUE"""),1.0)</f>
        <v>1</v>
      </c>
      <c r="Y11" s="20">
        <f>IFERROR(__xludf.DUMMYFUNCTION("""COMPUTED_VALUE"""),-4.6099999999999985)</f>
        <v>-4.61</v>
      </c>
      <c r="Z11" s="27">
        <f>IFERROR(__xludf.DUMMYFUNCTION("""COMPUTED_VALUE"""),-0.8217468805704099)</f>
        <v>-0.8217468806</v>
      </c>
      <c r="AA11" s="18">
        <f>IFERROR(__xludf.DUMMYFUNCTION("""COMPUTED_VALUE"""),29454.0)</f>
        <v>29454</v>
      </c>
      <c r="AB11" s="19">
        <f>IFERROR(__xludf.DUMMYFUNCTION("""COMPUTED_VALUE"""),21900.0)</f>
        <v>21900</v>
      </c>
      <c r="AC11" s="20">
        <f>IFERROR(__xludf.DUMMYFUNCTION("""COMPUTED_VALUE"""),-7554.0)</f>
        <v>-7554</v>
      </c>
      <c r="AD11" s="27">
        <f>IFERROR(__xludf.DUMMYFUNCTION("""COMPUTED_VALUE"""),-0.2564677123650438)</f>
        <v>-0.2564677124</v>
      </c>
      <c r="AE11" s="18">
        <f>IFERROR(__xludf.DUMMYFUNCTION("""COMPUTED_VALUE"""),127502.83151999999)</f>
        <v>127502.8315</v>
      </c>
      <c r="AF11" s="19">
        <f>IFERROR(__xludf.DUMMYFUNCTION("""COMPUTED_VALUE"""),21900.0)</f>
        <v>21900</v>
      </c>
      <c r="AG11" s="20">
        <f>IFERROR(__xludf.DUMMYFUNCTION("""COMPUTED_VALUE"""),-105602.83151999999)</f>
        <v>-105602.8315</v>
      </c>
      <c r="AH11" s="28">
        <f>IFERROR(__xludf.DUMMYFUNCTION("""COMPUTED_VALUE"""),-0.8282391085835237)</f>
        <v>-0.8282391086</v>
      </c>
      <c r="AI11" s="29">
        <f>IFERROR(__xludf.DUMMYFUNCTION("""COMPUTED_VALUE"""),-75419.36320453731)</f>
        <v>-75419.3632</v>
      </c>
      <c r="AJ11" s="29">
        <f>IFERROR(__xludf.DUMMYFUNCTION("""COMPUTED_VALUE"""),-67433.010989011)</f>
        <v>-67433.01099</v>
      </c>
      <c r="AK11" s="4">
        <f>IFERROR(__xludf.DUMMYFUNCTION("""COMPUTED_VALUE"""),5049.257142857143)</f>
        <v>5049.257143</v>
      </c>
      <c r="AL11" s="30">
        <f>IFERROR(__xludf.DUMMYFUNCTION("""COMPUTED_VALUE"""),1564.2857142857142)</f>
        <v>1564.285714</v>
      </c>
      <c r="AM11" s="29">
        <f t="shared" si="1"/>
        <v>-3484.971429</v>
      </c>
      <c r="AN11" s="31">
        <f t="shared" si="2"/>
        <v>-0.6901948802</v>
      </c>
      <c r="AO11" s="12">
        <f t="shared" si="3"/>
        <v>-18643.41099</v>
      </c>
      <c r="AP11" s="12">
        <f t="shared" si="4"/>
        <v>-48789.6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>
      <c r="A12" s="4" t="str">
        <f>IFERROR(__xludf.DUMMYFUNCTION("""COMPUTED_VALUE"""),"Form G4 Facebook")</f>
        <v>Form G4 Facebook</v>
      </c>
      <c r="B12" s="18">
        <f>IFERROR(__xludf.DUMMYFUNCTION("""COMPUTED_VALUE"""),191.93548387096766)</f>
        <v>191.9354839</v>
      </c>
      <c r="C12" s="19">
        <f>IFERROR(__xludf.DUMMYFUNCTION("""COMPUTED_VALUE"""),274.0)</f>
        <v>274</v>
      </c>
      <c r="D12" s="20">
        <f>IFERROR(__xludf.DUMMYFUNCTION("""COMPUTED_VALUE"""),82.06451612903234)</f>
        <v>82.06451613</v>
      </c>
      <c r="E12" s="21">
        <f>IFERROR(__xludf.DUMMYFUNCTION("""COMPUTED_VALUE"""),0.42756302521008466)</f>
        <v>0.4275630252</v>
      </c>
      <c r="F12" s="22">
        <f>IFERROR(__xludf.DUMMYFUNCTION("""COMPUTED_VALUE"""),0.73)</f>
        <v>0.73</v>
      </c>
      <c r="G12" s="22">
        <f>IFERROR(__xludf.DUMMYFUNCTION("""COMPUTED_VALUE"""),0.7445255474452555)</f>
        <v>0.7445255474</v>
      </c>
      <c r="H12" s="23">
        <f>IFERROR(__xludf.DUMMYFUNCTION("""COMPUTED_VALUE"""),1.4525547445255471)</f>
        <v>1.452554745</v>
      </c>
      <c r="I12" s="18">
        <f>IFERROR(__xludf.DUMMYFUNCTION("""COMPUTED_VALUE"""),140.11290322580638)</f>
        <v>140.1129032</v>
      </c>
      <c r="J12" s="19">
        <f>IFERROR(__xludf.DUMMYFUNCTION("""COMPUTED_VALUE"""),204.0)</f>
        <v>204</v>
      </c>
      <c r="K12" s="20">
        <f>IFERROR(__xludf.DUMMYFUNCTION("""COMPUTED_VALUE"""),63.88709677419362)</f>
        <v>63.88709677</v>
      </c>
      <c r="L12" s="21">
        <f>IFERROR(__xludf.DUMMYFUNCTION("""COMPUTED_VALUE"""),0.4559686888454019)</f>
        <v>0.4559686888</v>
      </c>
      <c r="M12" s="24">
        <f>IFERROR(__xludf.DUMMYFUNCTION("""COMPUTED_VALUE"""),0.2642857142857143)</f>
        <v>0.2642857143</v>
      </c>
      <c r="N12" s="22">
        <f>IFERROR(__xludf.DUMMYFUNCTION("""COMPUTED_VALUE"""),0.29411764705882354)</f>
        <v>0.2941176471</v>
      </c>
      <c r="O12" s="25">
        <f>IFERROR(__xludf.DUMMYFUNCTION("""COMPUTED_VALUE"""),2.983193277310925)</f>
        <v>2.983193277</v>
      </c>
      <c r="P12" s="18">
        <f>IFERROR(__xludf.DUMMYFUNCTION("""COMPUTED_VALUE"""),37.13875)</f>
        <v>37.13875</v>
      </c>
      <c r="Q12" s="19">
        <f>IFERROR(__xludf.DUMMYFUNCTION("""COMPUTED_VALUE"""),60.0)</f>
        <v>60</v>
      </c>
      <c r="R12" s="20">
        <f>IFERROR(__xludf.DUMMYFUNCTION("""COMPUTED_VALUE"""),22.86125)</f>
        <v>22.86125</v>
      </c>
      <c r="S12" s="26">
        <f>IFERROR(__xludf.DUMMYFUNCTION("""COMPUTED_VALUE"""),0.6155632593988758)</f>
        <v>0.6155632594</v>
      </c>
      <c r="T12" s="22">
        <f>IFERROR(__xludf.DUMMYFUNCTION("""COMPUTED_VALUE"""),0.15384615384615383)</f>
        <v>0.1538461538</v>
      </c>
      <c r="U12" s="22">
        <f>IFERROR(__xludf.DUMMYFUNCTION("""COMPUTED_VALUE"""),0.08333333333333333)</f>
        <v>0.08333333333</v>
      </c>
      <c r="V12" s="23">
        <f>IFERROR(__xludf.DUMMYFUNCTION("""COMPUTED_VALUE"""),-7.05128205128205)</f>
        <v>-7.051282051</v>
      </c>
      <c r="W12" s="18">
        <f>IFERROR(__xludf.DUMMYFUNCTION("""COMPUTED_VALUE"""),5.7136538461538455)</f>
        <v>5.713653846</v>
      </c>
      <c r="X12" s="19">
        <f>IFERROR(__xludf.DUMMYFUNCTION("""COMPUTED_VALUE"""),5.0)</f>
        <v>5</v>
      </c>
      <c r="Y12" s="20">
        <f>IFERROR(__xludf.DUMMYFUNCTION("""COMPUTED_VALUE"""),-0.7136538461538455)</f>
        <v>-0.7136538462</v>
      </c>
      <c r="Z12" s="27">
        <f>IFERROR(__xludf.DUMMYFUNCTION("""COMPUTED_VALUE"""),-0.12490323449227549)</f>
        <v>-0.1249032345</v>
      </c>
      <c r="AA12" s="18">
        <f>IFERROR(__xludf.DUMMYFUNCTION("""COMPUTED_VALUE"""),23069.0)</f>
        <v>23069</v>
      </c>
      <c r="AB12" s="19">
        <f>IFERROR(__xludf.DUMMYFUNCTION("""COMPUTED_VALUE"""),24250.2)</f>
        <v>24250.2</v>
      </c>
      <c r="AC12" s="20">
        <f>IFERROR(__xludf.DUMMYFUNCTION("""COMPUTED_VALUE"""),1181.2000000000007)</f>
        <v>1181.2</v>
      </c>
      <c r="AD12" s="27">
        <f>IFERROR(__xludf.DUMMYFUNCTION("""COMPUTED_VALUE"""),0.05120291300013008)</f>
        <v>0.051202913</v>
      </c>
      <c r="AE12" s="18">
        <f>IFERROR(__xludf.DUMMYFUNCTION("""COMPUTED_VALUE"""),101708.06232153845)</f>
        <v>101708.0623</v>
      </c>
      <c r="AF12" s="19">
        <f>IFERROR(__xludf.DUMMYFUNCTION("""COMPUTED_VALUE"""),121251.0)</f>
        <v>121251</v>
      </c>
      <c r="AG12" s="20">
        <f>IFERROR(__xludf.DUMMYFUNCTION("""COMPUTED_VALUE"""),19542.937678461545)</f>
        <v>19542.93768</v>
      </c>
      <c r="AH12" s="28">
        <f>IFERROR(__xludf.DUMMYFUNCTION("""COMPUTED_VALUE"""),0.1921473797886226)</f>
        <v>0.1921473798</v>
      </c>
      <c r="AI12" s="29">
        <f>IFERROR(__xludf.DUMMYFUNCTION("""COMPUTED_VALUE"""),59924.201222970645)</f>
        <v>59924.20122</v>
      </c>
      <c r="AJ12" s="29">
        <f>IFERROR(__xludf.DUMMYFUNCTION("""COMPUTED_VALUE"""),-70094.94725274725)</f>
        <v>-70094.94725</v>
      </c>
      <c r="AK12" s="4">
        <f>IFERROR(__xludf.DUMMYFUNCTION("""COMPUTED_VALUE"""),3549.0769230769224)</f>
        <v>3549.076923</v>
      </c>
      <c r="AL12" s="30">
        <f>IFERROR(__xludf.DUMMYFUNCTION("""COMPUTED_VALUE"""),2020.85)</f>
        <v>2020.85</v>
      </c>
      <c r="AM12" s="29">
        <f t="shared" si="1"/>
        <v>-1528.226923</v>
      </c>
      <c r="AN12" s="31">
        <f t="shared" si="2"/>
        <v>-0.4305984221</v>
      </c>
      <c r="AO12" s="12">
        <f t="shared" si="3"/>
        <v>21598.66813</v>
      </c>
      <c r="AP12" s="12">
        <f t="shared" si="4"/>
        <v>-91693.61538</v>
      </c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>
      <c r="A13" s="4" t="str">
        <f>IFERROR(__xludf.DUMMYFUNCTION("""COMPUTED_VALUE"""),"[IM] Link de Indicação")</f>
        <v>[IM] Link de Indicação</v>
      </c>
      <c r="B13" s="18">
        <f>IFERROR(__xludf.DUMMYFUNCTION("""COMPUTED_VALUE"""),71.29032258064512)</f>
        <v>71.29032258</v>
      </c>
      <c r="C13" s="19">
        <f>IFERROR(__xludf.DUMMYFUNCTION("""COMPUTED_VALUE"""),74.0)</f>
        <v>74</v>
      </c>
      <c r="D13" s="20">
        <f>IFERROR(__xludf.DUMMYFUNCTION("""COMPUTED_VALUE"""),2.7096774193548754)</f>
        <v>2.709677419</v>
      </c>
      <c r="E13" s="21">
        <f>IFERROR(__xludf.DUMMYFUNCTION("""COMPUTED_VALUE"""),0.03800904977375619)</f>
        <v>0.03800904977</v>
      </c>
      <c r="F13" s="22">
        <f>IFERROR(__xludf.DUMMYFUNCTION("""COMPUTED_VALUE"""),0.8)</f>
        <v>0.8</v>
      </c>
      <c r="G13" s="22">
        <f>IFERROR(__xludf.DUMMYFUNCTION("""COMPUTED_VALUE"""),0.8243243243243243)</f>
        <v>0.8243243243</v>
      </c>
      <c r="H13" s="23">
        <f>IFERROR(__xludf.DUMMYFUNCTION("""COMPUTED_VALUE"""),2.43243243243243)</f>
        <v>2.432432432</v>
      </c>
      <c r="I13" s="18">
        <f>IFERROR(__xludf.DUMMYFUNCTION("""COMPUTED_VALUE"""),57.0322580645161)</f>
        <v>57.03225806</v>
      </c>
      <c r="J13" s="19">
        <f>IFERROR(__xludf.DUMMYFUNCTION("""COMPUTED_VALUE"""),61.0)</f>
        <v>61</v>
      </c>
      <c r="K13" s="20">
        <f>IFERROR(__xludf.DUMMYFUNCTION("""COMPUTED_VALUE"""),3.9677419354839003)</f>
        <v>3.967741935</v>
      </c>
      <c r="L13" s="21">
        <f>IFERROR(__xludf.DUMMYFUNCTION("""COMPUTED_VALUE"""),0.06957013574660688)</f>
        <v>0.06957013575</v>
      </c>
      <c r="M13" s="24">
        <f>IFERROR(__xludf.DUMMYFUNCTION("""COMPUTED_VALUE"""),0.3076923076923077)</f>
        <v>0.3076923077</v>
      </c>
      <c r="N13" s="22">
        <f>IFERROR(__xludf.DUMMYFUNCTION("""COMPUTED_VALUE"""),0.3114754098360656)</f>
        <v>0.3114754098</v>
      </c>
      <c r="O13" s="25">
        <f>IFERROR(__xludf.DUMMYFUNCTION("""COMPUTED_VALUE"""),0.3783102143757877)</f>
        <v>0.3783102144</v>
      </c>
      <c r="P13" s="18">
        <f>IFERROR(__xludf.DUMMYFUNCTION("""COMPUTED_VALUE"""),17.599999999999998)</f>
        <v>17.6</v>
      </c>
      <c r="Q13" s="19">
        <f>IFERROR(__xludf.DUMMYFUNCTION("""COMPUTED_VALUE"""),19.0)</f>
        <v>19</v>
      </c>
      <c r="R13" s="20">
        <f>IFERROR(__xludf.DUMMYFUNCTION("""COMPUTED_VALUE"""),1.4000000000000021)</f>
        <v>1.4</v>
      </c>
      <c r="S13" s="26">
        <f>IFERROR(__xludf.DUMMYFUNCTION("""COMPUTED_VALUE"""),0.07954545454545468)</f>
        <v>0.07954545455</v>
      </c>
      <c r="T13" s="22">
        <f>IFERROR(__xludf.DUMMYFUNCTION("""COMPUTED_VALUE"""),0.192)</f>
        <v>0.192</v>
      </c>
      <c r="U13" s="22">
        <f>IFERROR(__xludf.DUMMYFUNCTION("""COMPUTED_VALUE"""),0.2631578947368421)</f>
        <v>0.2631578947</v>
      </c>
      <c r="V13" s="23">
        <f>IFERROR(__xludf.DUMMYFUNCTION("""COMPUTED_VALUE"""),7.115789473684209)</f>
        <v>7.115789474</v>
      </c>
      <c r="W13" s="18">
        <f>IFERROR(__xludf.DUMMYFUNCTION("""COMPUTED_VALUE"""),3.3791999999999995)</f>
        <v>3.3792</v>
      </c>
      <c r="X13" s="19">
        <f>IFERROR(__xludf.DUMMYFUNCTION("""COMPUTED_VALUE"""),5.0)</f>
        <v>5</v>
      </c>
      <c r="Y13" s="20">
        <f>IFERROR(__xludf.DUMMYFUNCTION("""COMPUTED_VALUE"""),1.6208000000000005)</f>
        <v>1.6208</v>
      </c>
      <c r="Z13" s="27">
        <f>IFERROR(__xludf.DUMMYFUNCTION("""COMPUTED_VALUE"""),0.4796401515151517)</f>
        <v>0.4796401515</v>
      </c>
      <c r="AA13" s="18">
        <f>IFERROR(__xludf.DUMMYFUNCTION("""COMPUTED_VALUE"""),23779.0)</f>
        <v>23779</v>
      </c>
      <c r="AB13" s="19">
        <f>IFERROR(__xludf.DUMMYFUNCTION("""COMPUTED_VALUE"""),30490.2)</f>
        <v>30490.2</v>
      </c>
      <c r="AC13" s="20">
        <f>IFERROR(__xludf.DUMMYFUNCTION("""COMPUTED_VALUE"""),6711.200000000001)</f>
        <v>6711.2</v>
      </c>
      <c r="AD13" s="27">
        <f>IFERROR(__xludf.DUMMYFUNCTION("""COMPUTED_VALUE"""),0.28223222170823)</f>
        <v>0.2822322217</v>
      </c>
      <c r="AE13" s="18">
        <f>IFERROR(__xludf.DUMMYFUNCTION("""COMPUTED_VALUE"""),62004.0658944)</f>
        <v>62004.06589</v>
      </c>
      <c r="AF13" s="19">
        <f>IFERROR(__xludf.DUMMYFUNCTION("""COMPUTED_VALUE"""),152451.0)</f>
        <v>152451</v>
      </c>
      <c r="AG13" s="20">
        <f>IFERROR(__xludf.DUMMYFUNCTION("""COMPUTED_VALUE"""),90446.9341056)</f>
        <v>90446.93411</v>
      </c>
      <c r="AH13" s="28">
        <f>IFERROR(__xludf.DUMMYFUNCTION("""COMPUTED_VALUE"""),1.4587258561340388)</f>
        <v>1.458725856</v>
      </c>
      <c r="AI13" s="29">
        <f>IFERROR(__xludf.DUMMYFUNCTION("""COMPUTED_VALUE"""),5573.844803970265)</f>
        <v>5573.844804</v>
      </c>
      <c r="AJ13" s="29">
        <f>IFERROR(__xludf.DUMMYFUNCTION("""COMPUTED_VALUE"""),66758.8006153846)</f>
        <v>66758.80062</v>
      </c>
      <c r="AK13" s="4">
        <f>IFERROR(__xludf.DUMMYFUNCTION("""COMPUTED_VALUE"""),4565.568)</f>
        <v>4565.568</v>
      </c>
      <c r="AL13" s="30">
        <f>IFERROR(__xludf.DUMMYFUNCTION("""COMPUTED_VALUE"""),8023.736842105263)</f>
        <v>8023.736842</v>
      </c>
      <c r="AM13" s="29">
        <f t="shared" si="1"/>
        <v>3458.168842</v>
      </c>
      <c r="AN13" s="31">
        <f t="shared" si="2"/>
        <v>0.7574454793</v>
      </c>
      <c r="AO13" s="12">
        <f t="shared" si="3"/>
        <v>1053.592615</v>
      </c>
      <c r="AP13" s="12">
        <f t="shared" si="4"/>
        <v>65705.208</v>
      </c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>
      <c r="A14" s="4" t="str">
        <f>IFERROR(__xludf.DUMMYFUNCTION("""COMPUTED_VALUE"""),"[CM] Form G4 - Instagram")</f>
        <v>[CM] Form G4 - Instagram</v>
      </c>
      <c r="B14" s="18">
        <f>IFERROR(__xludf.DUMMYFUNCTION("""COMPUTED_VALUE"""),32.903225806451594)</f>
        <v>32.90322581</v>
      </c>
      <c r="C14" s="19">
        <f>IFERROR(__xludf.DUMMYFUNCTION("""COMPUTED_VALUE"""),29.0)</f>
        <v>29</v>
      </c>
      <c r="D14" s="20">
        <f>IFERROR(__xludf.DUMMYFUNCTION("""COMPUTED_VALUE"""),-3.9032258064515943)</f>
        <v>-3.903225806</v>
      </c>
      <c r="E14" s="21">
        <f>IFERROR(__xludf.DUMMYFUNCTION("""COMPUTED_VALUE"""),-0.11862745098039167)</f>
        <v>-0.118627451</v>
      </c>
      <c r="F14" s="22">
        <f>IFERROR(__xludf.DUMMYFUNCTION("""COMPUTED_VALUE"""),0.6460674157303372)</f>
        <v>0.6460674157</v>
      </c>
      <c r="G14" s="22">
        <f>IFERROR(__xludf.DUMMYFUNCTION("""COMPUTED_VALUE"""),0.6206896551724138)</f>
        <v>0.6206896552</v>
      </c>
      <c r="H14" s="23">
        <f>IFERROR(__xludf.DUMMYFUNCTION("""COMPUTED_VALUE"""),-2.53777605579234)</f>
        <v>-2.537776056</v>
      </c>
      <c r="I14" s="18">
        <f>IFERROR(__xludf.DUMMYFUNCTION("""COMPUTED_VALUE"""),21.257702065965923)</f>
        <v>21.25770207</v>
      </c>
      <c r="J14" s="19">
        <f>IFERROR(__xludf.DUMMYFUNCTION("""COMPUTED_VALUE"""),18.0)</f>
        <v>18</v>
      </c>
      <c r="K14" s="20">
        <f>IFERROR(__xludf.DUMMYFUNCTION("""COMPUTED_VALUE"""),-3.2577020659659226)</f>
        <v>-3.257702066</v>
      </c>
      <c r="L14" s="21">
        <f>IFERROR(__xludf.DUMMYFUNCTION("""COMPUTED_VALUE"""),-0.15324808184143193)</f>
        <v>-0.1532480818</v>
      </c>
      <c r="M14" s="24">
        <f>IFERROR(__xludf.DUMMYFUNCTION("""COMPUTED_VALUE"""),0.276)</f>
        <v>0.276</v>
      </c>
      <c r="N14" s="22">
        <f>IFERROR(__xludf.DUMMYFUNCTION("""COMPUTED_VALUE"""),0.2777777777777778)</f>
        <v>0.2777777778</v>
      </c>
      <c r="O14" s="25">
        <f>IFERROR(__xludf.DUMMYFUNCTION("""COMPUTED_VALUE"""),0.1777777777777767)</f>
        <v>0.1777777778</v>
      </c>
      <c r="P14" s="18">
        <f>IFERROR(__xludf.DUMMYFUNCTION("""COMPUTED_VALUE"""),5.88438202247191)</f>
        <v>5.884382022</v>
      </c>
      <c r="Q14" s="19">
        <f>IFERROR(__xludf.DUMMYFUNCTION("""COMPUTED_VALUE"""),5.0)</f>
        <v>5</v>
      </c>
      <c r="R14" s="20">
        <f>IFERROR(__xludf.DUMMYFUNCTION("""COMPUTED_VALUE"""),-0.8843820224719101)</f>
        <v>-0.8843820225</v>
      </c>
      <c r="S14" s="26">
        <f>IFERROR(__xludf.DUMMYFUNCTION("""COMPUTED_VALUE"""),-0.15029310114376276)</f>
        <v>-0.1502931011</v>
      </c>
      <c r="T14" s="22">
        <f>IFERROR(__xludf.DUMMYFUNCTION("""COMPUTED_VALUE"""),0.1785714285714286)</f>
        <v>0.1785714286</v>
      </c>
      <c r="U14" s="22">
        <f>IFERROR(__xludf.DUMMYFUNCTION("""COMPUTED_VALUE"""),0.0)</f>
        <v>0</v>
      </c>
      <c r="V14" s="23">
        <f>IFERROR(__xludf.DUMMYFUNCTION("""COMPUTED_VALUE"""),-17.85714285714286)</f>
        <v>-17.85714286</v>
      </c>
      <c r="W14" s="18">
        <f>IFERROR(__xludf.DUMMYFUNCTION("""COMPUTED_VALUE"""),1.0507825040128411)</f>
        <v>1.050782504</v>
      </c>
      <c r="X14" s="19">
        <f>IFERROR(__xludf.DUMMYFUNCTION("""COMPUTED_VALUE"""),0.0)</f>
        <v>0</v>
      </c>
      <c r="Y14" s="20">
        <f>IFERROR(__xludf.DUMMYFUNCTION("""COMPUTED_VALUE"""),-1.0507825040128411)</f>
        <v>-1.050782504</v>
      </c>
      <c r="Z14" s="27">
        <f>IFERROR(__xludf.DUMMYFUNCTION("""COMPUTED_VALUE"""),-1.0)</f>
        <v>-1</v>
      </c>
      <c r="AA14" s="18">
        <f>IFERROR(__xludf.DUMMYFUNCTION("""COMPUTED_VALUE"""),40743.0)</f>
        <v>40743</v>
      </c>
      <c r="AB14" s="19">
        <f>IFERROR(__xludf.DUMMYFUNCTION("""COMPUTED_VALUE"""),0.0)</f>
        <v>0</v>
      </c>
      <c r="AC14" s="20">
        <f>IFERROR(__xludf.DUMMYFUNCTION("""COMPUTED_VALUE"""),-40743.0)</f>
        <v>-40743</v>
      </c>
      <c r="AD14" s="27">
        <f>IFERROR(__xludf.DUMMYFUNCTION("""COMPUTED_VALUE"""),-1.0)</f>
        <v>-1</v>
      </c>
      <c r="AE14" s="18">
        <f>IFERROR(__xludf.DUMMYFUNCTION("""COMPUTED_VALUE"""),33035.32035361157)</f>
        <v>33035.32035</v>
      </c>
      <c r="AF14" s="19">
        <f>IFERROR(__xludf.DUMMYFUNCTION("""COMPUTED_VALUE"""),0.0)</f>
        <v>0</v>
      </c>
      <c r="AG14" s="20">
        <f>IFERROR(__xludf.DUMMYFUNCTION("""COMPUTED_VALUE"""),-33035.32035361157)</f>
        <v>-33035.32035</v>
      </c>
      <c r="AH14" s="28">
        <f>IFERROR(__xludf.DUMMYFUNCTION("""COMPUTED_VALUE"""),-1.0)</f>
        <v>-1</v>
      </c>
      <c r="AI14" s="29">
        <f>IFERROR(__xludf.DUMMYFUNCTION("""COMPUTED_VALUE"""),-6541.62165277273)</f>
        <v>-6541.621653</v>
      </c>
      <c r="AJ14" s="29">
        <f>IFERROR(__xludf.DUMMYFUNCTION("""COMPUTED_VALUE"""),-36144.86142857143)</f>
        <v>-36144.86143</v>
      </c>
      <c r="AK14" s="4">
        <f>IFERROR(__xludf.DUMMYFUNCTION("""COMPUTED_VALUE"""),7275.535714285716)</f>
        <v>7275.535714</v>
      </c>
      <c r="AL14" s="30">
        <f>IFERROR(__xludf.DUMMYFUNCTION("""COMPUTED_VALUE"""),0.0)</f>
        <v>0</v>
      </c>
      <c r="AM14" s="29">
        <f t="shared" si="1"/>
        <v>-7275.535714</v>
      </c>
      <c r="AN14" s="31">
        <f t="shared" si="2"/>
        <v>-1</v>
      </c>
      <c r="AO14" s="12">
        <f t="shared" si="3"/>
        <v>232.8171429</v>
      </c>
      <c r="AP14" s="12">
        <f t="shared" si="4"/>
        <v>-36377.67857</v>
      </c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</row>
    <row r="15">
      <c r="A15" s="4" t="str">
        <f>IFERROR(__xludf.DUMMYFUNCTION("""COMPUTED_VALUE"""),"[CM] Form G4 - Outros")</f>
        <v>[CM] Form G4 - Outros</v>
      </c>
      <c r="B15" s="18">
        <f>IFERROR(__xludf.DUMMYFUNCTION("""COMPUTED_VALUE"""),21.93548387096773)</f>
        <v>21.93548387</v>
      </c>
      <c r="C15" s="19">
        <f>IFERROR(__xludf.DUMMYFUNCTION("""COMPUTED_VALUE"""),19.0)</f>
        <v>19</v>
      </c>
      <c r="D15" s="20">
        <f>IFERROR(__xludf.DUMMYFUNCTION("""COMPUTED_VALUE"""),-2.9354838709677296)</f>
        <v>-2.935483871</v>
      </c>
      <c r="E15" s="21">
        <f>IFERROR(__xludf.DUMMYFUNCTION("""COMPUTED_VALUE"""),-0.13382352941176423)</f>
        <v>-0.1338235294</v>
      </c>
      <c r="F15" s="22">
        <f>IFERROR(__xludf.DUMMYFUNCTION("""COMPUTED_VALUE"""),0.6460674157303372)</f>
        <v>0.6460674157</v>
      </c>
      <c r="G15" s="22">
        <f>IFERROR(__xludf.DUMMYFUNCTION("""COMPUTED_VALUE"""),0.5789473684210527)</f>
        <v>0.5789473684</v>
      </c>
      <c r="H15" s="23">
        <f>IFERROR(__xludf.DUMMYFUNCTION("""COMPUTED_VALUE"""),-6.712004730928456)</f>
        <v>-6.712004731</v>
      </c>
      <c r="I15" s="18">
        <f>IFERROR(__xludf.DUMMYFUNCTION("""COMPUTED_VALUE"""),14.171801377310615)</f>
        <v>14.17180138</v>
      </c>
      <c r="J15" s="19">
        <f>IFERROR(__xludf.DUMMYFUNCTION("""COMPUTED_VALUE"""),11.0)</f>
        <v>11</v>
      </c>
      <c r="K15" s="20">
        <f>IFERROR(__xludf.DUMMYFUNCTION("""COMPUTED_VALUE"""),-3.171801377310615)</f>
        <v>-3.171801377</v>
      </c>
      <c r="L15" s="21">
        <f>IFERROR(__xludf.DUMMYFUNCTION("""COMPUTED_VALUE"""),-0.2238107416879793)</f>
        <v>-0.2238107417</v>
      </c>
      <c r="M15" s="24">
        <f>IFERROR(__xludf.DUMMYFUNCTION("""COMPUTED_VALUE"""),0.276)</f>
        <v>0.276</v>
      </c>
      <c r="N15" s="22">
        <f>IFERROR(__xludf.DUMMYFUNCTION("""COMPUTED_VALUE"""),0.36363636363636365)</f>
        <v>0.3636363636</v>
      </c>
      <c r="O15" s="25">
        <f>IFERROR(__xludf.DUMMYFUNCTION("""COMPUTED_VALUE"""),8.763636363636362)</f>
        <v>8.763636364</v>
      </c>
      <c r="P15" s="18">
        <f>IFERROR(__xludf.DUMMYFUNCTION("""COMPUTED_VALUE"""),3.922921348314607)</f>
        <v>3.922921348</v>
      </c>
      <c r="Q15" s="19">
        <f>IFERROR(__xludf.DUMMYFUNCTION("""COMPUTED_VALUE"""),4.0)</f>
        <v>4</v>
      </c>
      <c r="R15" s="20">
        <f>IFERROR(__xludf.DUMMYFUNCTION("""COMPUTED_VALUE"""),0.07707865168539296)</f>
        <v>0.07707865169</v>
      </c>
      <c r="S15" s="26">
        <f>IFERROR(__xludf.DUMMYFUNCTION("""COMPUTED_VALUE"""),0.0196482786274846)</f>
        <v>0.01964827863</v>
      </c>
      <c r="T15" s="22">
        <f>IFERROR(__xludf.DUMMYFUNCTION("""COMPUTED_VALUE"""),0.1785714285714286)</f>
        <v>0.1785714286</v>
      </c>
      <c r="U15" s="22">
        <f>IFERROR(__xludf.DUMMYFUNCTION("""COMPUTED_VALUE"""),0.5)</f>
        <v>0.5</v>
      </c>
      <c r="V15" s="23">
        <f>IFERROR(__xludf.DUMMYFUNCTION("""COMPUTED_VALUE"""),32.14285714285714)</f>
        <v>32.14285714</v>
      </c>
      <c r="W15" s="18">
        <f>IFERROR(__xludf.DUMMYFUNCTION("""COMPUTED_VALUE"""),0.7005216693418942)</f>
        <v>0.7005216693</v>
      </c>
      <c r="X15" s="19">
        <f>IFERROR(__xludf.DUMMYFUNCTION("""COMPUTED_VALUE"""),2.0)</f>
        <v>2</v>
      </c>
      <c r="Y15" s="20">
        <f>IFERROR(__xludf.DUMMYFUNCTION("""COMPUTED_VALUE"""),1.299478330658106)</f>
        <v>1.299478331</v>
      </c>
      <c r="Z15" s="27">
        <f>IFERROR(__xludf.DUMMYFUNCTION("""COMPUTED_VALUE"""),1.8550151801569568)</f>
        <v>1.85501518</v>
      </c>
      <c r="AA15" s="18">
        <f>IFERROR(__xludf.DUMMYFUNCTION("""COMPUTED_VALUE"""),40743.0)</f>
        <v>40743</v>
      </c>
      <c r="AB15" s="19">
        <f>IFERROR(__xludf.DUMMYFUNCTION("""COMPUTED_VALUE"""),79020.0)</f>
        <v>79020</v>
      </c>
      <c r="AC15" s="20">
        <f>IFERROR(__xludf.DUMMYFUNCTION("""COMPUTED_VALUE"""),38277.0)</f>
        <v>38277</v>
      </c>
      <c r="AD15" s="27">
        <f>IFERROR(__xludf.DUMMYFUNCTION("""COMPUTED_VALUE"""),0.9394742655180031)</f>
        <v>0.9394742655</v>
      </c>
      <c r="AE15" s="18">
        <f>IFERROR(__xludf.DUMMYFUNCTION("""COMPUTED_VALUE"""),22023.54690240771)</f>
        <v>22023.5469</v>
      </c>
      <c r="AF15" s="19">
        <f>IFERROR(__xludf.DUMMYFUNCTION("""COMPUTED_VALUE"""),158040.0)</f>
        <v>158040</v>
      </c>
      <c r="AG15" s="20">
        <f>IFERROR(__xludf.DUMMYFUNCTION("""COMPUTED_VALUE"""),136016.45309759228)</f>
        <v>136016.4531</v>
      </c>
      <c r="AH15" s="28">
        <f>IFERROR(__xludf.DUMMYFUNCTION("""COMPUTED_VALUE"""),6.175955839462097)</f>
        <v>6.175955839</v>
      </c>
      <c r="AI15" s="29">
        <f>IFERROR(__xludf.DUMMYFUNCTION("""COMPUTED_VALUE"""),-6369.128958991344)</f>
        <v>-6369.128959</v>
      </c>
      <c r="AJ15" s="29">
        <f>IFERROR(__xludf.DUMMYFUNCTION("""COMPUTED_VALUE"""),135951.47357142856)</f>
        <v>135951.4736</v>
      </c>
      <c r="AK15" s="4">
        <f>IFERROR(__xludf.DUMMYFUNCTION("""COMPUTED_VALUE"""),7275.535714285715)</f>
        <v>7275.535714</v>
      </c>
      <c r="AL15" s="30">
        <f>IFERROR(__xludf.DUMMYFUNCTION("""COMPUTED_VALUE"""),39510.0)</f>
        <v>39510</v>
      </c>
      <c r="AM15" s="29">
        <f t="shared" si="1"/>
        <v>32234.46429</v>
      </c>
      <c r="AN15" s="31">
        <f t="shared" si="2"/>
        <v>4.430527943</v>
      </c>
      <c r="AO15" s="12">
        <f t="shared" si="3"/>
        <v>7013.616429</v>
      </c>
      <c r="AP15" s="12">
        <f t="shared" si="4"/>
        <v>128937.8571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</row>
    <row r="16">
      <c r="A16" s="4" t="str">
        <f>IFERROR(__xludf.DUMMYFUNCTION("""COMPUTED_VALUE"""),"Aplicativo G4 - Indicação")</f>
        <v>Aplicativo G4 - Indicação</v>
      </c>
      <c r="B16" s="18">
        <f>IFERROR(__xludf.DUMMYFUNCTION("""COMPUTED_VALUE"""),53.303225806451586)</f>
        <v>53.30322581</v>
      </c>
      <c r="C16" s="19">
        <f>IFERROR(__xludf.DUMMYFUNCTION("""COMPUTED_VALUE"""),74.0)</f>
        <v>74</v>
      </c>
      <c r="D16" s="20">
        <f>IFERROR(__xludf.DUMMYFUNCTION("""COMPUTED_VALUE"""),20.696774193548414)</f>
        <v>20.69677419</v>
      </c>
      <c r="E16" s="21">
        <f>IFERROR(__xludf.DUMMYFUNCTION("""COMPUTED_VALUE"""),0.38828370854514715)</f>
        <v>0.3882837085</v>
      </c>
      <c r="F16" s="22">
        <f>IFERROR(__xludf.DUMMYFUNCTION("""COMPUTED_VALUE"""),0.75)</f>
        <v>0.75</v>
      </c>
      <c r="G16" s="22">
        <f>IFERROR(__xludf.DUMMYFUNCTION("""COMPUTED_VALUE"""),0.12162162162162163)</f>
        <v>0.1216216216</v>
      </c>
      <c r="H16" s="23">
        <f>IFERROR(__xludf.DUMMYFUNCTION("""COMPUTED_VALUE"""),-62.83783783783784)</f>
        <v>-62.83783784</v>
      </c>
      <c r="I16" s="18">
        <f>IFERROR(__xludf.DUMMYFUNCTION("""COMPUTED_VALUE"""),39.977419354838695)</f>
        <v>39.97741935</v>
      </c>
      <c r="J16" s="19">
        <f>IFERROR(__xludf.DUMMYFUNCTION("""COMPUTED_VALUE"""),9.0)</f>
        <v>9</v>
      </c>
      <c r="K16" s="20">
        <f>IFERROR(__xludf.DUMMYFUNCTION("""COMPUTED_VALUE"""),-30.977419354838695)</f>
        <v>-30.97741935</v>
      </c>
      <c r="L16" s="21">
        <f>IFERROR(__xludf.DUMMYFUNCTION("""COMPUTED_VALUE"""),-0.774872912127814)</f>
        <v>-0.7748729121</v>
      </c>
      <c r="M16" s="24">
        <f>IFERROR(__xludf.DUMMYFUNCTION("""COMPUTED_VALUE"""),0.16049382716049382)</f>
        <v>0.1604938272</v>
      </c>
      <c r="N16" s="22">
        <f>IFERROR(__xludf.DUMMYFUNCTION("""COMPUTED_VALUE"""),0.8888888888888888)</f>
        <v>0.8888888889</v>
      </c>
      <c r="O16" s="25">
        <f>IFERROR(__xludf.DUMMYFUNCTION("""COMPUTED_VALUE"""),72.83950617283949)</f>
        <v>72.83950617</v>
      </c>
      <c r="P16" s="18">
        <f>IFERROR(__xludf.DUMMYFUNCTION("""COMPUTED_VALUE"""),6.435)</f>
        <v>6.435</v>
      </c>
      <c r="Q16" s="19">
        <f>IFERROR(__xludf.DUMMYFUNCTION("""COMPUTED_VALUE"""),8.0)</f>
        <v>8</v>
      </c>
      <c r="R16" s="20">
        <f>IFERROR(__xludf.DUMMYFUNCTION("""COMPUTED_VALUE"""),1.5650000000000004)</f>
        <v>1.565</v>
      </c>
      <c r="S16" s="26">
        <f>IFERROR(__xludf.DUMMYFUNCTION("""COMPUTED_VALUE"""),0.24320124320124328)</f>
        <v>0.2432012432</v>
      </c>
      <c r="T16" s="22">
        <f>IFERROR(__xludf.DUMMYFUNCTION("""COMPUTED_VALUE"""),0.15384615384615383)</f>
        <v>0.1538461538</v>
      </c>
      <c r="U16" s="22">
        <f>IFERROR(__xludf.DUMMYFUNCTION("""COMPUTED_VALUE"""),0.125)</f>
        <v>0.125</v>
      </c>
      <c r="V16" s="23">
        <f>IFERROR(__xludf.DUMMYFUNCTION("""COMPUTED_VALUE"""),-2.884615384615383)</f>
        <v>-2.884615385</v>
      </c>
      <c r="W16" s="18">
        <f>IFERROR(__xludf.DUMMYFUNCTION("""COMPUTED_VALUE"""),0.9899999999999999)</f>
        <v>0.99</v>
      </c>
      <c r="X16" s="19">
        <f>IFERROR(__xludf.DUMMYFUNCTION("""COMPUTED_VALUE"""),1.0)</f>
        <v>1</v>
      </c>
      <c r="Y16" s="20">
        <f>IFERROR(__xludf.DUMMYFUNCTION("""COMPUTED_VALUE"""),0.01000000000000012)</f>
        <v>0.01</v>
      </c>
      <c r="Z16" s="27">
        <f>IFERROR(__xludf.DUMMYFUNCTION("""COMPUTED_VALUE"""),0.010101010101010223)</f>
        <v>0.0101010101</v>
      </c>
      <c r="AA16" s="18">
        <f>IFERROR(__xludf.DUMMYFUNCTION("""COMPUTED_VALUE"""),28325.0)</f>
        <v>28325</v>
      </c>
      <c r="AB16" s="19">
        <f>IFERROR(__xludf.DUMMYFUNCTION("""COMPUTED_VALUE"""),63000.0)</f>
        <v>63000</v>
      </c>
      <c r="AC16" s="20">
        <f>IFERROR(__xludf.DUMMYFUNCTION("""COMPUTED_VALUE"""),34675.0)</f>
        <v>34675</v>
      </c>
      <c r="AD16" s="27">
        <f>IFERROR(__xludf.DUMMYFUNCTION("""COMPUTED_VALUE"""),1.2241835834068844)</f>
        <v>1.224183583</v>
      </c>
      <c r="AE16" s="18">
        <f>IFERROR(__xludf.DUMMYFUNCTION("""COMPUTED_VALUE"""),21638.034)</f>
        <v>21638.034</v>
      </c>
      <c r="AF16" s="19">
        <f>IFERROR(__xludf.DUMMYFUNCTION("""COMPUTED_VALUE"""),63000.0)</f>
        <v>63000</v>
      </c>
      <c r="AG16" s="20">
        <f>IFERROR(__xludf.DUMMYFUNCTION("""COMPUTED_VALUE"""),41361.966)</f>
        <v>41361.966</v>
      </c>
      <c r="AH16" s="28">
        <f>IFERROR(__xludf.DUMMYFUNCTION("""COMPUTED_VALUE"""),1.9115399301064044)</f>
        <v>1.91153993</v>
      </c>
      <c r="AI16" s="29">
        <f>IFERROR(__xludf.DUMMYFUNCTION("""COMPUTED_VALUE"""),-21665.0716845878)</f>
        <v>-21665.07168</v>
      </c>
      <c r="AJ16" s="29">
        <f>IFERROR(__xludf.DUMMYFUNCTION("""COMPUTED_VALUE"""),56705.555555555555)</f>
        <v>56705.55556</v>
      </c>
      <c r="AK16" s="4">
        <f>IFERROR(__xludf.DUMMYFUNCTION("""COMPUTED_VALUE"""),4357.692307692308)</f>
        <v>4357.692308</v>
      </c>
      <c r="AL16" s="30">
        <f>IFERROR(__xludf.DUMMYFUNCTION("""COMPUTED_VALUE"""),7875.0)</f>
        <v>7875</v>
      </c>
      <c r="AM16" s="29">
        <f t="shared" si="1"/>
        <v>3517.307692</v>
      </c>
      <c r="AN16" s="31">
        <f t="shared" si="2"/>
        <v>0.8071491615</v>
      </c>
      <c r="AO16" s="12">
        <f t="shared" si="3"/>
        <v>28567.09402</v>
      </c>
      <c r="AP16" s="12">
        <f t="shared" si="4"/>
        <v>28138.46154</v>
      </c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  <row r="17">
      <c r="A17" s="4" t="str">
        <f>IFERROR(__xludf.DUMMYFUNCTION("""COMPUTED_VALUE"""),"Indicação - Outros")</f>
        <v>Indicação - Outros</v>
      </c>
      <c r="B17" s="18">
        <f>IFERROR(__xludf.DUMMYFUNCTION("""COMPUTED_VALUE"""),9.103225806451608)</f>
        <v>9.103225806</v>
      </c>
      <c r="C17" s="19">
        <f>IFERROR(__xludf.DUMMYFUNCTION("""COMPUTED_VALUE"""),4.0)</f>
        <v>4</v>
      </c>
      <c r="D17" s="20">
        <f>IFERROR(__xludf.DUMMYFUNCTION("""COMPUTED_VALUE"""),-5.103225806451608)</f>
        <v>-5.103225806</v>
      </c>
      <c r="E17" s="21">
        <f>IFERROR(__xludf.DUMMYFUNCTION("""COMPUTED_VALUE"""),-0.5605953224663357)</f>
        <v>-0.5605953225</v>
      </c>
      <c r="F17" s="22">
        <f>IFERROR(__xludf.DUMMYFUNCTION("""COMPUTED_VALUE"""),0.84)</f>
        <v>0.84</v>
      </c>
      <c r="G17" s="22">
        <f>IFERROR(__xludf.DUMMYFUNCTION("""COMPUTED_VALUE"""),0.5)</f>
        <v>0.5</v>
      </c>
      <c r="H17" s="23">
        <f>IFERROR(__xludf.DUMMYFUNCTION("""COMPUTED_VALUE"""),-34.0)</f>
        <v>-34</v>
      </c>
      <c r="I17" s="18">
        <f>IFERROR(__xludf.DUMMYFUNCTION("""COMPUTED_VALUE"""),7.6467096774193495)</f>
        <v>7.646709677</v>
      </c>
      <c r="J17" s="19">
        <f>IFERROR(__xludf.DUMMYFUNCTION("""COMPUTED_VALUE"""),2.0)</f>
        <v>2</v>
      </c>
      <c r="K17" s="20">
        <f>IFERROR(__xludf.DUMMYFUNCTION("""COMPUTED_VALUE"""),-5.6467096774193495)</f>
        <v>-5.646709677</v>
      </c>
      <c r="L17" s="21">
        <f>IFERROR(__xludf.DUMMYFUNCTION("""COMPUTED_VALUE"""),-0.7384495967061522)</f>
        <v>-0.7384495967</v>
      </c>
      <c r="M17" s="24">
        <f>IFERROR(__xludf.DUMMYFUNCTION("""COMPUTED_VALUE"""),0.19469026548672566)</f>
        <v>0.1946902655</v>
      </c>
      <c r="N17" s="22">
        <f>IFERROR(__xludf.DUMMYFUNCTION("""COMPUTED_VALUE"""),0.5)</f>
        <v>0.5</v>
      </c>
      <c r="O17" s="25">
        <f>IFERROR(__xludf.DUMMYFUNCTION("""COMPUTED_VALUE"""),30.530973451327437)</f>
        <v>30.53097345</v>
      </c>
      <c r="P17" s="18">
        <f>IFERROR(__xludf.DUMMYFUNCTION("""COMPUTED_VALUE"""),1.493118584070796)</f>
        <v>1.493118584</v>
      </c>
      <c r="Q17" s="19">
        <f>IFERROR(__xludf.DUMMYFUNCTION("""COMPUTED_VALUE"""),1.0)</f>
        <v>1</v>
      </c>
      <c r="R17" s="20">
        <f>IFERROR(__xludf.DUMMYFUNCTION("""COMPUTED_VALUE"""),-0.4931185840707959)</f>
        <v>-0.4931185841</v>
      </c>
      <c r="S17" s="26">
        <f>IFERROR(__xludf.DUMMYFUNCTION("""COMPUTED_VALUE"""),-0.3302608308084757)</f>
        <v>-0.3302608308</v>
      </c>
      <c r="T17" s="22">
        <f>IFERROR(__xludf.DUMMYFUNCTION("""COMPUTED_VALUE"""),0.6363636363636365)</f>
        <v>0.6363636364</v>
      </c>
      <c r="U17" s="22">
        <f>IFERROR(__xludf.DUMMYFUNCTION("""COMPUTED_VALUE"""),0.0)</f>
        <v>0</v>
      </c>
      <c r="V17" s="23">
        <f>IFERROR(__xludf.DUMMYFUNCTION("""COMPUTED_VALUE"""),-63.63636363636365)</f>
        <v>-63.63636364</v>
      </c>
      <c r="W17" s="18">
        <f>IFERROR(__xludf.DUMMYFUNCTION("""COMPUTED_VALUE"""),0.9501663716814157)</f>
        <v>0.9501663717</v>
      </c>
      <c r="X17" s="19">
        <f>IFERROR(__xludf.DUMMYFUNCTION("""COMPUTED_VALUE"""),0.0)</f>
        <v>0</v>
      </c>
      <c r="Y17" s="20">
        <f>IFERROR(__xludf.DUMMYFUNCTION("""COMPUTED_VALUE"""),-0.9501663716814157)</f>
        <v>-0.9501663717</v>
      </c>
      <c r="Z17" s="27">
        <f>IFERROR(__xludf.DUMMYFUNCTION("""COMPUTED_VALUE"""),-1.0)</f>
        <v>-1</v>
      </c>
      <c r="AA17" s="18">
        <f>IFERROR(__xludf.DUMMYFUNCTION("""COMPUTED_VALUE"""),27596.0)</f>
        <v>27596</v>
      </c>
      <c r="AB17" s="19">
        <f>IFERROR(__xludf.DUMMYFUNCTION("""COMPUTED_VALUE"""),0.0)</f>
        <v>0</v>
      </c>
      <c r="AC17" s="20">
        <f>IFERROR(__xludf.DUMMYFUNCTION("""COMPUTED_VALUE"""),-27596.0)</f>
        <v>-27596</v>
      </c>
      <c r="AD17" s="27">
        <f>IFERROR(__xludf.DUMMYFUNCTION("""COMPUTED_VALUE"""),-1.0)</f>
        <v>-1</v>
      </c>
      <c r="AE17" s="18">
        <f>IFERROR(__xludf.DUMMYFUNCTION("""COMPUTED_VALUE"""),20232.91596777345)</f>
        <v>20232.91597</v>
      </c>
      <c r="AF17" s="19">
        <f>IFERROR(__xludf.DUMMYFUNCTION("""COMPUTED_VALUE"""),0.0)</f>
        <v>0</v>
      </c>
      <c r="AG17" s="20">
        <f>IFERROR(__xludf.DUMMYFUNCTION("""COMPUTED_VALUE"""),-20232.91596777345)</f>
        <v>-20232.91597</v>
      </c>
      <c r="AH17" s="28">
        <f>IFERROR(__xludf.DUMMYFUNCTION("""COMPUTED_VALUE"""),-1.0)</f>
        <v>-1</v>
      </c>
      <c r="AI17" s="29">
        <f>IFERROR(__xludf.DUMMYFUNCTION("""COMPUTED_VALUE"""),-19305.950474450456)</f>
        <v>-19305.95047</v>
      </c>
      <c r="AJ17" s="29">
        <f>IFERROR(__xludf.DUMMYFUNCTION("""COMPUTED_VALUE"""),-6837.946902654869)</f>
        <v>-6837.946903</v>
      </c>
      <c r="AK17" s="4">
        <f>IFERROR(__xludf.DUMMYFUNCTION("""COMPUTED_VALUE"""),17561.09090909091)</f>
        <v>17561.09091</v>
      </c>
      <c r="AL17" s="4">
        <f>IFERROR(__xludf.DUMMYFUNCTION("""COMPUTED_VALUE"""),0.0)</f>
        <v>0</v>
      </c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</row>
    <row r="18">
      <c r="A18" s="4" t="str">
        <f>IFERROR(__xludf.DUMMYFUNCTION("""COMPUTED_VALUE"""),"[CM] Form G4")</f>
        <v>[CM] Form G4</v>
      </c>
      <c r="B18" s="18"/>
      <c r="C18" s="19">
        <f>IFERROR(__xludf.DUMMYFUNCTION("""COMPUTED_VALUE"""),0.0)</f>
        <v>0</v>
      </c>
      <c r="D18" s="20">
        <f>IFERROR(__xludf.DUMMYFUNCTION("""COMPUTED_VALUE"""),0.0)</f>
        <v>0</v>
      </c>
      <c r="E18" s="21" t="str">
        <f>IFERROR(__xludf.DUMMYFUNCTION("""COMPUTED_VALUE"""),"")</f>
        <v/>
      </c>
      <c r="F18" s="22"/>
      <c r="G18" s="22" t="str">
        <f>IFERROR(__xludf.DUMMYFUNCTION("""COMPUTED_VALUE"""),"")</f>
        <v/>
      </c>
      <c r="H18" s="23" t="str">
        <f>IFERROR(__xludf.DUMMYFUNCTION("""COMPUTED_VALUE"""),"")</f>
        <v/>
      </c>
      <c r="I18" s="18"/>
      <c r="J18" s="19">
        <f>IFERROR(__xludf.DUMMYFUNCTION("""COMPUTED_VALUE"""),0.0)</f>
        <v>0</v>
      </c>
      <c r="K18" s="20">
        <f>IFERROR(__xludf.DUMMYFUNCTION("""COMPUTED_VALUE"""),0.0)</f>
        <v>0</v>
      </c>
      <c r="L18" s="21" t="str">
        <f>IFERROR(__xludf.DUMMYFUNCTION("""COMPUTED_VALUE"""),"")</f>
        <v/>
      </c>
      <c r="M18" s="24"/>
      <c r="N18" s="22" t="str">
        <f>IFERROR(__xludf.DUMMYFUNCTION("""COMPUTED_VALUE"""),"")</f>
        <v/>
      </c>
      <c r="O18" s="25" t="str">
        <f>IFERROR(__xludf.DUMMYFUNCTION("""COMPUTED_VALUE"""),"")</f>
        <v/>
      </c>
      <c r="P18" s="18"/>
      <c r="Q18" s="19">
        <f>IFERROR(__xludf.DUMMYFUNCTION("""COMPUTED_VALUE"""),9.0)</f>
        <v>9</v>
      </c>
      <c r="R18" s="20">
        <f>IFERROR(__xludf.DUMMYFUNCTION("""COMPUTED_VALUE"""),9.0)</f>
        <v>9</v>
      </c>
      <c r="S18" s="26" t="str">
        <f>IFERROR(__xludf.DUMMYFUNCTION("""COMPUTED_VALUE"""),"")</f>
        <v/>
      </c>
      <c r="T18" s="22"/>
      <c r="U18" s="22">
        <f>IFERROR(__xludf.DUMMYFUNCTION("""COMPUTED_VALUE"""),0.2222222222222222)</f>
        <v>0.2222222222</v>
      </c>
      <c r="V18" s="23" t="str">
        <f>IFERROR(__xludf.DUMMYFUNCTION("""COMPUTED_VALUE"""),"")</f>
        <v/>
      </c>
      <c r="W18" s="18"/>
      <c r="X18" s="19">
        <f>IFERROR(__xludf.DUMMYFUNCTION("""COMPUTED_VALUE"""),2.0)</f>
        <v>2</v>
      </c>
      <c r="Y18" s="20">
        <f>IFERROR(__xludf.DUMMYFUNCTION("""COMPUTED_VALUE"""),2.0)</f>
        <v>2</v>
      </c>
      <c r="Z18" s="27" t="str">
        <f>IFERROR(__xludf.DUMMYFUNCTION("""COMPUTED_VALUE"""),"")</f>
        <v/>
      </c>
      <c r="AA18" s="18"/>
      <c r="AB18" s="19">
        <f>IFERROR(__xludf.DUMMYFUNCTION("""COMPUTED_VALUE"""),79020.0)</f>
        <v>79020</v>
      </c>
      <c r="AC18" s="20">
        <f>IFERROR(__xludf.DUMMYFUNCTION("""COMPUTED_VALUE"""),79020.0)</f>
        <v>79020</v>
      </c>
      <c r="AD18" s="27" t="str">
        <f>IFERROR(__xludf.DUMMYFUNCTION("""COMPUTED_VALUE"""),"")</f>
        <v/>
      </c>
      <c r="AE18" s="18"/>
      <c r="AF18" s="19">
        <f>IFERROR(__xludf.DUMMYFUNCTION("""COMPUTED_VALUE"""),158040.0)</f>
        <v>158040</v>
      </c>
      <c r="AG18" s="20">
        <f>IFERROR(__xludf.DUMMYFUNCTION("""COMPUTED_VALUE"""),158040.0)</f>
        <v>158040</v>
      </c>
      <c r="AH18" s="28" t="str">
        <f>IFERROR(__xludf.DUMMYFUNCTION("""COMPUTED_VALUE"""),"")</f>
        <v/>
      </c>
      <c r="AI18" s="29">
        <f>IFERROR(__xludf.DUMMYFUNCTION("""COMPUTED_VALUE"""),0.0)</f>
        <v>0</v>
      </c>
      <c r="AJ18" s="29">
        <f>IFERROR(__xludf.DUMMYFUNCTION("""COMPUTED_VALUE"""),0.0)</f>
        <v>0</v>
      </c>
      <c r="AK18" s="4"/>
      <c r="AL18" s="4">
        <f>IFERROR(__xludf.DUMMYFUNCTION("""COMPUTED_VALUE"""),17560.0)</f>
        <v>17560</v>
      </c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</row>
    <row r="19">
      <c r="A19" s="4" t="str">
        <f>IFERROR(__xludf.DUMMYFUNCTION("""COMPUTED_VALUE"""),"Form G4 Incompleto Instagram")</f>
        <v>Form G4 Incompleto Instagram</v>
      </c>
      <c r="B19" s="18"/>
      <c r="C19" s="19">
        <f>IFERROR(__xludf.DUMMYFUNCTION("""COMPUTED_VALUE"""),0.0)</f>
        <v>0</v>
      </c>
      <c r="D19" s="20">
        <f>IFERROR(__xludf.DUMMYFUNCTION("""COMPUTED_VALUE"""),0.0)</f>
        <v>0</v>
      </c>
      <c r="E19" s="21" t="str">
        <f>IFERROR(__xludf.DUMMYFUNCTION("""COMPUTED_VALUE"""),"")</f>
        <v/>
      </c>
      <c r="F19" s="22"/>
      <c r="G19" s="22" t="str">
        <f>IFERROR(__xludf.DUMMYFUNCTION("""COMPUTED_VALUE"""),"")</f>
        <v/>
      </c>
      <c r="H19" s="23" t="str">
        <f>IFERROR(__xludf.DUMMYFUNCTION("""COMPUTED_VALUE"""),"")</f>
        <v/>
      </c>
      <c r="I19" s="18"/>
      <c r="J19" s="19">
        <f>IFERROR(__xludf.DUMMYFUNCTION("""COMPUTED_VALUE"""),0.0)</f>
        <v>0</v>
      </c>
      <c r="K19" s="20">
        <f>IFERROR(__xludf.DUMMYFUNCTION("""COMPUTED_VALUE"""),0.0)</f>
        <v>0</v>
      </c>
      <c r="L19" s="21" t="str">
        <f>IFERROR(__xludf.DUMMYFUNCTION("""COMPUTED_VALUE"""),"")</f>
        <v/>
      </c>
      <c r="M19" s="24"/>
      <c r="N19" s="22" t="str">
        <f>IFERROR(__xludf.DUMMYFUNCTION("""COMPUTED_VALUE"""),"")</f>
        <v/>
      </c>
      <c r="O19" s="25" t="str">
        <f>IFERROR(__xludf.DUMMYFUNCTION("""COMPUTED_VALUE"""),"")</f>
        <v/>
      </c>
      <c r="P19" s="18"/>
      <c r="Q19" s="19">
        <f>IFERROR(__xludf.DUMMYFUNCTION("""COMPUTED_VALUE"""),1.0)</f>
        <v>1</v>
      </c>
      <c r="R19" s="20">
        <f>IFERROR(__xludf.DUMMYFUNCTION("""COMPUTED_VALUE"""),1.0)</f>
        <v>1</v>
      </c>
      <c r="S19" s="26" t="str">
        <f>IFERROR(__xludf.DUMMYFUNCTION("""COMPUTED_VALUE"""),"")</f>
        <v/>
      </c>
      <c r="T19" s="22"/>
      <c r="U19" s="22">
        <f>IFERROR(__xludf.DUMMYFUNCTION("""COMPUTED_VALUE"""),0.0)</f>
        <v>0</v>
      </c>
      <c r="V19" s="23" t="str">
        <f>IFERROR(__xludf.DUMMYFUNCTION("""COMPUTED_VALUE"""),"")</f>
        <v/>
      </c>
      <c r="W19" s="18"/>
      <c r="X19" s="19">
        <f>IFERROR(__xludf.DUMMYFUNCTION("""COMPUTED_VALUE"""),0.0)</f>
        <v>0</v>
      </c>
      <c r="Y19" s="20">
        <f>IFERROR(__xludf.DUMMYFUNCTION("""COMPUTED_VALUE"""),0.0)</f>
        <v>0</v>
      </c>
      <c r="Z19" s="27" t="str">
        <f>IFERROR(__xludf.DUMMYFUNCTION("""COMPUTED_VALUE"""),"")</f>
        <v/>
      </c>
      <c r="AA19" s="18"/>
      <c r="AB19" s="19">
        <f>IFERROR(__xludf.DUMMYFUNCTION("""COMPUTED_VALUE"""),0.0)</f>
        <v>0</v>
      </c>
      <c r="AC19" s="20">
        <f>IFERROR(__xludf.DUMMYFUNCTION("""COMPUTED_VALUE"""),0.0)</f>
        <v>0</v>
      </c>
      <c r="AD19" s="27" t="str">
        <f>IFERROR(__xludf.DUMMYFUNCTION("""COMPUTED_VALUE"""),"")</f>
        <v/>
      </c>
      <c r="AE19" s="18"/>
      <c r="AF19" s="19">
        <f>IFERROR(__xludf.DUMMYFUNCTION("""COMPUTED_VALUE"""),0.0)</f>
        <v>0</v>
      </c>
      <c r="AG19" s="20">
        <f>IFERROR(__xludf.DUMMYFUNCTION("""COMPUTED_VALUE"""),0.0)</f>
        <v>0</v>
      </c>
      <c r="AH19" s="28" t="str">
        <f>IFERROR(__xludf.DUMMYFUNCTION("""COMPUTED_VALUE"""),"")</f>
        <v/>
      </c>
      <c r="AI19" s="29">
        <f>IFERROR(__xludf.DUMMYFUNCTION("""COMPUTED_VALUE"""),0.0)</f>
        <v>0</v>
      </c>
      <c r="AJ19" s="29">
        <f>IFERROR(__xludf.DUMMYFUNCTION("""COMPUTED_VALUE"""),0.0)</f>
        <v>0</v>
      </c>
      <c r="AK19" s="4"/>
      <c r="AL19" s="4">
        <f>IFERROR(__xludf.DUMMYFUNCTION("""COMPUTED_VALUE"""),0.0)</f>
        <v>0</v>
      </c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</row>
    <row r="20">
      <c r="A20" s="4"/>
      <c r="B20" s="18"/>
      <c r="C20" s="19"/>
      <c r="D20" s="20"/>
      <c r="E20" s="21"/>
      <c r="F20" s="22"/>
      <c r="G20" s="22"/>
      <c r="H20" s="23"/>
      <c r="I20" s="18"/>
      <c r="J20" s="19"/>
      <c r="K20" s="20"/>
      <c r="L20" s="21"/>
      <c r="M20" s="24"/>
      <c r="N20" s="22"/>
      <c r="O20" s="25"/>
      <c r="P20" s="18"/>
      <c r="Q20" s="19"/>
      <c r="R20" s="20"/>
      <c r="S20" s="26"/>
      <c r="T20" s="22"/>
      <c r="U20" s="22"/>
      <c r="V20" s="23"/>
      <c r="W20" s="18"/>
      <c r="X20" s="19"/>
      <c r="Y20" s="20"/>
      <c r="Z20" s="27"/>
      <c r="AA20" s="18"/>
      <c r="AB20" s="19"/>
      <c r="AC20" s="20"/>
      <c r="AD20" s="27"/>
      <c r="AE20" s="18"/>
      <c r="AF20" s="19"/>
      <c r="AG20" s="20"/>
      <c r="AH20" s="28"/>
      <c r="AI20" s="29"/>
      <c r="AJ20" s="29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</row>
    <row r="21">
      <c r="A21" s="4"/>
      <c r="B21" s="18"/>
      <c r="C21" s="19"/>
      <c r="D21" s="20"/>
      <c r="E21" s="21"/>
      <c r="F21" s="22"/>
      <c r="G21" s="22"/>
      <c r="H21" s="23"/>
      <c r="I21" s="18"/>
      <c r="J21" s="19"/>
      <c r="K21" s="20"/>
      <c r="L21" s="21"/>
      <c r="M21" s="24"/>
      <c r="N21" s="22"/>
      <c r="O21" s="25"/>
      <c r="P21" s="18"/>
      <c r="Q21" s="19"/>
      <c r="R21" s="20"/>
      <c r="S21" s="26"/>
      <c r="T21" s="22"/>
      <c r="U21" s="22"/>
      <c r="V21" s="23"/>
      <c r="W21" s="18"/>
      <c r="X21" s="19"/>
      <c r="Y21" s="20"/>
      <c r="Z21" s="27"/>
      <c r="AA21" s="18"/>
      <c r="AB21" s="19"/>
      <c r="AC21" s="20"/>
      <c r="AD21" s="27"/>
      <c r="AE21" s="18"/>
      <c r="AF21" s="19"/>
      <c r="AG21" s="20"/>
      <c r="AH21" s="28"/>
      <c r="AI21" s="29"/>
      <c r="AJ21" s="29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</row>
    <row r="22">
      <c r="A22" s="4"/>
      <c r="B22" s="18"/>
      <c r="C22" s="19"/>
      <c r="D22" s="20"/>
      <c r="E22" s="21"/>
      <c r="F22" s="22"/>
      <c r="G22" s="22"/>
      <c r="H22" s="23"/>
      <c r="I22" s="18"/>
      <c r="J22" s="19"/>
      <c r="K22" s="20"/>
      <c r="L22" s="21"/>
      <c r="M22" s="24"/>
      <c r="N22" s="22"/>
      <c r="O22" s="25"/>
      <c r="P22" s="18"/>
      <c r="Q22" s="19"/>
      <c r="R22" s="20"/>
      <c r="S22" s="26"/>
      <c r="T22" s="22"/>
      <c r="U22" s="22"/>
      <c r="V22" s="23"/>
      <c r="W22" s="18"/>
      <c r="X22" s="19"/>
      <c r="Y22" s="20"/>
      <c r="Z22" s="27"/>
      <c r="AA22" s="18"/>
      <c r="AB22" s="19"/>
      <c r="AC22" s="20"/>
      <c r="AD22" s="27"/>
      <c r="AE22" s="18"/>
      <c r="AF22" s="19"/>
      <c r="AG22" s="20"/>
      <c r="AH22" s="28"/>
      <c r="AI22" s="29"/>
      <c r="AJ22" s="29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</row>
    <row r="23">
      <c r="A23" s="4"/>
      <c r="B23" s="18"/>
      <c r="C23" s="19"/>
      <c r="D23" s="20"/>
      <c r="E23" s="21"/>
      <c r="F23" s="22"/>
      <c r="G23" s="22"/>
      <c r="H23" s="23"/>
      <c r="I23" s="18"/>
      <c r="J23" s="19"/>
      <c r="K23" s="20"/>
      <c r="L23" s="21"/>
      <c r="M23" s="24"/>
      <c r="N23" s="22"/>
      <c r="O23" s="25"/>
      <c r="P23" s="18"/>
      <c r="Q23" s="19"/>
      <c r="R23" s="20"/>
      <c r="S23" s="26"/>
      <c r="T23" s="22"/>
      <c r="U23" s="22"/>
      <c r="V23" s="23"/>
      <c r="W23" s="18"/>
      <c r="X23" s="19"/>
      <c r="Y23" s="20"/>
      <c r="Z23" s="27"/>
      <c r="AA23" s="18"/>
      <c r="AB23" s="19"/>
      <c r="AC23" s="20"/>
      <c r="AD23" s="27"/>
      <c r="AE23" s="18"/>
      <c r="AF23" s="19"/>
      <c r="AG23" s="20"/>
      <c r="AH23" s="28"/>
      <c r="AI23" s="29"/>
      <c r="AJ23" s="29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</row>
    <row r="24">
      <c r="A24" s="4"/>
      <c r="B24" s="18"/>
      <c r="C24" s="19"/>
      <c r="D24" s="20"/>
      <c r="E24" s="21"/>
      <c r="F24" s="22"/>
      <c r="G24" s="22"/>
      <c r="H24" s="23"/>
      <c r="I24" s="18"/>
      <c r="J24" s="19"/>
      <c r="K24" s="20"/>
      <c r="L24" s="21"/>
      <c r="M24" s="24"/>
      <c r="N24" s="22"/>
      <c r="O24" s="25"/>
      <c r="P24" s="18"/>
      <c r="Q24" s="19"/>
      <c r="R24" s="20"/>
      <c r="S24" s="26"/>
      <c r="T24" s="22"/>
      <c r="U24" s="22"/>
      <c r="V24" s="23"/>
      <c r="W24" s="18"/>
      <c r="X24" s="19"/>
      <c r="Y24" s="20"/>
      <c r="Z24" s="27"/>
      <c r="AA24" s="18"/>
      <c r="AB24" s="19"/>
      <c r="AC24" s="20"/>
      <c r="AD24" s="27"/>
      <c r="AE24" s="18"/>
      <c r="AF24" s="19"/>
      <c r="AG24" s="20"/>
      <c r="AH24" s="28"/>
      <c r="AI24" s="29"/>
      <c r="AJ24" s="29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</row>
    <row r="25">
      <c r="A25" s="4"/>
      <c r="B25" s="18"/>
      <c r="C25" s="19"/>
      <c r="D25" s="20"/>
      <c r="E25" s="21"/>
      <c r="F25" s="22"/>
      <c r="G25" s="22"/>
      <c r="H25" s="23"/>
      <c r="I25" s="18"/>
      <c r="J25" s="19"/>
      <c r="K25" s="20"/>
      <c r="L25" s="21"/>
      <c r="M25" s="24"/>
      <c r="N25" s="22"/>
      <c r="O25" s="25"/>
      <c r="P25" s="18"/>
      <c r="Q25" s="19"/>
      <c r="R25" s="20"/>
      <c r="S25" s="26"/>
      <c r="T25" s="22"/>
      <c r="U25" s="22"/>
      <c r="V25" s="23"/>
      <c r="W25" s="18"/>
      <c r="X25" s="19"/>
      <c r="Y25" s="20"/>
      <c r="Z25" s="27"/>
      <c r="AA25" s="18"/>
      <c r="AB25" s="19"/>
      <c r="AC25" s="20"/>
      <c r="AD25" s="27"/>
      <c r="AE25" s="18"/>
      <c r="AF25" s="19"/>
      <c r="AG25" s="20"/>
      <c r="AH25" s="28"/>
      <c r="AI25" s="29"/>
      <c r="AJ25" s="29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</row>
    <row r="26">
      <c r="A26" s="4"/>
      <c r="B26" s="18"/>
      <c r="C26" s="19"/>
      <c r="D26" s="20"/>
      <c r="E26" s="21"/>
      <c r="F26" s="22"/>
      <c r="G26" s="22"/>
      <c r="H26" s="23"/>
      <c r="I26" s="18"/>
      <c r="J26" s="19"/>
      <c r="K26" s="20"/>
      <c r="L26" s="21"/>
      <c r="M26" s="24"/>
      <c r="N26" s="22"/>
      <c r="O26" s="25"/>
      <c r="P26" s="18"/>
      <c r="Q26" s="19"/>
      <c r="R26" s="20"/>
      <c r="S26" s="26"/>
      <c r="T26" s="22"/>
      <c r="U26" s="22"/>
      <c r="V26" s="23"/>
      <c r="W26" s="18"/>
      <c r="X26" s="19"/>
      <c r="Y26" s="20"/>
      <c r="Z26" s="27"/>
      <c r="AA26" s="18"/>
      <c r="AB26" s="19"/>
      <c r="AC26" s="20"/>
      <c r="AD26" s="27"/>
      <c r="AE26" s="18"/>
      <c r="AF26" s="19"/>
      <c r="AG26" s="20"/>
      <c r="AH26" s="28"/>
      <c r="AI26" s="29"/>
      <c r="AJ26" s="29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>
      <c r="A27" s="4"/>
      <c r="B27" s="18"/>
      <c r="C27" s="19"/>
      <c r="D27" s="20"/>
      <c r="E27" s="21"/>
      <c r="F27" s="22"/>
      <c r="G27" s="22"/>
      <c r="H27" s="23"/>
      <c r="I27" s="18"/>
      <c r="J27" s="19"/>
      <c r="K27" s="20"/>
      <c r="L27" s="21"/>
      <c r="M27" s="24"/>
      <c r="N27" s="22"/>
      <c r="O27" s="25"/>
      <c r="P27" s="18"/>
      <c r="Q27" s="19"/>
      <c r="R27" s="20"/>
      <c r="S27" s="26"/>
      <c r="T27" s="22"/>
      <c r="U27" s="22"/>
      <c r="V27" s="23"/>
      <c r="W27" s="18"/>
      <c r="X27" s="19"/>
      <c r="Y27" s="20"/>
      <c r="Z27" s="27"/>
      <c r="AA27" s="18"/>
      <c r="AB27" s="19"/>
      <c r="AC27" s="20"/>
      <c r="AD27" s="27"/>
      <c r="AE27" s="18"/>
      <c r="AF27" s="19"/>
      <c r="AG27" s="20"/>
      <c r="AH27" s="28"/>
      <c r="AI27" s="29"/>
      <c r="AJ27" s="29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</row>
    <row r="28">
      <c r="A28" s="4"/>
      <c r="B28" s="18"/>
      <c r="C28" s="19"/>
      <c r="D28" s="20"/>
      <c r="E28" s="21"/>
      <c r="F28" s="22"/>
      <c r="G28" s="22"/>
      <c r="H28" s="23"/>
      <c r="I28" s="18"/>
      <c r="J28" s="19"/>
      <c r="K28" s="20"/>
      <c r="L28" s="21"/>
      <c r="M28" s="24"/>
      <c r="N28" s="22"/>
      <c r="O28" s="25"/>
      <c r="P28" s="18"/>
      <c r="Q28" s="19"/>
      <c r="R28" s="20"/>
      <c r="S28" s="26"/>
      <c r="T28" s="22"/>
      <c r="U28" s="22"/>
      <c r="V28" s="23"/>
      <c r="W28" s="18"/>
      <c r="X28" s="19"/>
      <c r="Y28" s="20"/>
      <c r="Z28" s="27"/>
      <c r="AA28" s="18"/>
      <c r="AB28" s="19"/>
      <c r="AC28" s="20"/>
      <c r="AD28" s="27"/>
      <c r="AE28" s="18"/>
      <c r="AF28" s="19"/>
      <c r="AG28" s="20"/>
      <c r="AH28" s="28"/>
      <c r="AI28" s="29"/>
      <c r="AJ28" s="29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</row>
    <row r="29">
      <c r="A29" s="4"/>
      <c r="B29" s="18"/>
      <c r="C29" s="19"/>
      <c r="D29" s="20"/>
      <c r="E29" s="21"/>
      <c r="F29" s="22"/>
      <c r="G29" s="22"/>
      <c r="H29" s="23"/>
      <c r="I29" s="18"/>
      <c r="J29" s="19"/>
      <c r="K29" s="20"/>
      <c r="L29" s="21"/>
      <c r="M29" s="24"/>
      <c r="N29" s="22"/>
      <c r="O29" s="25"/>
      <c r="P29" s="18"/>
      <c r="Q29" s="19"/>
      <c r="R29" s="20"/>
      <c r="S29" s="26"/>
      <c r="T29" s="22"/>
      <c r="U29" s="22"/>
      <c r="V29" s="23"/>
      <c r="W29" s="18"/>
      <c r="X29" s="19"/>
      <c r="Y29" s="20"/>
      <c r="Z29" s="27"/>
      <c r="AA29" s="18"/>
      <c r="AB29" s="19"/>
      <c r="AC29" s="20"/>
      <c r="AD29" s="27"/>
      <c r="AE29" s="18"/>
      <c r="AF29" s="19"/>
      <c r="AG29" s="20"/>
      <c r="AH29" s="28"/>
      <c r="AI29" s="29"/>
      <c r="AJ29" s="29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</row>
    <row r="30">
      <c r="A30" s="4"/>
      <c r="B30" s="18"/>
      <c r="C30" s="19"/>
      <c r="D30" s="20"/>
      <c r="E30" s="21"/>
      <c r="F30" s="22"/>
      <c r="G30" s="22"/>
      <c r="H30" s="23"/>
      <c r="I30" s="18"/>
      <c r="J30" s="19"/>
      <c r="K30" s="20"/>
      <c r="L30" s="21"/>
      <c r="M30" s="24"/>
      <c r="N30" s="22"/>
      <c r="O30" s="25"/>
      <c r="P30" s="18"/>
      <c r="Q30" s="19"/>
      <c r="R30" s="20"/>
      <c r="S30" s="26"/>
      <c r="T30" s="22"/>
      <c r="U30" s="22"/>
      <c r="V30" s="23"/>
      <c r="W30" s="18"/>
      <c r="X30" s="19"/>
      <c r="Y30" s="20"/>
      <c r="Z30" s="27"/>
      <c r="AA30" s="18"/>
      <c r="AB30" s="19"/>
      <c r="AC30" s="20"/>
      <c r="AD30" s="27"/>
      <c r="AE30" s="18"/>
      <c r="AF30" s="19"/>
      <c r="AG30" s="20"/>
      <c r="AH30" s="28"/>
      <c r="AI30" s="29"/>
      <c r="AJ30" s="29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</row>
    <row r="31">
      <c r="A31" s="4"/>
      <c r="B31" s="18"/>
      <c r="C31" s="19"/>
      <c r="D31" s="20"/>
      <c r="E31" s="21"/>
      <c r="F31" s="22"/>
      <c r="G31" s="22"/>
      <c r="H31" s="23"/>
      <c r="I31" s="18"/>
      <c r="J31" s="19"/>
      <c r="K31" s="20"/>
      <c r="L31" s="21"/>
      <c r="M31" s="24"/>
      <c r="N31" s="22"/>
      <c r="O31" s="25"/>
      <c r="P31" s="18"/>
      <c r="Q31" s="19"/>
      <c r="R31" s="20"/>
      <c r="S31" s="26"/>
      <c r="T31" s="22"/>
      <c r="U31" s="22"/>
      <c r="V31" s="23"/>
      <c r="W31" s="18"/>
      <c r="X31" s="19"/>
      <c r="Y31" s="20"/>
      <c r="Z31" s="27"/>
      <c r="AA31" s="18"/>
      <c r="AB31" s="19"/>
      <c r="AC31" s="20"/>
      <c r="AD31" s="27"/>
      <c r="AE31" s="18"/>
      <c r="AF31" s="19"/>
      <c r="AG31" s="20"/>
      <c r="AH31" s="28"/>
      <c r="AI31" s="29"/>
      <c r="AJ31" s="29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</row>
    <row r="32">
      <c r="A32" s="4"/>
      <c r="B32" s="18"/>
      <c r="C32" s="19"/>
      <c r="D32" s="20"/>
      <c r="E32" s="21"/>
      <c r="F32" s="22"/>
      <c r="G32" s="22"/>
      <c r="H32" s="23"/>
      <c r="I32" s="18"/>
      <c r="J32" s="19"/>
      <c r="K32" s="20"/>
      <c r="L32" s="21"/>
      <c r="M32" s="24"/>
      <c r="N32" s="22"/>
      <c r="O32" s="25"/>
      <c r="P32" s="18"/>
      <c r="Q32" s="19"/>
      <c r="R32" s="20"/>
      <c r="S32" s="26"/>
      <c r="T32" s="22"/>
      <c r="U32" s="22"/>
      <c r="V32" s="23"/>
      <c r="W32" s="18"/>
      <c r="X32" s="19"/>
      <c r="Y32" s="20"/>
      <c r="Z32" s="27"/>
      <c r="AA32" s="18"/>
      <c r="AB32" s="19"/>
      <c r="AC32" s="20"/>
      <c r="AD32" s="27"/>
      <c r="AE32" s="18"/>
      <c r="AF32" s="19"/>
      <c r="AG32" s="20"/>
      <c r="AH32" s="28"/>
      <c r="AI32" s="29"/>
      <c r="AJ32" s="29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</row>
    <row r="33">
      <c r="A33" s="4"/>
      <c r="B33" s="18"/>
      <c r="C33" s="19"/>
      <c r="D33" s="20"/>
      <c r="E33" s="21"/>
      <c r="F33" s="22"/>
      <c r="G33" s="22"/>
      <c r="H33" s="23"/>
      <c r="I33" s="18"/>
      <c r="J33" s="19"/>
      <c r="K33" s="20"/>
      <c r="L33" s="21"/>
      <c r="M33" s="24"/>
      <c r="N33" s="22"/>
      <c r="O33" s="25"/>
      <c r="P33" s="18"/>
      <c r="Q33" s="19"/>
      <c r="R33" s="20"/>
      <c r="S33" s="26"/>
      <c r="T33" s="22"/>
      <c r="U33" s="22"/>
      <c r="V33" s="23"/>
      <c r="W33" s="18"/>
      <c r="X33" s="19"/>
      <c r="Y33" s="20"/>
      <c r="Z33" s="27"/>
      <c r="AA33" s="18"/>
      <c r="AB33" s="19"/>
      <c r="AC33" s="20"/>
      <c r="AD33" s="27"/>
      <c r="AE33" s="18"/>
      <c r="AF33" s="19"/>
      <c r="AG33" s="20"/>
      <c r="AH33" s="28"/>
      <c r="AI33" s="29"/>
      <c r="AJ33" s="29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</row>
    <row r="34">
      <c r="A34" s="4"/>
      <c r="B34" s="18"/>
      <c r="C34" s="19"/>
      <c r="D34" s="20"/>
      <c r="E34" s="21"/>
      <c r="F34" s="22"/>
      <c r="G34" s="22"/>
      <c r="H34" s="23"/>
      <c r="I34" s="18"/>
      <c r="J34" s="19"/>
      <c r="K34" s="20"/>
      <c r="L34" s="21"/>
      <c r="M34" s="24"/>
      <c r="N34" s="22"/>
      <c r="O34" s="25"/>
      <c r="P34" s="18"/>
      <c r="Q34" s="19"/>
      <c r="R34" s="20"/>
      <c r="S34" s="26"/>
      <c r="T34" s="22"/>
      <c r="U34" s="22"/>
      <c r="V34" s="23"/>
      <c r="W34" s="18"/>
      <c r="X34" s="19"/>
      <c r="Y34" s="20"/>
      <c r="Z34" s="27"/>
      <c r="AA34" s="18"/>
      <c r="AB34" s="19"/>
      <c r="AC34" s="20"/>
      <c r="AD34" s="27"/>
      <c r="AE34" s="18"/>
      <c r="AF34" s="19"/>
      <c r="AG34" s="20"/>
      <c r="AH34" s="28"/>
      <c r="AI34" s="29"/>
      <c r="AJ34" s="29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>
      <c r="A35" s="4"/>
      <c r="B35" s="18"/>
      <c r="C35" s="19"/>
      <c r="D35" s="20"/>
      <c r="E35" s="21"/>
      <c r="F35" s="22"/>
      <c r="G35" s="22"/>
      <c r="H35" s="23"/>
      <c r="I35" s="18"/>
      <c r="J35" s="19"/>
      <c r="K35" s="20"/>
      <c r="L35" s="21"/>
      <c r="M35" s="24"/>
      <c r="N35" s="22"/>
      <c r="O35" s="25"/>
      <c r="P35" s="18"/>
      <c r="Q35" s="19"/>
      <c r="R35" s="20"/>
      <c r="S35" s="26"/>
      <c r="T35" s="22"/>
      <c r="U35" s="22"/>
      <c r="V35" s="23"/>
      <c r="W35" s="18"/>
      <c r="X35" s="19"/>
      <c r="Y35" s="20"/>
      <c r="Z35" s="27"/>
      <c r="AA35" s="18"/>
      <c r="AB35" s="19"/>
      <c r="AC35" s="20"/>
      <c r="AD35" s="27"/>
      <c r="AE35" s="18"/>
      <c r="AF35" s="19"/>
      <c r="AG35" s="20"/>
      <c r="AH35" s="28"/>
      <c r="AI35" s="29"/>
      <c r="AJ35" s="29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>
      <c r="A36" s="4"/>
      <c r="B36" s="18"/>
      <c r="C36" s="19"/>
      <c r="D36" s="20"/>
      <c r="E36" s="21"/>
      <c r="F36" s="22"/>
      <c r="G36" s="22"/>
      <c r="H36" s="23"/>
      <c r="I36" s="18"/>
      <c r="J36" s="19"/>
      <c r="K36" s="20"/>
      <c r="L36" s="21"/>
      <c r="M36" s="24"/>
      <c r="N36" s="22"/>
      <c r="O36" s="25"/>
      <c r="P36" s="18"/>
      <c r="Q36" s="19"/>
      <c r="R36" s="20"/>
      <c r="S36" s="26"/>
      <c r="T36" s="22"/>
      <c r="U36" s="22"/>
      <c r="V36" s="23"/>
      <c r="W36" s="18"/>
      <c r="X36" s="19"/>
      <c r="Y36" s="20"/>
      <c r="Z36" s="27"/>
      <c r="AA36" s="18"/>
      <c r="AB36" s="19"/>
      <c r="AC36" s="20"/>
      <c r="AD36" s="27"/>
      <c r="AE36" s="18"/>
      <c r="AF36" s="19"/>
      <c r="AG36" s="20"/>
      <c r="AH36" s="28"/>
      <c r="AI36" s="29"/>
      <c r="AJ36" s="29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</row>
    <row r="37">
      <c r="A37" s="4"/>
      <c r="B37" s="18"/>
      <c r="C37" s="19"/>
      <c r="D37" s="20"/>
      <c r="E37" s="21"/>
      <c r="F37" s="22"/>
      <c r="G37" s="22"/>
      <c r="H37" s="23"/>
      <c r="I37" s="18"/>
      <c r="J37" s="19"/>
      <c r="K37" s="20"/>
      <c r="L37" s="21"/>
      <c r="M37" s="24"/>
      <c r="N37" s="22"/>
      <c r="O37" s="25"/>
      <c r="P37" s="18"/>
      <c r="Q37" s="19"/>
      <c r="R37" s="20"/>
      <c r="S37" s="26"/>
      <c r="T37" s="22"/>
      <c r="U37" s="22"/>
      <c r="V37" s="23"/>
      <c r="W37" s="18"/>
      <c r="X37" s="19"/>
      <c r="Y37" s="20"/>
      <c r="Z37" s="27"/>
      <c r="AA37" s="18"/>
      <c r="AB37" s="19"/>
      <c r="AC37" s="20"/>
      <c r="AD37" s="27"/>
      <c r="AE37" s="18"/>
      <c r="AF37" s="19"/>
      <c r="AG37" s="20"/>
      <c r="AH37" s="28"/>
      <c r="AI37" s="29"/>
      <c r="AJ37" s="29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</row>
    <row r="38">
      <c r="A38" s="4"/>
      <c r="B38" s="18"/>
      <c r="C38" s="19"/>
      <c r="D38" s="20"/>
      <c r="E38" s="21"/>
      <c r="F38" s="22"/>
      <c r="G38" s="22"/>
      <c r="H38" s="23"/>
      <c r="I38" s="18"/>
      <c r="J38" s="19"/>
      <c r="K38" s="20"/>
      <c r="L38" s="21"/>
      <c r="M38" s="24"/>
      <c r="N38" s="22"/>
      <c r="O38" s="25"/>
      <c r="P38" s="18"/>
      <c r="Q38" s="19"/>
      <c r="R38" s="20"/>
      <c r="S38" s="26"/>
      <c r="T38" s="22"/>
      <c r="U38" s="22"/>
      <c r="V38" s="23"/>
      <c r="W38" s="18"/>
      <c r="X38" s="19"/>
      <c r="Y38" s="20"/>
      <c r="Z38" s="27"/>
      <c r="AA38" s="18"/>
      <c r="AB38" s="19"/>
      <c r="AC38" s="20"/>
      <c r="AD38" s="27"/>
      <c r="AE38" s="18"/>
      <c r="AF38" s="19"/>
      <c r="AG38" s="20"/>
      <c r="AH38" s="28"/>
      <c r="AI38" s="29"/>
      <c r="AJ38" s="29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</row>
    <row r="39">
      <c r="A39" s="4"/>
      <c r="B39" s="18"/>
      <c r="C39" s="19"/>
      <c r="D39" s="20"/>
      <c r="E39" s="21"/>
      <c r="F39" s="22"/>
      <c r="G39" s="22"/>
      <c r="H39" s="23"/>
      <c r="I39" s="18"/>
      <c r="J39" s="19"/>
      <c r="K39" s="20"/>
      <c r="L39" s="21"/>
      <c r="M39" s="24"/>
      <c r="N39" s="22"/>
      <c r="O39" s="25"/>
      <c r="P39" s="18"/>
      <c r="Q39" s="19"/>
      <c r="R39" s="20"/>
      <c r="S39" s="26"/>
      <c r="T39" s="22"/>
      <c r="U39" s="22"/>
      <c r="V39" s="23"/>
      <c r="W39" s="18"/>
      <c r="X39" s="19"/>
      <c r="Y39" s="20"/>
      <c r="Z39" s="27"/>
      <c r="AA39" s="18"/>
      <c r="AB39" s="19"/>
      <c r="AC39" s="20"/>
      <c r="AD39" s="27"/>
      <c r="AE39" s="18"/>
      <c r="AF39" s="19"/>
      <c r="AG39" s="20"/>
      <c r="AH39" s="28"/>
      <c r="AI39" s="29"/>
      <c r="AJ39" s="29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</row>
    <row r="40">
      <c r="A40" s="4"/>
      <c r="B40" s="18"/>
      <c r="C40" s="19"/>
      <c r="D40" s="20"/>
      <c r="E40" s="21"/>
      <c r="F40" s="22"/>
      <c r="G40" s="22"/>
      <c r="H40" s="23"/>
      <c r="I40" s="18"/>
      <c r="J40" s="19"/>
      <c r="K40" s="20"/>
      <c r="L40" s="21"/>
      <c r="M40" s="24"/>
      <c r="N40" s="22"/>
      <c r="O40" s="25"/>
      <c r="P40" s="18"/>
      <c r="Q40" s="19"/>
      <c r="R40" s="20"/>
      <c r="S40" s="26"/>
      <c r="T40" s="22"/>
      <c r="U40" s="22"/>
      <c r="V40" s="23"/>
      <c r="W40" s="18"/>
      <c r="X40" s="19"/>
      <c r="Y40" s="20"/>
      <c r="Z40" s="27"/>
      <c r="AA40" s="18"/>
      <c r="AB40" s="19"/>
      <c r="AC40" s="20"/>
      <c r="AD40" s="27"/>
      <c r="AE40" s="18"/>
      <c r="AF40" s="19"/>
      <c r="AG40" s="20"/>
      <c r="AH40" s="28"/>
      <c r="AI40" s="29"/>
      <c r="AJ40" s="29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</row>
    <row r="41">
      <c r="A41" s="4"/>
      <c r="B41" s="18"/>
      <c r="C41" s="19"/>
      <c r="D41" s="20"/>
      <c r="E41" s="21"/>
      <c r="F41" s="22"/>
      <c r="G41" s="22"/>
      <c r="H41" s="23"/>
      <c r="I41" s="18"/>
      <c r="J41" s="19"/>
      <c r="K41" s="20"/>
      <c r="L41" s="21"/>
      <c r="M41" s="24"/>
      <c r="N41" s="22"/>
      <c r="O41" s="25"/>
      <c r="P41" s="18"/>
      <c r="Q41" s="19"/>
      <c r="R41" s="20"/>
      <c r="S41" s="26"/>
      <c r="T41" s="22"/>
      <c r="U41" s="22"/>
      <c r="V41" s="23"/>
      <c r="W41" s="18"/>
      <c r="X41" s="19"/>
      <c r="Y41" s="20"/>
      <c r="Z41" s="27"/>
      <c r="AA41" s="18"/>
      <c r="AB41" s="19"/>
      <c r="AC41" s="20"/>
      <c r="AD41" s="27"/>
      <c r="AE41" s="18"/>
      <c r="AF41" s="19"/>
      <c r="AG41" s="20"/>
      <c r="AH41" s="28"/>
      <c r="AI41" s="29"/>
      <c r="AJ41" s="29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</row>
    <row r="42">
      <c r="A42" s="4"/>
      <c r="B42" s="18"/>
      <c r="C42" s="19"/>
      <c r="D42" s="20"/>
      <c r="E42" s="21"/>
      <c r="F42" s="22"/>
      <c r="G42" s="22"/>
      <c r="H42" s="23"/>
      <c r="I42" s="18"/>
      <c r="J42" s="19"/>
      <c r="K42" s="20"/>
      <c r="L42" s="21"/>
      <c r="M42" s="24"/>
      <c r="N42" s="22"/>
      <c r="O42" s="25"/>
      <c r="P42" s="18"/>
      <c r="Q42" s="19"/>
      <c r="R42" s="20"/>
      <c r="S42" s="26"/>
      <c r="T42" s="22"/>
      <c r="U42" s="22"/>
      <c r="V42" s="23"/>
      <c r="W42" s="18"/>
      <c r="X42" s="19"/>
      <c r="Y42" s="20"/>
      <c r="Z42" s="27"/>
      <c r="AA42" s="18"/>
      <c r="AB42" s="19"/>
      <c r="AC42" s="20"/>
      <c r="AD42" s="27"/>
      <c r="AE42" s="18"/>
      <c r="AF42" s="19"/>
      <c r="AG42" s="20"/>
      <c r="AH42" s="28"/>
      <c r="AI42" s="29"/>
      <c r="AJ42" s="29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</row>
    <row r="43">
      <c r="A43" s="4"/>
      <c r="B43" s="18"/>
      <c r="C43" s="19"/>
      <c r="D43" s="20"/>
      <c r="E43" s="21"/>
      <c r="F43" s="22"/>
      <c r="G43" s="22"/>
      <c r="H43" s="23"/>
      <c r="I43" s="18"/>
      <c r="J43" s="19"/>
      <c r="K43" s="20"/>
      <c r="L43" s="21"/>
      <c r="M43" s="24"/>
      <c r="N43" s="22"/>
      <c r="O43" s="25"/>
      <c r="P43" s="18"/>
      <c r="Q43" s="19"/>
      <c r="R43" s="20"/>
      <c r="S43" s="26"/>
      <c r="T43" s="22"/>
      <c r="U43" s="22"/>
      <c r="V43" s="23"/>
      <c r="W43" s="18"/>
      <c r="X43" s="19"/>
      <c r="Y43" s="20"/>
      <c r="Z43" s="27"/>
      <c r="AA43" s="18"/>
      <c r="AB43" s="19"/>
      <c r="AC43" s="20"/>
      <c r="AD43" s="27"/>
      <c r="AE43" s="18"/>
      <c r="AF43" s="19"/>
      <c r="AG43" s="20"/>
      <c r="AH43" s="28"/>
      <c r="AI43" s="29"/>
      <c r="AJ43" s="29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</row>
    <row r="44">
      <c r="A44" s="4"/>
      <c r="B44" s="18"/>
      <c r="C44" s="19"/>
      <c r="D44" s="20"/>
      <c r="E44" s="21"/>
      <c r="F44" s="22"/>
      <c r="G44" s="22"/>
      <c r="H44" s="23"/>
      <c r="I44" s="18"/>
      <c r="J44" s="19"/>
      <c r="K44" s="20"/>
      <c r="L44" s="21"/>
      <c r="M44" s="24"/>
      <c r="N44" s="22"/>
      <c r="O44" s="25"/>
      <c r="P44" s="18"/>
      <c r="Q44" s="19"/>
      <c r="R44" s="20"/>
      <c r="S44" s="26"/>
      <c r="T44" s="22"/>
      <c r="U44" s="22"/>
      <c r="V44" s="23"/>
      <c r="W44" s="18"/>
      <c r="X44" s="19"/>
      <c r="Y44" s="20"/>
      <c r="Z44" s="27"/>
      <c r="AA44" s="18"/>
      <c r="AB44" s="19"/>
      <c r="AC44" s="20"/>
      <c r="AD44" s="27"/>
      <c r="AE44" s="18"/>
      <c r="AF44" s="19"/>
      <c r="AG44" s="20"/>
      <c r="AH44" s="28"/>
      <c r="AI44" s="29"/>
      <c r="AJ44" s="29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</row>
    <row r="45">
      <c r="A45" s="4"/>
      <c r="B45" s="18"/>
      <c r="C45" s="19"/>
      <c r="D45" s="20"/>
      <c r="E45" s="21"/>
      <c r="F45" s="22"/>
      <c r="G45" s="22"/>
      <c r="H45" s="23"/>
      <c r="I45" s="18"/>
      <c r="J45" s="19"/>
      <c r="K45" s="20"/>
      <c r="L45" s="21"/>
      <c r="M45" s="24"/>
      <c r="N45" s="22"/>
      <c r="O45" s="25"/>
      <c r="P45" s="18"/>
      <c r="Q45" s="19"/>
      <c r="R45" s="20"/>
      <c r="S45" s="26"/>
      <c r="T45" s="22"/>
      <c r="U45" s="22"/>
      <c r="V45" s="23"/>
      <c r="W45" s="18"/>
      <c r="X45" s="19"/>
      <c r="Y45" s="20"/>
      <c r="Z45" s="27"/>
      <c r="AA45" s="18"/>
      <c r="AB45" s="19"/>
      <c r="AC45" s="20"/>
      <c r="AD45" s="27"/>
      <c r="AE45" s="18"/>
      <c r="AF45" s="19"/>
      <c r="AG45" s="20"/>
      <c r="AH45" s="28"/>
      <c r="AI45" s="29"/>
      <c r="AJ45" s="29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</row>
    <row r="46">
      <c r="A46" s="4"/>
      <c r="B46" s="18"/>
      <c r="C46" s="19"/>
      <c r="D46" s="20"/>
      <c r="E46" s="21"/>
      <c r="F46" s="22"/>
      <c r="G46" s="22"/>
      <c r="H46" s="23"/>
      <c r="I46" s="18"/>
      <c r="J46" s="19"/>
      <c r="K46" s="20"/>
      <c r="L46" s="21"/>
      <c r="M46" s="24"/>
      <c r="N46" s="22"/>
      <c r="O46" s="25"/>
      <c r="P46" s="18"/>
      <c r="Q46" s="19"/>
      <c r="R46" s="20"/>
      <c r="S46" s="26"/>
      <c r="T46" s="22"/>
      <c r="U46" s="22"/>
      <c r="V46" s="23"/>
      <c r="W46" s="18"/>
      <c r="X46" s="19"/>
      <c r="Y46" s="20"/>
      <c r="Z46" s="27"/>
      <c r="AA46" s="18"/>
      <c r="AB46" s="19"/>
      <c r="AC46" s="20"/>
      <c r="AD46" s="27"/>
      <c r="AE46" s="18"/>
      <c r="AF46" s="19"/>
      <c r="AG46" s="20"/>
      <c r="AH46" s="28"/>
      <c r="AI46" s="29"/>
      <c r="AJ46" s="29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</row>
    <row r="47">
      <c r="A47" s="4"/>
      <c r="B47" s="18"/>
      <c r="C47" s="19"/>
      <c r="D47" s="20"/>
      <c r="E47" s="21"/>
      <c r="F47" s="22"/>
      <c r="G47" s="22"/>
      <c r="H47" s="23"/>
      <c r="I47" s="18"/>
      <c r="J47" s="19"/>
      <c r="K47" s="20"/>
      <c r="L47" s="21"/>
      <c r="M47" s="24"/>
      <c r="N47" s="22"/>
      <c r="O47" s="25"/>
      <c r="P47" s="18"/>
      <c r="Q47" s="19"/>
      <c r="R47" s="20"/>
      <c r="S47" s="26"/>
      <c r="T47" s="22"/>
      <c r="U47" s="22"/>
      <c r="V47" s="23"/>
      <c r="W47" s="18"/>
      <c r="X47" s="19"/>
      <c r="Y47" s="20"/>
      <c r="Z47" s="27"/>
      <c r="AA47" s="18"/>
      <c r="AB47" s="19"/>
      <c r="AC47" s="20"/>
      <c r="AD47" s="27"/>
      <c r="AE47" s="18"/>
      <c r="AF47" s="19"/>
      <c r="AG47" s="20"/>
      <c r="AH47" s="28"/>
      <c r="AI47" s="29"/>
      <c r="AJ47" s="29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</row>
    <row r="48">
      <c r="A48" s="4"/>
      <c r="B48" s="18"/>
      <c r="C48" s="19"/>
      <c r="D48" s="20"/>
      <c r="E48" s="21"/>
      <c r="F48" s="22"/>
      <c r="G48" s="22"/>
      <c r="H48" s="23"/>
      <c r="I48" s="18"/>
      <c r="J48" s="19"/>
      <c r="K48" s="20"/>
      <c r="L48" s="21"/>
      <c r="M48" s="24"/>
      <c r="N48" s="22"/>
      <c r="O48" s="25"/>
      <c r="P48" s="18"/>
      <c r="Q48" s="19"/>
      <c r="R48" s="20"/>
      <c r="S48" s="26"/>
      <c r="T48" s="22"/>
      <c r="U48" s="22"/>
      <c r="V48" s="23"/>
      <c r="W48" s="18"/>
      <c r="X48" s="19"/>
      <c r="Y48" s="20"/>
      <c r="Z48" s="27"/>
      <c r="AA48" s="18"/>
      <c r="AB48" s="19"/>
      <c r="AC48" s="20"/>
      <c r="AD48" s="27"/>
      <c r="AE48" s="18"/>
      <c r="AF48" s="19"/>
      <c r="AG48" s="20"/>
      <c r="AH48" s="28"/>
      <c r="AI48" s="29"/>
      <c r="AJ48" s="29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</row>
    <row r="49">
      <c r="A49" s="4"/>
      <c r="B49" s="18"/>
      <c r="C49" s="19"/>
      <c r="D49" s="20"/>
      <c r="E49" s="21"/>
      <c r="F49" s="22"/>
      <c r="G49" s="22"/>
      <c r="H49" s="23"/>
      <c r="I49" s="18"/>
      <c r="J49" s="19"/>
      <c r="K49" s="20"/>
      <c r="L49" s="21"/>
      <c r="M49" s="24"/>
      <c r="N49" s="22"/>
      <c r="O49" s="25"/>
      <c r="P49" s="18"/>
      <c r="Q49" s="19"/>
      <c r="R49" s="20"/>
      <c r="S49" s="26"/>
      <c r="T49" s="22"/>
      <c r="U49" s="22"/>
      <c r="V49" s="23"/>
      <c r="W49" s="18"/>
      <c r="X49" s="19"/>
      <c r="Y49" s="20"/>
      <c r="Z49" s="27"/>
      <c r="AA49" s="18"/>
      <c r="AB49" s="19"/>
      <c r="AC49" s="20"/>
      <c r="AD49" s="27"/>
      <c r="AE49" s="18"/>
      <c r="AF49" s="19"/>
      <c r="AG49" s="20"/>
      <c r="AH49" s="28"/>
      <c r="AI49" s="29"/>
      <c r="AJ49" s="29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</row>
    <row r="50">
      <c r="A50" s="4"/>
      <c r="B50" s="18"/>
      <c r="C50" s="19"/>
      <c r="D50" s="20"/>
      <c r="E50" s="21"/>
      <c r="F50" s="22"/>
      <c r="G50" s="22"/>
      <c r="H50" s="23"/>
      <c r="I50" s="18"/>
      <c r="J50" s="19"/>
      <c r="K50" s="20"/>
      <c r="L50" s="21"/>
      <c r="M50" s="24"/>
      <c r="N50" s="22"/>
      <c r="O50" s="25"/>
      <c r="P50" s="18"/>
      <c r="Q50" s="19"/>
      <c r="R50" s="20"/>
      <c r="S50" s="26"/>
      <c r="T50" s="22"/>
      <c r="U50" s="22"/>
      <c r="V50" s="23"/>
      <c r="W50" s="18"/>
      <c r="X50" s="19"/>
      <c r="Y50" s="20"/>
      <c r="Z50" s="27"/>
      <c r="AA50" s="18"/>
      <c r="AB50" s="19"/>
      <c r="AC50" s="20"/>
      <c r="AD50" s="27"/>
      <c r="AE50" s="18"/>
      <c r="AF50" s="19"/>
      <c r="AG50" s="20"/>
      <c r="AH50" s="28"/>
      <c r="AI50" s="29"/>
      <c r="AJ50" s="29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</row>
    <row r="51">
      <c r="A51" s="4"/>
      <c r="B51" s="18"/>
      <c r="C51" s="19"/>
      <c r="D51" s="20"/>
      <c r="E51" s="21"/>
      <c r="F51" s="22"/>
      <c r="G51" s="22"/>
      <c r="H51" s="23"/>
      <c r="I51" s="18"/>
      <c r="J51" s="19"/>
      <c r="K51" s="20"/>
      <c r="L51" s="21"/>
      <c r="M51" s="24"/>
      <c r="N51" s="22"/>
      <c r="O51" s="25"/>
      <c r="P51" s="18"/>
      <c r="Q51" s="19"/>
      <c r="R51" s="20"/>
      <c r="S51" s="26"/>
      <c r="T51" s="22"/>
      <c r="U51" s="22"/>
      <c r="V51" s="23"/>
      <c r="W51" s="18"/>
      <c r="X51" s="19"/>
      <c r="Y51" s="20"/>
      <c r="Z51" s="27"/>
      <c r="AA51" s="18"/>
      <c r="AB51" s="19"/>
      <c r="AC51" s="20"/>
      <c r="AD51" s="27"/>
      <c r="AE51" s="18"/>
      <c r="AF51" s="19"/>
      <c r="AG51" s="20"/>
      <c r="AH51" s="28"/>
      <c r="AI51" s="29"/>
      <c r="AJ51" s="29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</row>
    <row r="52">
      <c r="A52" s="4"/>
      <c r="B52" s="18"/>
      <c r="C52" s="19"/>
      <c r="D52" s="20"/>
      <c r="E52" s="21"/>
      <c r="F52" s="22"/>
      <c r="G52" s="22"/>
      <c r="H52" s="23"/>
      <c r="I52" s="18"/>
      <c r="J52" s="19"/>
      <c r="K52" s="20"/>
      <c r="L52" s="21"/>
      <c r="M52" s="24"/>
      <c r="N52" s="22"/>
      <c r="O52" s="25"/>
      <c r="P52" s="18"/>
      <c r="Q52" s="19"/>
      <c r="R52" s="20"/>
      <c r="S52" s="26"/>
      <c r="T52" s="22"/>
      <c r="U52" s="22"/>
      <c r="V52" s="23"/>
      <c r="W52" s="18"/>
      <c r="X52" s="19"/>
      <c r="Y52" s="20"/>
      <c r="Z52" s="27"/>
      <c r="AA52" s="18"/>
      <c r="AB52" s="19"/>
      <c r="AC52" s="20"/>
      <c r="AD52" s="27"/>
      <c r="AE52" s="18"/>
      <c r="AF52" s="19"/>
      <c r="AG52" s="20"/>
      <c r="AH52" s="28"/>
      <c r="AI52" s="29"/>
      <c r="AJ52" s="29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</row>
    <row r="53">
      <c r="A53" s="4"/>
      <c r="B53" s="18"/>
      <c r="C53" s="19"/>
      <c r="D53" s="20"/>
      <c r="E53" s="21"/>
      <c r="F53" s="22"/>
      <c r="G53" s="22"/>
      <c r="H53" s="23"/>
      <c r="I53" s="18"/>
      <c r="J53" s="19"/>
      <c r="K53" s="20"/>
      <c r="L53" s="21"/>
      <c r="M53" s="24"/>
      <c r="N53" s="22"/>
      <c r="O53" s="25"/>
      <c r="P53" s="18"/>
      <c r="Q53" s="19"/>
      <c r="R53" s="20"/>
      <c r="S53" s="26"/>
      <c r="T53" s="22"/>
      <c r="U53" s="22"/>
      <c r="V53" s="23"/>
      <c r="W53" s="18"/>
      <c r="X53" s="19"/>
      <c r="Y53" s="20"/>
      <c r="Z53" s="27"/>
      <c r="AA53" s="18"/>
      <c r="AB53" s="19"/>
      <c r="AC53" s="20"/>
      <c r="AD53" s="27"/>
      <c r="AE53" s="18"/>
      <c r="AF53" s="19"/>
      <c r="AG53" s="20"/>
      <c r="AH53" s="28"/>
      <c r="AI53" s="29"/>
      <c r="AJ53" s="29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</row>
    <row r="54">
      <c r="A54" s="4"/>
      <c r="B54" s="18"/>
      <c r="C54" s="19"/>
      <c r="D54" s="20"/>
      <c r="E54" s="21"/>
      <c r="F54" s="22"/>
      <c r="G54" s="22"/>
      <c r="H54" s="23"/>
      <c r="I54" s="18"/>
      <c r="J54" s="19"/>
      <c r="K54" s="20"/>
      <c r="L54" s="21"/>
      <c r="M54" s="24"/>
      <c r="N54" s="22"/>
      <c r="O54" s="25"/>
      <c r="P54" s="18"/>
      <c r="Q54" s="19"/>
      <c r="R54" s="20"/>
      <c r="S54" s="26"/>
      <c r="T54" s="22"/>
      <c r="U54" s="22"/>
      <c r="V54" s="23"/>
      <c r="W54" s="18"/>
      <c r="X54" s="19"/>
      <c r="Y54" s="20"/>
      <c r="Z54" s="27"/>
      <c r="AA54" s="18"/>
      <c r="AB54" s="19"/>
      <c r="AC54" s="20"/>
      <c r="AD54" s="27"/>
      <c r="AE54" s="18"/>
      <c r="AF54" s="19"/>
      <c r="AG54" s="20"/>
      <c r="AH54" s="28"/>
      <c r="AI54" s="29"/>
      <c r="AJ54" s="29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</row>
    <row r="55">
      <c r="A55" s="4"/>
      <c r="B55" s="18"/>
      <c r="C55" s="19"/>
      <c r="D55" s="20"/>
      <c r="E55" s="21"/>
      <c r="F55" s="22"/>
      <c r="G55" s="22"/>
      <c r="H55" s="23"/>
      <c r="I55" s="18"/>
      <c r="J55" s="19"/>
      <c r="K55" s="20"/>
      <c r="L55" s="21"/>
      <c r="M55" s="24"/>
      <c r="N55" s="22"/>
      <c r="O55" s="25"/>
      <c r="P55" s="18"/>
      <c r="Q55" s="19"/>
      <c r="R55" s="20"/>
      <c r="S55" s="26"/>
      <c r="T55" s="22"/>
      <c r="U55" s="22"/>
      <c r="V55" s="23"/>
      <c r="W55" s="18"/>
      <c r="X55" s="19"/>
      <c r="Y55" s="20"/>
      <c r="Z55" s="27"/>
      <c r="AA55" s="18"/>
      <c r="AB55" s="19"/>
      <c r="AC55" s="20"/>
      <c r="AD55" s="27"/>
      <c r="AE55" s="18"/>
      <c r="AF55" s="19"/>
      <c r="AG55" s="20"/>
      <c r="AH55" s="28"/>
      <c r="AI55" s="29"/>
      <c r="AJ55" s="29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</row>
    <row r="56">
      <c r="A56" s="4"/>
      <c r="B56" s="18"/>
      <c r="C56" s="19"/>
      <c r="D56" s="20"/>
      <c r="E56" s="21"/>
      <c r="F56" s="22"/>
      <c r="G56" s="22"/>
      <c r="H56" s="23"/>
      <c r="I56" s="18"/>
      <c r="J56" s="19"/>
      <c r="K56" s="20"/>
      <c r="L56" s="21"/>
      <c r="M56" s="24"/>
      <c r="N56" s="22"/>
      <c r="O56" s="25"/>
      <c r="P56" s="18"/>
      <c r="Q56" s="19"/>
      <c r="R56" s="20"/>
      <c r="S56" s="26"/>
      <c r="T56" s="22"/>
      <c r="U56" s="22"/>
      <c r="V56" s="23"/>
      <c r="W56" s="18"/>
      <c r="X56" s="19"/>
      <c r="Y56" s="20"/>
      <c r="Z56" s="27"/>
      <c r="AA56" s="18"/>
      <c r="AB56" s="19"/>
      <c r="AC56" s="20"/>
      <c r="AD56" s="27"/>
      <c r="AE56" s="18"/>
      <c r="AF56" s="19"/>
      <c r="AG56" s="20"/>
      <c r="AH56" s="28"/>
      <c r="AI56" s="29"/>
      <c r="AJ56" s="29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</row>
    <row r="57">
      <c r="A57" s="4"/>
      <c r="B57" s="18"/>
      <c r="C57" s="19"/>
      <c r="D57" s="20"/>
      <c r="E57" s="21"/>
      <c r="F57" s="22"/>
      <c r="G57" s="22"/>
      <c r="H57" s="23"/>
      <c r="I57" s="18"/>
      <c r="J57" s="19"/>
      <c r="K57" s="20"/>
      <c r="L57" s="21"/>
      <c r="M57" s="24"/>
      <c r="N57" s="22"/>
      <c r="O57" s="25"/>
      <c r="P57" s="18"/>
      <c r="Q57" s="19"/>
      <c r="R57" s="20"/>
      <c r="S57" s="26"/>
      <c r="T57" s="22"/>
      <c r="U57" s="22"/>
      <c r="V57" s="23"/>
      <c r="W57" s="18"/>
      <c r="X57" s="19"/>
      <c r="Y57" s="20"/>
      <c r="Z57" s="27"/>
      <c r="AA57" s="18"/>
      <c r="AB57" s="19"/>
      <c r="AC57" s="20"/>
      <c r="AD57" s="27"/>
      <c r="AE57" s="18"/>
      <c r="AF57" s="19"/>
      <c r="AG57" s="20"/>
      <c r="AH57" s="28"/>
      <c r="AI57" s="29"/>
      <c r="AJ57" s="29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</row>
    <row r="58">
      <c r="A58" s="4"/>
      <c r="B58" s="18"/>
      <c r="C58" s="19"/>
      <c r="D58" s="20"/>
      <c r="E58" s="21"/>
      <c r="F58" s="22"/>
      <c r="G58" s="22"/>
      <c r="H58" s="23"/>
      <c r="I58" s="18"/>
      <c r="J58" s="19"/>
      <c r="K58" s="20"/>
      <c r="L58" s="21"/>
      <c r="M58" s="24"/>
      <c r="N58" s="22"/>
      <c r="O58" s="25"/>
      <c r="P58" s="18"/>
      <c r="Q58" s="19"/>
      <c r="R58" s="20"/>
      <c r="S58" s="26"/>
      <c r="T58" s="22"/>
      <c r="U58" s="22"/>
      <c r="V58" s="23"/>
      <c r="W58" s="18"/>
      <c r="X58" s="19"/>
      <c r="Y58" s="20"/>
      <c r="Z58" s="27"/>
      <c r="AA58" s="18"/>
      <c r="AB58" s="19"/>
      <c r="AC58" s="20"/>
      <c r="AD58" s="27"/>
      <c r="AE58" s="18"/>
      <c r="AF58" s="19"/>
      <c r="AG58" s="20"/>
      <c r="AH58" s="28"/>
      <c r="AI58" s="29"/>
      <c r="AJ58" s="29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</row>
    <row r="59">
      <c r="A59" s="4"/>
      <c r="B59" s="18"/>
      <c r="C59" s="19"/>
      <c r="D59" s="20"/>
      <c r="E59" s="21"/>
      <c r="F59" s="22"/>
      <c r="G59" s="22"/>
      <c r="H59" s="23"/>
      <c r="I59" s="18"/>
      <c r="J59" s="19"/>
      <c r="K59" s="20"/>
      <c r="L59" s="21"/>
      <c r="M59" s="24"/>
      <c r="N59" s="22"/>
      <c r="O59" s="25"/>
      <c r="P59" s="18"/>
      <c r="Q59" s="19"/>
      <c r="R59" s="20"/>
      <c r="S59" s="26"/>
      <c r="T59" s="22"/>
      <c r="U59" s="22"/>
      <c r="V59" s="23"/>
      <c r="W59" s="18"/>
      <c r="X59" s="19"/>
      <c r="Y59" s="20"/>
      <c r="Z59" s="27"/>
      <c r="AA59" s="18"/>
      <c r="AB59" s="19"/>
      <c r="AC59" s="20"/>
      <c r="AD59" s="27"/>
      <c r="AE59" s="18"/>
      <c r="AF59" s="19"/>
      <c r="AG59" s="20"/>
      <c r="AH59" s="28"/>
      <c r="AI59" s="29"/>
      <c r="AJ59" s="29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</row>
    <row r="60">
      <c r="A60" s="4"/>
      <c r="B60" s="18"/>
      <c r="C60" s="19"/>
      <c r="D60" s="20"/>
      <c r="E60" s="21"/>
      <c r="F60" s="22"/>
      <c r="G60" s="22"/>
      <c r="H60" s="23"/>
      <c r="I60" s="18"/>
      <c r="J60" s="19"/>
      <c r="K60" s="20"/>
      <c r="L60" s="21"/>
      <c r="M60" s="24"/>
      <c r="N60" s="22"/>
      <c r="O60" s="25"/>
      <c r="P60" s="18"/>
      <c r="Q60" s="19"/>
      <c r="R60" s="20"/>
      <c r="S60" s="26"/>
      <c r="T60" s="22"/>
      <c r="U60" s="22"/>
      <c r="V60" s="23"/>
      <c r="W60" s="18"/>
      <c r="X60" s="19"/>
      <c r="Y60" s="20"/>
      <c r="Z60" s="27"/>
      <c r="AA60" s="18"/>
      <c r="AB60" s="19"/>
      <c r="AC60" s="20"/>
      <c r="AD60" s="27"/>
      <c r="AE60" s="18"/>
      <c r="AF60" s="19"/>
      <c r="AG60" s="20"/>
      <c r="AH60" s="28"/>
      <c r="AI60" s="29"/>
      <c r="AJ60" s="29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</row>
    <row r="61">
      <c r="A61" s="4"/>
      <c r="B61" s="18"/>
      <c r="C61" s="19"/>
      <c r="D61" s="20"/>
      <c r="E61" s="21"/>
      <c r="F61" s="22"/>
      <c r="G61" s="22"/>
      <c r="H61" s="23"/>
      <c r="I61" s="18"/>
      <c r="J61" s="19"/>
      <c r="K61" s="20"/>
      <c r="L61" s="21"/>
      <c r="M61" s="24"/>
      <c r="N61" s="22"/>
      <c r="O61" s="25"/>
      <c r="P61" s="18"/>
      <c r="Q61" s="19"/>
      <c r="R61" s="20"/>
      <c r="S61" s="26"/>
      <c r="T61" s="22"/>
      <c r="U61" s="22"/>
      <c r="V61" s="23"/>
      <c r="W61" s="18"/>
      <c r="X61" s="19"/>
      <c r="Y61" s="20"/>
      <c r="Z61" s="27"/>
      <c r="AA61" s="18"/>
      <c r="AB61" s="19"/>
      <c r="AC61" s="20"/>
      <c r="AD61" s="27"/>
      <c r="AE61" s="18"/>
      <c r="AF61" s="19"/>
      <c r="AG61" s="20"/>
      <c r="AH61" s="28"/>
      <c r="AI61" s="29"/>
      <c r="AJ61" s="29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</row>
    <row r="62">
      <c r="A62" s="4"/>
      <c r="B62" s="18"/>
      <c r="C62" s="19"/>
      <c r="D62" s="20"/>
      <c r="E62" s="21"/>
      <c r="F62" s="22"/>
      <c r="G62" s="22"/>
      <c r="H62" s="23"/>
      <c r="I62" s="18"/>
      <c r="J62" s="19"/>
      <c r="K62" s="20"/>
      <c r="L62" s="21"/>
      <c r="M62" s="24"/>
      <c r="N62" s="22"/>
      <c r="O62" s="25"/>
      <c r="P62" s="18"/>
      <c r="Q62" s="19"/>
      <c r="R62" s="20"/>
      <c r="S62" s="26"/>
      <c r="T62" s="22"/>
      <c r="U62" s="22"/>
      <c r="V62" s="23"/>
      <c r="W62" s="18"/>
      <c r="X62" s="19"/>
      <c r="Y62" s="20"/>
      <c r="Z62" s="27"/>
      <c r="AA62" s="18"/>
      <c r="AB62" s="19"/>
      <c r="AC62" s="20"/>
      <c r="AD62" s="27"/>
      <c r="AE62" s="18"/>
      <c r="AF62" s="19"/>
      <c r="AG62" s="20"/>
      <c r="AH62" s="28"/>
      <c r="AI62" s="29"/>
      <c r="AJ62" s="29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</row>
    <row r="63">
      <c r="A63" s="4"/>
      <c r="B63" s="18"/>
      <c r="C63" s="19"/>
      <c r="D63" s="20"/>
      <c r="E63" s="21"/>
      <c r="F63" s="22"/>
      <c r="G63" s="22"/>
      <c r="H63" s="23"/>
      <c r="I63" s="18"/>
      <c r="J63" s="19"/>
      <c r="K63" s="20"/>
      <c r="L63" s="21"/>
      <c r="M63" s="24"/>
      <c r="N63" s="22"/>
      <c r="O63" s="25"/>
      <c r="P63" s="18"/>
      <c r="Q63" s="19"/>
      <c r="R63" s="20"/>
      <c r="S63" s="26"/>
      <c r="T63" s="22"/>
      <c r="U63" s="22"/>
      <c r="V63" s="23"/>
      <c r="W63" s="18"/>
      <c r="X63" s="19"/>
      <c r="Y63" s="20"/>
      <c r="Z63" s="27"/>
      <c r="AA63" s="18"/>
      <c r="AB63" s="19"/>
      <c r="AC63" s="20"/>
      <c r="AD63" s="27"/>
      <c r="AE63" s="18"/>
      <c r="AF63" s="19"/>
      <c r="AG63" s="20"/>
      <c r="AH63" s="28"/>
      <c r="AI63" s="29"/>
      <c r="AJ63" s="29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</row>
    <row r="64">
      <c r="A64" s="4"/>
      <c r="B64" s="18"/>
      <c r="C64" s="19"/>
      <c r="D64" s="20"/>
      <c r="E64" s="21"/>
      <c r="F64" s="22"/>
      <c r="G64" s="22"/>
      <c r="H64" s="23"/>
      <c r="I64" s="18"/>
      <c r="J64" s="19"/>
      <c r="K64" s="20"/>
      <c r="L64" s="21"/>
      <c r="M64" s="24"/>
      <c r="N64" s="22"/>
      <c r="O64" s="25"/>
      <c r="P64" s="18"/>
      <c r="Q64" s="19"/>
      <c r="R64" s="20"/>
      <c r="S64" s="26"/>
      <c r="T64" s="22"/>
      <c r="U64" s="22"/>
      <c r="V64" s="23"/>
      <c r="W64" s="18"/>
      <c r="X64" s="19"/>
      <c r="Y64" s="20"/>
      <c r="Z64" s="27"/>
      <c r="AA64" s="18"/>
      <c r="AB64" s="19"/>
      <c r="AC64" s="20"/>
      <c r="AD64" s="27"/>
      <c r="AE64" s="18"/>
      <c r="AF64" s="19"/>
      <c r="AG64" s="20"/>
      <c r="AH64" s="28"/>
      <c r="AI64" s="29"/>
      <c r="AJ64" s="29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</row>
    <row r="65">
      <c r="A65" s="4"/>
      <c r="B65" s="18"/>
      <c r="C65" s="19"/>
      <c r="D65" s="20"/>
      <c r="E65" s="21"/>
      <c r="F65" s="22"/>
      <c r="G65" s="22"/>
      <c r="H65" s="23"/>
      <c r="I65" s="18"/>
      <c r="J65" s="19"/>
      <c r="K65" s="20"/>
      <c r="L65" s="21"/>
      <c r="M65" s="24"/>
      <c r="N65" s="22"/>
      <c r="O65" s="25"/>
      <c r="P65" s="18"/>
      <c r="Q65" s="19"/>
      <c r="R65" s="20"/>
      <c r="S65" s="26"/>
      <c r="T65" s="22"/>
      <c r="U65" s="22"/>
      <c r="V65" s="23"/>
      <c r="W65" s="18"/>
      <c r="X65" s="19"/>
      <c r="Y65" s="20"/>
      <c r="Z65" s="27"/>
      <c r="AA65" s="18"/>
      <c r="AB65" s="19"/>
      <c r="AC65" s="20"/>
      <c r="AD65" s="27"/>
      <c r="AE65" s="18"/>
      <c r="AF65" s="19"/>
      <c r="AG65" s="20"/>
      <c r="AH65" s="28"/>
      <c r="AI65" s="29"/>
      <c r="AJ65" s="29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</row>
    <row r="66">
      <c r="A66" s="4"/>
      <c r="B66" s="18"/>
      <c r="C66" s="19"/>
      <c r="D66" s="20"/>
      <c r="E66" s="21"/>
      <c r="F66" s="22"/>
      <c r="G66" s="22"/>
      <c r="H66" s="23"/>
      <c r="I66" s="18"/>
      <c r="J66" s="19"/>
      <c r="K66" s="20"/>
      <c r="L66" s="21"/>
      <c r="M66" s="24"/>
      <c r="N66" s="22"/>
      <c r="O66" s="25"/>
      <c r="P66" s="18"/>
      <c r="Q66" s="19"/>
      <c r="R66" s="20"/>
      <c r="S66" s="26"/>
      <c r="T66" s="22"/>
      <c r="U66" s="22"/>
      <c r="V66" s="23"/>
      <c r="W66" s="18"/>
      <c r="X66" s="19"/>
      <c r="Y66" s="20"/>
      <c r="Z66" s="27"/>
      <c r="AA66" s="18"/>
      <c r="AB66" s="19"/>
      <c r="AC66" s="20"/>
      <c r="AD66" s="27"/>
      <c r="AE66" s="18"/>
      <c r="AF66" s="19"/>
      <c r="AG66" s="20"/>
      <c r="AH66" s="28"/>
      <c r="AI66" s="29"/>
      <c r="AJ66" s="29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</row>
    <row r="67">
      <c r="A67" s="4"/>
      <c r="B67" s="18"/>
      <c r="C67" s="19"/>
      <c r="D67" s="20"/>
      <c r="E67" s="21"/>
      <c r="F67" s="22"/>
      <c r="G67" s="22"/>
      <c r="H67" s="23"/>
      <c r="I67" s="18"/>
      <c r="J67" s="19"/>
      <c r="K67" s="20"/>
      <c r="L67" s="21"/>
      <c r="M67" s="24"/>
      <c r="N67" s="22"/>
      <c r="O67" s="25"/>
      <c r="P67" s="18"/>
      <c r="Q67" s="19"/>
      <c r="R67" s="20"/>
      <c r="S67" s="26"/>
      <c r="T67" s="22"/>
      <c r="U67" s="22"/>
      <c r="V67" s="23"/>
      <c r="W67" s="18"/>
      <c r="X67" s="19"/>
      <c r="Y67" s="20"/>
      <c r="Z67" s="27"/>
      <c r="AA67" s="18"/>
      <c r="AB67" s="19"/>
      <c r="AC67" s="20"/>
      <c r="AD67" s="27"/>
      <c r="AE67" s="18"/>
      <c r="AF67" s="19"/>
      <c r="AG67" s="20"/>
      <c r="AH67" s="28"/>
      <c r="AI67" s="29"/>
      <c r="AJ67" s="29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</row>
    <row r="68">
      <c r="A68" s="4"/>
      <c r="B68" s="18"/>
      <c r="C68" s="19"/>
      <c r="D68" s="20"/>
      <c r="E68" s="21"/>
      <c r="F68" s="22"/>
      <c r="G68" s="22"/>
      <c r="H68" s="23"/>
      <c r="I68" s="18"/>
      <c r="J68" s="19"/>
      <c r="K68" s="20"/>
      <c r="L68" s="21"/>
      <c r="M68" s="24"/>
      <c r="N68" s="22"/>
      <c r="O68" s="25"/>
      <c r="P68" s="18"/>
      <c r="Q68" s="19"/>
      <c r="R68" s="20"/>
      <c r="S68" s="26"/>
      <c r="T68" s="22"/>
      <c r="U68" s="22"/>
      <c r="V68" s="23"/>
      <c r="W68" s="18"/>
      <c r="X68" s="19"/>
      <c r="Y68" s="20"/>
      <c r="Z68" s="27"/>
      <c r="AA68" s="18"/>
      <c r="AB68" s="19"/>
      <c r="AC68" s="20"/>
      <c r="AD68" s="27"/>
      <c r="AE68" s="18"/>
      <c r="AF68" s="19"/>
      <c r="AG68" s="20"/>
      <c r="AH68" s="28"/>
      <c r="AI68" s="29"/>
      <c r="AJ68" s="29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</row>
    <row r="69">
      <c r="A69" s="4"/>
      <c r="B69" s="18"/>
      <c r="C69" s="19"/>
      <c r="D69" s="20"/>
      <c r="E69" s="21"/>
      <c r="F69" s="22"/>
      <c r="G69" s="22"/>
      <c r="H69" s="23"/>
      <c r="I69" s="18"/>
      <c r="J69" s="19"/>
      <c r="K69" s="20"/>
      <c r="L69" s="21"/>
      <c r="M69" s="24"/>
      <c r="N69" s="22"/>
      <c r="O69" s="25"/>
      <c r="P69" s="18"/>
      <c r="Q69" s="19"/>
      <c r="R69" s="20"/>
      <c r="S69" s="26"/>
      <c r="T69" s="22"/>
      <c r="U69" s="22"/>
      <c r="V69" s="23"/>
      <c r="W69" s="18"/>
      <c r="X69" s="19"/>
      <c r="Y69" s="20"/>
      <c r="Z69" s="27"/>
      <c r="AA69" s="18"/>
      <c r="AB69" s="19"/>
      <c r="AC69" s="20"/>
      <c r="AD69" s="27"/>
      <c r="AE69" s="18"/>
      <c r="AF69" s="19"/>
      <c r="AG69" s="20"/>
      <c r="AH69" s="28"/>
      <c r="AI69" s="29"/>
      <c r="AJ69" s="29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</row>
    <row r="70">
      <c r="A70" s="4"/>
      <c r="B70" s="18"/>
      <c r="C70" s="19"/>
      <c r="D70" s="20"/>
      <c r="E70" s="21"/>
      <c r="F70" s="22"/>
      <c r="G70" s="22"/>
      <c r="H70" s="23"/>
      <c r="I70" s="18"/>
      <c r="J70" s="19"/>
      <c r="K70" s="20"/>
      <c r="L70" s="21"/>
      <c r="M70" s="24"/>
      <c r="N70" s="22"/>
      <c r="O70" s="25"/>
      <c r="P70" s="18"/>
      <c r="Q70" s="19"/>
      <c r="R70" s="20"/>
      <c r="S70" s="26"/>
      <c r="T70" s="22"/>
      <c r="U70" s="22"/>
      <c r="V70" s="23"/>
      <c r="W70" s="18"/>
      <c r="X70" s="19"/>
      <c r="Y70" s="20"/>
      <c r="Z70" s="27"/>
      <c r="AA70" s="18"/>
      <c r="AB70" s="19"/>
      <c r="AC70" s="20"/>
      <c r="AD70" s="27"/>
      <c r="AE70" s="18"/>
      <c r="AF70" s="19"/>
      <c r="AG70" s="20"/>
      <c r="AH70" s="28"/>
      <c r="AI70" s="29"/>
      <c r="AJ70" s="29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</row>
    <row r="71">
      <c r="A71" s="4"/>
      <c r="B71" s="18"/>
      <c r="C71" s="19"/>
      <c r="D71" s="20"/>
      <c r="E71" s="21"/>
      <c r="F71" s="22"/>
      <c r="G71" s="22"/>
      <c r="H71" s="23"/>
      <c r="I71" s="18"/>
      <c r="J71" s="19"/>
      <c r="K71" s="20"/>
      <c r="L71" s="21"/>
      <c r="M71" s="24"/>
      <c r="N71" s="22"/>
      <c r="O71" s="25"/>
      <c r="P71" s="18"/>
      <c r="Q71" s="19"/>
      <c r="R71" s="20"/>
      <c r="S71" s="26"/>
      <c r="T71" s="22"/>
      <c r="U71" s="22"/>
      <c r="V71" s="23"/>
      <c r="W71" s="18"/>
      <c r="X71" s="19"/>
      <c r="Y71" s="20"/>
      <c r="Z71" s="27"/>
      <c r="AA71" s="18"/>
      <c r="AB71" s="19"/>
      <c r="AC71" s="20"/>
      <c r="AD71" s="27"/>
      <c r="AE71" s="18"/>
      <c r="AF71" s="19"/>
      <c r="AG71" s="20"/>
      <c r="AH71" s="28"/>
      <c r="AI71" s="29"/>
      <c r="AJ71" s="29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</row>
    <row r="72">
      <c r="A72" s="4"/>
      <c r="B72" s="18"/>
      <c r="C72" s="19"/>
      <c r="D72" s="20"/>
      <c r="E72" s="21"/>
      <c r="F72" s="22"/>
      <c r="G72" s="22"/>
      <c r="H72" s="23"/>
      <c r="I72" s="18"/>
      <c r="J72" s="19"/>
      <c r="K72" s="20"/>
      <c r="L72" s="21"/>
      <c r="M72" s="24"/>
      <c r="N72" s="22"/>
      <c r="O72" s="25"/>
      <c r="P72" s="18"/>
      <c r="Q72" s="19"/>
      <c r="R72" s="20"/>
      <c r="S72" s="26"/>
      <c r="T72" s="22"/>
      <c r="U72" s="22"/>
      <c r="V72" s="23"/>
      <c r="W72" s="18"/>
      <c r="X72" s="19"/>
      <c r="Y72" s="20"/>
      <c r="Z72" s="27"/>
      <c r="AA72" s="18"/>
      <c r="AB72" s="19"/>
      <c r="AC72" s="20"/>
      <c r="AD72" s="27"/>
      <c r="AE72" s="18"/>
      <c r="AF72" s="19"/>
      <c r="AG72" s="20"/>
      <c r="AH72" s="28"/>
      <c r="AI72" s="29"/>
      <c r="AJ72" s="29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</row>
    <row r="73">
      <c r="A73" s="4"/>
      <c r="B73" s="18"/>
      <c r="C73" s="19"/>
      <c r="D73" s="20"/>
      <c r="E73" s="21"/>
      <c r="F73" s="22"/>
      <c r="G73" s="22"/>
      <c r="H73" s="23"/>
      <c r="I73" s="18"/>
      <c r="J73" s="19"/>
      <c r="K73" s="20"/>
      <c r="L73" s="21"/>
      <c r="M73" s="24"/>
      <c r="N73" s="22"/>
      <c r="O73" s="25"/>
      <c r="P73" s="18"/>
      <c r="Q73" s="19"/>
      <c r="R73" s="20"/>
      <c r="S73" s="26"/>
      <c r="T73" s="22"/>
      <c r="U73" s="22"/>
      <c r="V73" s="23"/>
      <c r="W73" s="18"/>
      <c r="X73" s="19"/>
      <c r="Y73" s="20"/>
      <c r="Z73" s="27"/>
      <c r="AA73" s="18"/>
      <c r="AB73" s="19"/>
      <c r="AC73" s="20"/>
      <c r="AD73" s="27"/>
      <c r="AE73" s="18"/>
      <c r="AF73" s="19"/>
      <c r="AG73" s="20"/>
      <c r="AH73" s="28"/>
      <c r="AI73" s="29"/>
      <c r="AJ73" s="29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</row>
    <row r="74">
      <c r="A74" s="4"/>
      <c r="B74" s="18"/>
      <c r="C74" s="19"/>
      <c r="D74" s="20"/>
      <c r="E74" s="21"/>
      <c r="F74" s="22"/>
      <c r="G74" s="22"/>
      <c r="H74" s="23"/>
      <c r="I74" s="18"/>
      <c r="J74" s="19"/>
      <c r="K74" s="20"/>
      <c r="L74" s="21"/>
      <c r="M74" s="24"/>
      <c r="N74" s="22"/>
      <c r="O74" s="25"/>
      <c r="P74" s="18"/>
      <c r="Q74" s="19"/>
      <c r="R74" s="20"/>
      <c r="S74" s="26"/>
      <c r="T74" s="22"/>
      <c r="U74" s="22"/>
      <c r="V74" s="23"/>
      <c r="W74" s="18"/>
      <c r="X74" s="19"/>
      <c r="Y74" s="20"/>
      <c r="Z74" s="27"/>
      <c r="AA74" s="18"/>
      <c r="AB74" s="19"/>
      <c r="AC74" s="20"/>
      <c r="AD74" s="27"/>
      <c r="AE74" s="18"/>
      <c r="AF74" s="19"/>
      <c r="AG74" s="20"/>
      <c r="AH74" s="28"/>
      <c r="AI74" s="29"/>
      <c r="AJ74" s="29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</row>
    <row r="75">
      <c r="A75" s="4"/>
      <c r="B75" s="18"/>
      <c r="C75" s="19"/>
      <c r="D75" s="20"/>
      <c r="E75" s="21"/>
      <c r="F75" s="22"/>
      <c r="G75" s="22"/>
      <c r="H75" s="23"/>
      <c r="I75" s="18"/>
      <c r="J75" s="19"/>
      <c r="K75" s="20"/>
      <c r="L75" s="21"/>
      <c r="M75" s="24"/>
      <c r="N75" s="22"/>
      <c r="O75" s="25"/>
      <c r="P75" s="18"/>
      <c r="Q75" s="19"/>
      <c r="R75" s="20"/>
      <c r="S75" s="26"/>
      <c r="T75" s="22"/>
      <c r="U75" s="22"/>
      <c r="V75" s="23"/>
      <c r="W75" s="18"/>
      <c r="X75" s="19"/>
      <c r="Y75" s="20"/>
      <c r="Z75" s="27"/>
      <c r="AA75" s="18"/>
      <c r="AB75" s="19"/>
      <c r="AC75" s="20"/>
      <c r="AD75" s="27"/>
      <c r="AE75" s="18"/>
      <c r="AF75" s="19"/>
      <c r="AG75" s="20"/>
      <c r="AH75" s="28"/>
      <c r="AI75" s="29"/>
      <c r="AJ75" s="29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</row>
    <row r="76">
      <c r="A76" s="4"/>
      <c r="B76" s="18"/>
      <c r="C76" s="19"/>
      <c r="D76" s="20"/>
      <c r="E76" s="21"/>
      <c r="F76" s="22"/>
      <c r="G76" s="22"/>
      <c r="H76" s="23"/>
      <c r="I76" s="18"/>
      <c r="J76" s="19"/>
      <c r="K76" s="20"/>
      <c r="L76" s="21"/>
      <c r="M76" s="24"/>
      <c r="N76" s="22"/>
      <c r="O76" s="25"/>
      <c r="P76" s="18"/>
      <c r="Q76" s="19"/>
      <c r="R76" s="20"/>
      <c r="S76" s="26"/>
      <c r="T76" s="22"/>
      <c r="U76" s="22"/>
      <c r="V76" s="23"/>
      <c r="W76" s="18"/>
      <c r="X76" s="19"/>
      <c r="Y76" s="20"/>
      <c r="Z76" s="27"/>
      <c r="AA76" s="18"/>
      <c r="AB76" s="19"/>
      <c r="AC76" s="20"/>
      <c r="AD76" s="27"/>
      <c r="AE76" s="18"/>
      <c r="AF76" s="19"/>
      <c r="AG76" s="20"/>
      <c r="AH76" s="28"/>
      <c r="AI76" s="29"/>
      <c r="AJ76" s="29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</row>
    <row r="77">
      <c r="A77" s="4"/>
      <c r="B77" s="18"/>
      <c r="C77" s="19"/>
      <c r="D77" s="20"/>
      <c r="E77" s="21"/>
      <c r="F77" s="22"/>
      <c r="G77" s="22"/>
      <c r="H77" s="23"/>
      <c r="I77" s="18"/>
      <c r="J77" s="19"/>
      <c r="K77" s="20"/>
      <c r="L77" s="21"/>
      <c r="M77" s="24"/>
      <c r="N77" s="22"/>
      <c r="O77" s="25"/>
      <c r="P77" s="18"/>
      <c r="Q77" s="19"/>
      <c r="R77" s="20"/>
      <c r="S77" s="26"/>
      <c r="T77" s="22"/>
      <c r="U77" s="22"/>
      <c r="V77" s="23"/>
      <c r="W77" s="18"/>
      <c r="X77" s="19"/>
      <c r="Y77" s="20"/>
      <c r="Z77" s="27"/>
      <c r="AA77" s="18"/>
      <c r="AB77" s="19"/>
      <c r="AC77" s="20"/>
      <c r="AD77" s="27"/>
      <c r="AE77" s="18"/>
      <c r="AF77" s="19"/>
      <c r="AG77" s="20"/>
      <c r="AH77" s="28"/>
      <c r="AI77" s="29"/>
      <c r="AJ77" s="29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</row>
    <row r="78">
      <c r="A78" s="4"/>
      <c r="B78" s="18"/>
      <c r="C78" s="19"/>
      <c r="D78" s="20"/>
      <c r="E78" s="21"/>
      <c r="F78" s="22"/>
      <c r="G78" s="22"/>
      <c r="H78" s="23"/>
      <c r="I78" s="18"/>
      <c r="J78" s="19"/>
      <c r="K78" s="20"/>
      <c r="L78" s="21"/>
      <c r="M78" s="24"/>
      <c r="N78" s="22"/>
      <c r="O78" s="25"/>
      <c r="P78" s="18"/>
      <c r="Q78" s="19"/>
      <c r="R78" s="20"/>
      <c r="S78" s="26"/>
      <c r="T78" s="22"/>
      <c r="U78" s="22"/>
      <c r="V78" s="23"/>
      <c r="W78" s="18"/>
      <c r="X78" s="19"/>
      <c r="Y78" s="20"/>
      <c r="Z78" s="27"/>
      <c r="AA78" s="18"/>
      <c r="AB78" s="19"/>
      <c r="AC78" s="20"/>
      <c r="AD78" s="27"/>
      <c r="AE78" s="18"/>
      <c r="AF78" s="19"/>
      <c r="AG78" s="20"/>
      <c r="AH78" s="28"/>
      <c r="AI78" s="29"/>
      <c r="AJ78" s="29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</row>
    <row r="79">
      <c r="A79" s="4"/>
      <c r="B79" s="18"/>
      <c r="C79" s="19"/>
      <c r="D79" s="20"/>
      <c r="E79" s="21"/>
      <c r="F79" s="22"/>
      <c r="G79" s="22"/>
      <c r="H79" s="23"/>
      <c r="I79" s="18"/>
      <c r="J79" s="19"/>
      <c r="K79" s="20"/>
      <c r="L79" s="21"/>
      <c r="M79" s="24"/>
      <c r="N79" s="22"/>
      <c r="O79" s="25"/>
      <c r="P79" s="18"/>
      <c r="Q79" s="19"/>
      <c r="R79" s="20"/>
      <c r="S79" s="26"/>
      <c r="T79" s="22"/>
      <c r="U79" s="22"/>
      <c r="V79" s="23"/>
      <c r="W79" s="18"/>
      <c r="X79" s="19"/>
      <c r="Y79" s="20"/>
      <c r="Z79" s="27"/>
      <c r="AA79" s="18"/>
      <c r="AB79" s="19"/>
      <c r="AC79" s="20"/>
      <c r="AD79" s="27"/>
      <c r="AE79" s="18"/>
      <c r="AF79" s="19"/>
      <c r="AG79" s="20"/>
      <c r="AH79" s="28"/>
      <c r="AI79" s="29"/>
      <c r="AJ79" s="29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</row>
    <row r="80">
      <c r="A80" s="4"/>
      <c r="B80" s="18"/>
      <c r="C80" s="19"/>
      <c r="D80" s="20"/>
      <c r="E80" s="21"/>
      <c r="F80" s="22"/>
      <c r="G80" s="22"/>
      <c r="H80" s="23"/>
      <c r="I80" s="18"/>
      <c r="J80" s="19"/>
      <c r="K80" s="20"/>
      <c r="L80" s="21"/>
      <c r="M80" s="24"/>
      <c r="N80" s="22"/>
      <c r="O80" s="25"/>
      <c r="P80" s="18"/>
      <c r="Q80" s="19"/>
      <c r="R80" s="20"/>
      <c r="S80" s="26"/>
      <c r="T80" s="22"/>
      <c r="U80" s="22"/>
      <c r="V80" s="23"/>
      <c r="W80" s="18"/>
      <c r="X80" s="19"/>
      <c r="Y80" s="20"/>
      <c r="Z80" s="27"/>
      <c r="AA80" s="18"/>
      <c r="AB80" s="19"/>
      <c r="AC80" s="20"/>
      <c r="AD80" s="27"/>
      <c r="AE80" s="18"/>
      <c r="AF80" s="19"/>
      <c r="AG80" s="20"/>
      <c r="AH80" s="28"/>
      <c r="AI80" s="29"/>
      <c r="AJ80" s="29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</row>
    <row r="81">
      <c r="A81" s="4"/>
      <c r="B81" s="18"/>
      <c r="C81" s="19"/>
      <c r="D81" s="20"/>
      <c r="E81" s="21"/>
      <c r="F81" s="22"/>
      <c r="G81" s="22"/>
      <c r="H81" s="23"/>
      <c r="I81" s="18"/>
      <c r="J81" s="19"/>
      <c r="K81" s="20"/>
      <c r="L81" s="21"/>
      <c r="M81" s="24"/>
      <c r="N81" s="22"/>
      <c r="O81" s="25"/>
      <c r="P81" s="18"/>
      <c r="Q81" s="19"/>
      <c r="R81" s="20"/>
      <c r="S81" s="26"/>
      <c r="T81" s="22"/>
      <c r="U81" s="22"/>
      <c r="V81" s="23"/>
      <c r="W81" s="18"/>
      <c r="X81" s="19"/>
      <c r="Y81" s="20"/>
      <c r="Z81" s="27"/>
      <c r="AA81" s="18"/>
      <c r="AB81" s="19"/>
      <c r="AC81" s="20"/>
      <c r="AD81" s="27"/>
      <c r="AE81" s="18"/>
      <c r="AF81" s="19"/>
      <c r="AG81" s="20"/>
      <c r="AH81" s="28"/>
      <c r="AI81" s="29"/>
      <c r="AJ81" s="29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</row>
    <row r="82">
      <c r="A82" s="4"/>
      <c r="B82" s="18"/>
      <c r="C82" s="19"/>
      <c r="D82" s="20"/>
      <c r="E82" s="21"/>
      <c r="F82" s="22"/>
      <c r="G82" s="22"/>
      <c r="H82" s="23"/>
      <c r="I82" s="18"/>
      <c r="J82" s="19"/>
      <c r="K82" s="20"/>
      <c r="L82" s="21"/>
      <c r="M82" s="24"/>
      <c r="N82" s="22"/>
      <c r="O82" s="25"/>
      <c r="P82" s="18"/>
      <c r="Q82" s="19"/>
      <c r="R82" s="20"/>
      <c r="S82" s="26"/>
      <c r="T82" s="22"/>
      <c r="U82" s="22"/>
      <c r="V82" s="23"/>
      <c r="W82" s="18"/>
      <c r="X82" s="19"/>
      <c r="Y82" s="20"/>
      <c r="Z82" s="27"/>
      <c r="AA82" s="18"/>
      <c r="AB82" s="19"/>
      <c r="AC82" s="20"/>
      <c r="AD82" s="27"/>
      <c r="AE82" s="18"/>
      <c r="AF82" s="19"/>
      <c r="AG82" s="20"/>
      <c r="AH82" s="28"/>
      <c r="AI82" s="29"/>
      <c r="AJ82" s="29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</row>
    <row r="83">
      <c r="A83" s="4"/>
      <c r="B83" s="18"/>
      <c r="C83" s="19"/>
      <c r="D83" s="20"/>
      <c r="E83" s="21"/>
      <c r="F83" s="22"/>
      <c r="G83" s="22"/>
      <c r="H83" s="23"/>
      <c r="I83" s="18"/>
      <c r="J83" s="19"/>
      <c r="K83" s="20"/>
      <c r="L83" s="21"/>
      <c r="M83" s="24"/>
      <c r="N83" s="22"/>
      <c r="O83" s="25"/>
      <c r="P83" s="18"/>
      <c r="Q83" s="19"/>
      <c r="R83" s="20"/>
      <c r="S83" s="26"/>
      <c r="T83" s="22"/>
      <c r="U83" s="22"/>
      <c r="V83" s="23"/>
      <c r="W83" s="18"/>
      <c r="X83" s="19"/>
      <c r="Y83" s="20"/>
      <c r="Z83" s="27"/>
      <c r="AA83" s="18"/>
      <c r="AB83" s="19"/>
      <c r="AC83" s="20"/>
      <c r="AD83" s="27"/>
      <c r="AE83" s="18"/>
      <c r="AF83" s="19"/>
      <c r="AG83" s="20"/>
      <c r="AH83" s="28"/>
      <c r="AI83" s="29"/>
      <c r="AJ83" s="29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</row>
    <row r="84">
      <c r="A84" s="4"/>
      <c r="B84" s="18"/>
      <c r="C84" s="19"/>
      <c r="D84" s="20"/>
      <c r="E84" s="21"/>
      <c r="F84" s="22"/>
      <c r="G84" s="22"/>
      <c r="H84" s="23"/>
      <c r="I84" s="18"/>
      <c r="J84" s="19"/>
      <c r="K84" s="20"/>
      <c r="L84" s="21"/>
      <c r="M84" s="24"/>
      <c r="N84" s="22"/>
      <c r="O84" s="25"/>
      <c r="P84" s="18"/>
      <c r="Q84" s="19"/>
      <c r="R84" s="20"/>
      <c r="S84" s="26"/>
      <c r="T84" s="22"/>
      <c r="U84" s="22"/>
      <c r="V84" s="23"/>
      <c r="W84" s="18"/>
      <c r="X84" s="19"/>
      <c r="Y84" s="20"/>
      <c r="Z84" s="27"/>
      <c r="AA84" s="18"/>
      <c r="AB84" s="19"/>
      <c r="AC84" s="20"/>
      <c r="AD84" s="27"/>
      <c r="AE84" s="18"/>
      <c r="AF84" s="19"/>
      <c r="AG84" s="20"/>
      <c r="AH84" s="28"/>
      <c r="AI84" s="29"/>
      <c r="AJ84" s="29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</row>
    <row r="85">
      <c r="A85" s="4"/>
      <c r="B85" s="18"/>
      <c r="C85" s="19"/>
      <c r="D85" s="20"/>
      <c r="E85" s="21"/>
      <c r="F85" s="22"/>
      <c r="G85" s="22"/>
      <c r="H85" s="23"/>
      <c r="I85" s="18"/>
      <c r="J85" s="19"/>
      <c r="K85" s="20"/>
      <c r="L85" s="21"/>
      <c r="M85" s="24"/>
      <c r="N85" s="22"/>
      <c r="O85" s="25"/>
      <c r="P85" s="18"/>
      <c r="Q85" s="19"/>
      <c r="R85" s="20"/>
      <c r="S85" s="26"/>
      <c r="T85" s="22"/>
      <c r="U85" s="22"/>
      <c r="V85" s="23"/>
      <c r="W85" s="18"/>
      <c r="X85" s="19"/>
      <c r="Y85" s="20"/>
      <c r="Z85" s="27"/>
      <c r="AA85" s="18"/>
      <c r="AB85" s="19"/>
      <c r="AC85" s="20"/>
      <c r="AD85" s="27"/>
      <c r="AE85" s="18"/>
      <c r="AF85" s="19"/>
      <c r="AG85" s="20"/>
      <c r="AH85" s="28"/>
      <c r="AI85" s="29"/>
      <c r="AJ85" s="29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</row>
    <row r="86">
      <c r="A86" s="4"/>
      <c r="B86" s="18"/>
      <c r="C86" s="19"/>
      <c r="D86" s="20"/>
      <c r="E86" s="21"/>
      <c r="F86" s="22"/>
      <c r="G86" s="22"/>
      <c r="H86" s="23"/>
      <c r="I86" s="18"/>
      <c r="J86" s="19"/>
      <c r="K86" s="20"/>
      <c r="L86" s="21"/>
      <c r="M86" s="24"/>
      <c r="N86" s="22"/>
      <c r="O86" s="25"/>
      <c r="P86" s="18"/>
      <c r="Q86" s="19"/>
      <c r="R86" s="20"/>
      <c r="S86" s="26"/>
      <c r="T86" s="22"/>
      <c r="U86" s="22"/>
      <c r="V86" s="23"/>
      <c r="W86" s="18"/>
      <c r="X86" s="19"/>
      <c r="Y86" s="20"/>
      <c r="Z86" s="27"/>
      <c r="AA86" s="18"/>
      <c r="AB86" s="19"/>
      <c r="AC86" s="20"/>
      <c r="AD86" s="27"/>
      <c r="AE86" s="18"/>
      <c r="AF86" s="19"/>
      <c r="AG86" s="20"/>
      <c r="AH86" s="28"/>
      <c r="AI86" s="29"/>
      <c r="AJ86" s="29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</row>
    <row r="87">
      <c r="A87" s="4"/>
      <c r="B87" s="32"/>
      <c r="C87" s="32"/>
      <c r="D87" s="32"/>
      <c r="E87" s="5"/>
      <c r="F87" s="32"/>
      <c r="G87" s="32"/>
      <c r="H87" s="33"/>
      <c r="I87" s="32"/>
      <c r="J87" s="32"/>
      <c r="K87" s="32"/>
      <c r="L87" s="32"/>
      <c r="M87" s="5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29"/>
      <c r="AJ87" s="29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</row>
    <row r="88">
      <c r="A88" s="4"/>
      <c r="B88" s="32"/>
      <c r="C88" s="32"/>
      <c r="D88" s="32"/>
      <c r="E88" s="5"/>
      <c r="F88" s="32"/>
      <c r="G88" s="32"/>
      <c r="H88" s="33"/>
      <c r="I88" s="32"/>
      <c r="J88" s="32"/>
      <c r="K88" s="32"/>
      <c r="L88" s="32"/>
      <c r="M88" s="5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29"/>
      <c r="AJ88" s="29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</row>
    <row r="89">
      <c r="A89" s="4"/>
      <c r="B89" s="32"/>
      <c r="C89" s="32"/>
      <c r="D89" s="32"/>
      <c r="E89" s="5"/>
      <c r="F89" s="32"/>
      <c r="G89" s="32"/>
      <c r="H89" s="33"/>
      <c r="I89" s="32"/>
      <c r="J89" s="32"/>
      <c r="K89" s="32"/>
      <c r="L89" s="32"/>
      <c r="M89" s="5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29"/>
      <c r="AJ89" s="29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</row>
    <row r="90">
      <c r="A90" s="4"/>
      <c r="B90" s="32"/>
      <c r="C90" s="32"/>
      <c r="D90" s="32"/>
      <c r="E90" s="5"/>
      <c r="F90" s="32"/>
      <c r="G90" s="32"/>
      <c r="H90" s="33"/>
      <c r="I90" s="32"/>
      <c r="J90" s="32"/>
      <c r="K90" s="32"/>
      <c r="L90" s="32"/>
      <c r="M90" s="5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29"/>
      <c r="AJ90" s="29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</row>
    <row r="91">
      <c r="A91" s="4"/>
      <c r="B91" s="32"/>
      <c r="C91" s="32"/>
      <c r="D91" s="32"/>
      <c r="E91" s="5"/>
      <c r="F91" s="32"/>
      <c r="G91" s="32"/>
      <c r="H91" s="33"/>
      <c r="I91" s="32"/>
      <c r="J91" s="32"/>
      <c r="K91" s="32"/>
      <c r="L91" s="32"/>
      <c r="M91" s="5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29"/>
      <c r="AJ91" s="29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</row>
    <row r="92">
      <c r="A92" s="4"/>
      <c r="B92" s="32"/>
      <c r="C92" s="32"/>
      <c r="D92" s="32"/>
      <c r="E92" s="5"/>
      <c r="F92" s="32"/>
      <c r="G92" s="32"/>
      <c r="H92" s="33"/>
      <c r="I92" s="32"/>
      <c r="J92" s="32"/>
      <c r="K92" s="32"/>
      <c r="L92" s="32"/>
      <c r="M92" s="5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29"/>
      <c r="AJ92" s="29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</row>
    <row r="93">
      <c r="A93" s="4"/>
      <c r="B93" s="32"/>
      <c r="C93" s="32"/>
      <c r="D93" s="32"/>
      <c r="E93" s="5"/>
      <c r="F93" s="32"/>
      <c r="G93" s="32"/>
      <c r="H93" s="33"/>
      <c r="I93" s="32"/>
      <c r="J93" s="32"/>
      <c r="K93" s="32"/>
      <c r="L93" s="32"/>
      <c r="M93" s="5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29"/>
      <c r="AJ93" s="29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</row>
    <row r="94">
      <c r="A94" s="4"/>
      <c r="B94" s="32"/>
      <c r="C94" s="32"/>
      <c r="D94" s="32"/>
      <c r="E94" s="5"/>
      <c r="F94" s="32"/>
      <c r="G94" s="32"/>
      <c r="H94" s="33"/>
      <c r="I94" s="32"/>
      <c r="J94" s="32"/>
      <c r="K94" s="32"/>
      <c r="L94" s="32"/>
      <c r="M94" s="5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29"/>
      <c r="AJ94" s="29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</row>
    <row r="95">
      <c r="A95" s="4"/>
      <c r="B95" s="32"/>
      <c r="C95" s="32"/>
      <c r="D95" s="32"/>
      <c r="E95" s="5"/>
      <c r="F95" s="32"/>
      <c r="G95" s="32"/>
      <c r="H95" s="33"/>
      <c r="I95" s="32"/>
      <c r="J95" s="32"/>
      <c r="K95" s="32"/>
      <c r="L95" s="32"/>
      <c r="M95" s="5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29"/>
      <c r="AJ95" s="29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</row>
    <row r="96">
      <c r="A96" s="4"/>
      <c r="B96" s="4"/>
      <c r="C96" s="4"/>
      <c r="D96" s="4"/>
      <c r="E96" s="5"/>
      <c r="F96" s="4"/>
      <c r="G96" s="4"/>
      <c r="H96" s="33"/>
      <c r="I96" s="4"/>
      <c r="J96" s="4"/>
      <c r="K96" s="4"/>
      <c r="L96" s="4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29"/>
      <c r="AJ96" s="29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</row>
    <row r="97">
      <c r="A97" s="4"/>
      <c r="B97" s="4"/>
      <c r="C97" s="4"/>
      <c r="D97" s="4"/>
      <c r="E97" s="5"/>
      <c r="F97" s="4"/>
      <c r="G97" s="4"/>
      <c r="H97" s="33"/>
      <c r="I97" s="4"/>
      <c r="J97" s="4"/>
      <c r="K97" s="4"/>
      <c r="L97" s="4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29"/>
      <c r="AJ97" s="29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</row>
    <row r="98">
      <c r="A98" s="4"/>
      <c r="B98" s="4"/>
      <c r="C98" s="4"/>
      <c r="D98" s="4"/>
      <c r="E98" s="5"/>
      <c r="F98" s="4"/>
      <c r="G98" s="4"/>
      <c r="H98" s="33"/>
      <c r="I98" s="4"/>
      <c r="J98" s="4"/>
      <c r="K98" s="4"/>
      <c r="L98" s="4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29"/>
      <c r="AJ98" s="29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</row>
    <row r="99">
      <c r="A99" s="4"/>
      <c r="B99" s="4"/>
      <c r="C99" s="4"/>
      <c r="D99" s="4"/>
      <c r="E99" s="5"/>
      <c r="F99" s="4"/>
      <c r="G99" s="4"/>
      <c r="H99" s="33"/>
      <c r="I99" s="4"/>
      <c r="J99" s="4"/>
      <c r="K99" s="4"/>
      <c r="L99" s="4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29"/>
      <c r="AJ99" s="29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</row>
    <row r="100">
      <c r="A100" s="4"/>
      <c r="B100" s="4"/>
      <c r="C100" s="4"/>
      <c r="D100" s="4"/>
      <c r="E100" s="5"/>
      <c r="F100" s="4"/>
      <c r="G100" s="4"/>
      <c r="H100" s="33"/>
      <c r="I100" s="4"/>
      <c r="J100" s="4"/>
      <c r="K100" s="4"/>
      <c r="L100" s="4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29"/>
      <c r="AJ100" s="29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</row>
    <row r="101">
      <c r="A101" s="4"/>
      <c r="B101" s="4"/>
      <c r="C101" s="4"/>
      <c r="D101" s="4"/>
      <c r="E101" s="5"/>
      <c r="F101" s="4"/>
      <c r="G101" s="4"/>
      <c r="H101" s="33"/>
      <c r="I101" s="4"/>
      <c r="J101" s="4"/>
      <c r="K101" s="4"/>
      <c r="L101" s="4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29"/>
      <c r="AJ101" s="29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</row>
    <row r="102">
      <c r="A102" s="4"/>
      <c r="B102" s="4"/>
      <c r="C102" s="4"/>
      <c r="D102" s="4"/>
      <c r="E102" s="5"/>
      <c r="F102" s="4"/>
      <c r="G102" s="4"/>
      <c r="H102" s="33"/>
      <c r="I102" s="4"/>
      <c r="J102" s="4"/>
      <c r="K102" s="4"/>
      <c r="L102" s="4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29"/>
      <c r="AJ102" s="29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</row>
    <row r="103">
      <c r="A103" s="4"/>
      <c r="B103" s="4"/>
      <c r="C103" s="4"/>
      <c r="D103" s="4"/>
      <c r="E103" s="5"/>
      <c r="F103" s="4"/>
      <c r="G103" s="4"/>
      <c r="H103" s="33"/>
      <c r="I103" s="4"/>
      <c r="J103" s="4"/>
      <c r="K103" s="4"/>
      <c r="L103" s="4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29"/>
      <c r="AJ103" s="29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</row>
    <row r="104">
      <c r="A104" s="4"/>
      <c r="B104" s="4"/>
      <c r="C104" s="4"/>
      <c r="D104" s="4"/>
      <c r="E104" s="5"/>
      <c r="F104" s="4"/>
      <c r="G104" s="4"/>
      <c r="H104" s="33"/>
      <c r="I104" s="4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29"/>
      <c r="AJ104" s="29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</row>
    <row r="105">
      <c r="A105" s="4"/>
      <c r="B105" s="4"/>
      <c r="C105" s="4"/>
      <c r="D105" s="4"/>
      <c r="E105" s="5"/>
      <c r="F105" s="4"/>
      <c r="G105" s="4"/>
      <c r="H105" s="33"/>
      <c r="I105" s="4"/>
      <c r="J105" s="4"/>
      <c r="K105" s="4"/>
      <c r="L105" s="4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29"/>
      <c r="AJ105" s="29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</row>
    <row r="106">
      <c r="A106" s="4"/>
      <c r="B106" s="4"/>
      <c r="C106" s="4"/>
      <c r="D106" s="4"/>
      <c r="E106" s="5"/>
      <c r="F106" s="4"/>
      <c r="G106" s="4"/>
      <c r="H106" s="33"/>
      <c r="I106" s="4"/>
      <c r="J106" s="4"/>
      <c r="K106" s="4"/>
      <c r="L106" s="4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29"/>
      <c r="AJ106" s="29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</row>
    <row r="107">
      <c r="A107" s="4"/>
      <c r="B107" s="4"/>
      <c r="C107" s="4"/>
      <c r="D107" s="4"/>
      <c r="E107" s="5"/>
      <c r="F107" s="4"/>
      <c r="G107" s="4"/>
      <c r="H107" s="33"/>
      <c r="I107" s="4"/>
      <c r="J107" s="4"/>
      <c r="K107" s="4"/>
      <c r="L107" s="4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29"/>
      <c r="AJ107" s="29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</row>
    <row r="108">
      <c r="A108" s="4"/>
      <c r="B108" s="4"/>
      <c r="C108" s="4"/>
      <c r="D108" s="4"/>
      <c r="E108" s="5"/>
      <c r="F108" s="4"/>
      <c r="G108" s="4"/>
      <c r="H108" s="33"/>
      <c r="I108" s="4"/>
      <c r="J108" s="4"/>
      <c r="K108" s="4"/>
      <c r="L108" s="4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29"/>
      <c r="AJ108" s="29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</row>
    <row r="109">
      <c r="A109" s="4"/>
      <c r="B109" s="4"/>
      <c r="C109" s="4"/>
      <c r="D109" s="4"/>
      <c r="E109" s="5"/>
      <c r="F109" s="4"/>
      <c r="G109" s="4"/>
      <c r="H109" s="33"/>
      <c r="I109" s="4"/>
      <c r="J109" s="4"/>
      <c r="K109" s="4"/>
      <c r="L109" s="4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29"/>
      <c r="AJ109" s="29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</row>
    <row r="110">
      <c r="A110" s="4"/>
      <c r="B110" s="4"/>
      <c r="C110" s="4"/>
      <c r="D110" s="4"/>
      <c r="E110" s="5"/>
      <c r="F110" s="4"/>
      <c r="G110" s="4"/>
      <c r="H110" s="33"/>
      <c r="I110" s="4"/>
      <c r="J110" s="4"/>
      <c r="K110" s="4"/>
      <c r="L110" s="4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29"/>
      <c r="AJ110" s="29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</row>
    <row r="111">
      <c r="A111" s="4"/>
      <c r="B111" s="4"/>
      <c r="C111" s="4"/>
      <c r="D111" s="4"/>
      <c r="E111" s="5"/>
      <c r="F111" s="4"/>
      <c r="G111" s="4"/>
      <c r="H111" s="33"/>
      <c r="I111" s="4"/>
      <c r="J111" s="4"/>
      <c r="K111" s="4"/>
      <c r="L111" s="4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29"/>
      <c r="AJ111" s="29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</row>
    <row r="112">
      <c r="A112" s="4"/>
      <c r="B112" s="4"/>
      <c r="C112" s="4"/>
      <c r="D112" s="4"/>
      <c r="E112" s="5"/>
      <c r="F112" s="4"/>
      <c r="G112" s="4"/>
      <c r="H112" s="33"/>
      <c r="I112" s="4"/>
      <c r="J112" s="4"/>
      <c r="K112" s="4"/>
      <c r="L112" s="4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29"/>
      <c r="AJ112" s="29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</row>
    <row r="113">
      <c r="A113" s="4"/>
      <c r="B113" s="4"/>
      <c r="C113" s="4"/>
      <c r="D113" s="4"/>
      <c r="E113" s="5"/>
      <c r="F113" s="4"/>
      <c r="G113" s="4"/>
      <c r="H113" s="33"/>
      <c r="I113" s="4"/>
      <c r="J113" s="4"/>
      <c r="K113" s="4"/>
      <c r="L113" s="4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29"/>
      <c r="AJ113" s="29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</row>
    <row r="114">
      <c r="A114" s="4"/>
      <c r="B114" s="4"/>
      <c r="C114" s="4"/>
      <c r="D114" s="4"/>
      <c r="E114" s="5"/>
      <c r="F114" s="4"/>
      <c r="G114" s="4"/>
      <c r="H114" s="33"/>
      <c r="I114" s="4"/>
      <c r="J114" s="4"/>
      <c r="K114" s="4"/>
      <c r="L114" s="4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29"/>
      <c r="AJ114" s="29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</row>
    <row r="115">
      <c r="A115" s="4"/>
      <c r="B115" s="4"/>
      <c r="C115" s="4"/>
      <c r="D115" s="4"/>
      <c r="E115" s="5"/>
      <c r="F115" s="4"/>
      <c r="G115" s="4"/>
      <c r="H115" s="33"/>
      <c r="I115" s="4"/>
      <c r="J115" s="4"/>
      <c r="K115" s="4"/>
      <c r="L115" s="4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29"/>
      <c r="AJ115" s="29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</row>
    <row r="116">
      <c r="A116" s="4"/>
      <c r="B116" s="4"/>
      <c r="C116" s="4"/>
      <c r="D116" s="4"/>
      <c r="E116" s="5"/>
      <c r="F116" s="4"/>
      <c r="G116" s="4"/>
      <c r="H116" s="33"/>
      <c r="I116" s="4"/>
      <c r="J116" s="4"/>
      <c r="K116" s="4"/>
      <c r="L116" s="4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29"/>
      <c r="AJ116" s="29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</row>
    <row r="117">
      <c r="A117" s="4"/>
      <c r="B117" s="4"/>
      <c r="C117" s="4"/>
      <c r="D117" s="4"/>
      <c r="E117" s="5"/>
      <c r="F117" s="4"/>
      <c r="G117" s="4"/>
      <c r="H117" s="33"/>
      <c r="I117" s="4"/>
      <c r="J117" s="4"/>
      <c r="K117" s="4"/>
      <c r="L117" s="4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29"/>
      <c r="AJ117" s="29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</row>
    <row r="118">
      <c r="A118" s="4"/>
      <c r="B118" s="4"/>
      <c r="C118" s="4"/>
      <c r="D118" s="4"/>
      <c r="E118" s="5"/>
      <c r="F118" s="4"/>
      <c r="G118" s="4"/>
      <c r="H118" s="33"/>
      <c r="I118" s="4"/>
      <c r="J118" s="4"/>
      <c r="K118" s="4"/>
      <c r="L118" s="4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29"/>
      <c r="AJ118" s="29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</row>
    <row r="119">
      <c r="A119" s="4"/>
      <c r="B119" s="4"/>
      <c r="C119" s="4"/>
      <c r="D119" s="4"/>
      <c r="E119" s="5"/>
      <c r="F119" s="4"/>
      <c r="G119" s="4"/>
      <c r="H119" s="33"/>
      <c r="I119" s="4"/>
      <c r="J119" s="4"/>
      <c r="K119" s="4"/>
      <c r="L119" s="4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29"/>
      <c r="AJ119" s="29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</row>
    <row r="120">
      <c r="A120" s="4"/>
      <c r="B120" s="4"/>
      <c r="C120" s="4"/>
      <c r="D120" s="4"/>
      <c r="E120" s="5"/>
      <c r="F120" s="4"/>
      <c r="G120" s="4"/>
      <c r="H120" s="33"/>
      <c r="I120" s="4"/>
      <c r="J120" s="4"/>
      <c r="K120" s="4"/>
      <c r="L120" s="4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29"/>
      <c r="AJ120" s="29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</row>
    <row r="121">
      <c r="A121" s="4"/>
      <c r="B121" s="4"/>
      <c r="C121" s="4"/>
      <c r="D121" s="4"/>
      <c r="E121" s="5"/>
      <c r="F121" s="4"/>
      <c r="G121" s="4"/>
      <c r="H121" s="33"/>
      <c r="I121" s="4"/>
      <c r="J121" s="4"/>
      <c r="K121" s="4"/>
      <c r="L121" s="4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29"/>
      <c r="AJ121" s="29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</row>
    <row r="122">
      <c r="A122" s="4"/>
      <c r="B122" s="4"/>
      <c r="C122" s="4"/>
      <c r="D122" s="4"/>
      <c r="E122" s="5"/>
      <c r="F122" s="4"/>
      <c r="G122" s="4"/>
      <c r="H122" s="33"/>
      <c r="I122" s="4"/>
      <c r="J122" s="4"/>
      <c r="K122" s="4"/>
      <c r="L122" s="4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29"/>
      <c r="AJ122" s="29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</row>
    <row r="123">
      <c r="A123" s="4"/>
      <c r="B123" s="4"/>
      <c r="C123" s="4"/>
      <c r="D123" s="4"/>
      <c r="E123" s="5"/>
      <c r="F123" s="4"/>
      <c r="G123" s="4"/>
      <c r="H123" s="33"/>
      <c r="I123" s="4"/>
      <c r="J123" s="4"/>
      <c r="K123" s="4"/>
      <c r="L123" s="4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29"/>
      <c r="AJ123" s="29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</row>
    <row r="124">
      <c r="A124" s="4"/>
      <c r="B124" s="4"/>
      <c r="C124" s="4"/>
      <c r="D124" s="4"/>
      <c r="E124" s="5"/>
      <c r="F124" s="4"/>
      <c r="G124" s="4"/>
      <c r="H124" s="33"/>
      <c r="I124" s="4"/>
      <c r="J124" s="4"/>
      <c r="K124" s="4"/>
      <c r="L124" s="4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29"/>
      <c r="AJ124" s="29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</row>
    <row r="125">
      <c r="A125" s="4"/>
      <c r="B125" s="4"/>
      <c r="C125" s="4"/>
      <c r="D125" s="4"/>
      <c r="E125" s="5"/>
      <c r="F125" s="4"/>
      <c r="G125" s="4"/>
      <c r="H125" s="33"/>
      <c r="I125" s="4"/>
      <c r="J125" s="4"/>
      <c r="K125" s="4"/>
      <c r="L125" s="4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29"/>
      <c r="AJ125" s="29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</row>
    <row r="126">
      <c r="A126" s="4"/>
      <c r="B126" s="4"/>
      <c r="C126" s="4"/>
      <c r="D126" s="4"/>
      <c r="E126" s="5"/>
      <c r="F126" s="4"/>
      <c r="G126" s="4"/>
      <c r="H126" s="33"/>
      <c r="I126" s="4"/>
      <c r="J126" s="4"/>
      <c r="K126" s="4"/>
      <c r="L126" s="4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29"/>
      <c r="AJ126" s="29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</row>
    <row r="127">
      <c r="A127" s="4"/>
      <c r="B127" s="4"/>
      <c r="C127" s="4"/>
      <c r="D127" s="4"/>
      <c r="E127" s="5"/>
      <c r="F127" s="4"/>
      <c r="G127" s="4"/>
      <c r="H127" s="33"/>
      <c r="I127" s="4"/>
      <c r="J127" s="4"/>
      <c r="K127" s="4"/>
      <c r="L127" s="4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29"/>
      <c r="AJ127" s="29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</row>
    <row r="128">
      <c r="A128" s="4"/>
      <c r="B128" s="4"/>
      <c r="C128" s="4"/>
      <c r="D128" s="4"/>
      <c r="E128" s="5"/>
      <c r="F128" s="4"/>
      <c r="G128" s="4"/>
      <c r="H128" s="33"/>
      <c r="I128" s="4"/>
      <c r="J128" s="4"/>
      <c r="K128" s="4"/>
      <c r="L128" s="4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29"/>
      <c r="AJ128" s="29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</row>
    <row r="129">
      <c r="A129" s="4"/>
      <c r="B129" s="4"/>
      <c r="C129" s="4"/>
      <c r="D129" s="4"/>
      <c r="E129" s="5"/>
      <c r="F129" s="4"/>
      <c r="G129" s="4"/>
      <c r="H129" s="33"/>
      <c r="I129" s="4"/>
      <c r="J129" s="4"/>
      <c r="K129" s="4"/>
      <c r="L129" s="4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29"/>
      <c r="AJ129" s="29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</row>
    <row r="130">
      <c r="A130" s="4"/>
      <c r="B130" s="4"/>
      <c r="C130" s="4"/>
      <c r="D130" s="4"/>
      <c r="E130" s="5"/>
      <c r="F130" s="4"/>
      <c r="G130" s="4"/>
      <c r="H130" s="33"/>
      <c r="I130" s="4"/>
      <c r="J130" s="4"/>
      <c r="K130" s="4"/>
      <c r="L130" s="4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29"/>
      <c r="AJ130" s="29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</row>
    <row r="131">
      <c r="A131" s="4"/>
      <c r="B131" s="4"/>
      <c r="C131" s="4"/>
      <c r="D131" s="4"/>
      <c r="E131" s="5"/>
      <c r="F131" s="4"/>
      <c r="G131" s="4"/>
      <c r="H131" s="33"/>
      <c r="I131" s="4"/>
      <c r="J131" s="4"/>
      <c r="K131" s="4"/>
      <c r="L131" s="4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29"/>
      <c r="AJ131" s="29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</row>
    <row r="132">
      <c r="A132" s="4"/>
      <c r="B132" s="4"/>
      <c r="C132" s="4"/>
      <c r="D132" s="4"/>
      <c r="E132" s="5"/>
      <c r="F132" s="4"/>
      <c r="G132" s="4"/>
      <c r="H132" s="33"/>
      <c r="I132" s="4"/>
      <c r="J132" s="4"/>
      <c r="K132" s="4"/>
      <c r="L132" s="4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29"/>
      <c r="AJ132" s="29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</row>
    <row r="133">
      <c r="A133" s="4"/>
      <c r="B133" s="4"/>
      <c r="C133" s="4"/>
      <c r="D133" s="4"/>
      <c r="E133" s="5"/>
      <c r="F133" s="4"/>
      <c r="G133" s="4"/>
      <c r="H133" s="33"/>
      <c r="I133" s="4"/>
      <c r="J133" s="4"/>
      <c r="K133" s="4"/>
      <c r="L133" s="4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29"/>
      <c r="AJ133" s="29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</row>
    <row r="134">
      <c r="A134" s="4"/>
      <c r="B134" s="4"/>
      <c r="C134" s="4"/>
      <c r="D134" s="4"/>
      <c r="E134" s="5"/>
      <c r="F134" s="4"/>
      <c r="G134" s="4"/>
      <c r="H134" s="33"/>
      <c r="I134" s="4"/>
      <c r="J134" s="4"/>
      <c r="K134" s="4"/>
      <c r="L134" s="4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29"/>
      <c r="AJ134" s="29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</row>
    <row r="135">
      <c r="A135" s="4"/>
      <c r="B135" s="4"/>
      <c r="C135" s="4"/>
      <c r="D135" s="4"/>
      <c r="E135" s="5"/>
      <c r="F135" s="4"/>
      <c r="G135" s="4"/>
      <c r="H135" s="33"/>
      <c r="I135" s="4"/>
      <c r="J135" s="4"/>
      <c r="K135" s="4"/>
      <c r="L135" s="4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29"/>
      <c r="AJ135" s="29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</row>
    <row r="136">
      <c r="A136" s="4"/>
      <c r="B136" s="4"/>
      <c r="C136" s="4"/>
      <c r="D136" s="4"/>
      <c r="E136" s="5"/>
      <c r="F136" s="4"/>
      <c r="G136" s="4"/>
      <c r="H136" s="33"/>
      <c r="I136" s="4"/>
      <c r="J136" s="4"/>
      <c r="K136" s="4"/>
      <c r="L136" s="4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29"/>
      <c r="AJ136" s="29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</row>
    <row r="137">
      <c r="A137" s="4"/>
      <c r="B137" s="4"/>
      <c r="C137" s="4"/>
      <c r="D137" s="4"/>
      <c r="E137" s="5"/>
      <c r="F137" s="4"/>
      <c r="G137" s="4"/>
      <c r="H137" s="33"/>
      <c r="I137" s="4"/>
      <c r="J137" s="4"/>
      <c r="K137" s="4"/>
      <c r="L137" s="4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29"/>
      <c r="AJ137" s="29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</row>
    <row r="138">
      <c r="A138" s="4"/>
      <c r="B138" s="4"/>
      <c r="C138" s="4"/>
      <c r="D138" s="4"/>
      <c r="E138" s="5"/>
      <c r="F138" s="4"/>
      <c r="G138" s="4"/>
      <c r="H138" s="33"/>
      <c r="I138" s="4"/>
      <c r="J138" s="4"/>
      <c r="K138" s="4"/>
      <c r="L138" s="4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29"/>
      <c r="AJ138" s="29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</row>
    <row r="139">
      <c r="A139" s="4"/>
      <c r="B139" s="4"/>
      <c r="C139" s="4"/>
      <c r="D139" s="4"/>
      <c r="E139" s="5"/>
      <c r="F139" s="4"/>
      <c r="G139" s="4"/>
      <c r="H139" s="33"/>
      <c r="I139" s="4"/>
      <c r="J139" s="4"/>
      <c r="K139" s="4"/>
      <c r="L139" s="4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29"/>
      <c r="AJ139" s="29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</row>
    <row r="140">
      <c r="A140" s="4"/>
      <c r="B140" s="4"/>
      <c r="C140" s="4"/>
      <c r="D140" s="4"/>
      <c r="E140" s="5"/>
      <c r="F140" s="4"/>
      <c r="G140" s="4"/>
      <c r="H140" s="33"/>
      <c r="I140" s="4"/>
      <c r="J140" s="4"/>
      <c r="K140" s="4"/>
      <c r="L140" s="4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29"/>
      <c r="AJ140" s="29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</row>
    <row r="141">
      <c r="A141" s="4"/>
      <c r="B141" s="4"/>
      <c r="C141" s="4"/>
      <c r="D141" s="4"/>
      <c r="E141" s="5"/>
      <c r="F141" s="4"/>
      <c r="G141" s="4"/>
      <c r="H141" s="33"/>
      <c r="I141" s="4"/>
      <c r="J141" s="4"/>
      <c r="K141" s="4"/>
      <c r="L141" s="4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29"/>
      <c r="AJ141" s="29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</row>
    <row r="142">
      <c r="A142" s="4"/>
      <c r="B142" s="4"/>
      <c r="C142" s="4"/>
      <c r="D142" s="4"/>
      <c r="E142" s="5"/>
      <c r="F142" s="4"/>
      <c r="G142" s="4"/>
      <c r="H142" s="33"/>
      <c r="I142" s="4"/>
      <c r="J142" s="4"/>
      <c r="K142" s="4"/>
      <c r="L142" s="4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29"/>
      <c r="AJ142" s="29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</row>
    <row r="143">
      <c r="A143" s="4"/>
      <c r="B143" s="4"/>
      <c r="C143" s="4"/>
      <c r="D143" s="4"/>
      <c r="E143" s="5"/>
      <c r="F143" s="4"/>
      <c r="G143" s="4"/>
      <c r="H143" s="33"/>
      <c r="I143" s="4"/>
      <c r="J143" s="4"/>
      <c r="K143" s="4"/>
      <c r="L143" s="4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29"/>
      <c r="AJ143" s="29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</row>
    <row r="144">
      <c r="A144" s="4"/>
      <c r="B144" s="4"/>
      <c r="C144" s="4"/>
      <c r="D144" s="4"/>
      <c r="E144" s="5"/>
      <c r="F144" s="4"/>
      <c r="G144" s="4"/>
      <c r="H144" s="33"/>
      <c r="I144" s="4"/>
      <c r="J144" s="4"/>
      <c r="K144" s="4"/>
      <c r="L144" s="4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29"/>
      <c r="AJ144" s="29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</row>
    <row r="145">
      <c r="A145" s="4"/>
      <c r="B145" s="4"/>
      <c r="C145" s="4"/>
      <c r="D145" s="4"/>
      <c r="E145" s="5"/>
      <c r="F145" s="4"/>
      <c r="G145" s="4"/>
      <c r="H145" s="33"/>
      <c r="I145" s="4"/>
      <c r="J145" s="4"/>
      <c r="K145" s="4"/>
      <c r="L145" s="4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29"/>
      <c r="AJ145" s="29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</row>
    <row r="146">
      <c r="A146" s="4"/>
      <c r="B146" s="4"/>
      <c r="C146" s="4"/>
      <c r="D146" s="4"/>
      <c r="E146" s="5"/>
      <c r="F146" s="4"/>
      <c r="G146" s="4"/>
      <c r="H146" s="33"/>
      <c r="I146" s="4"/>
      <c r="J146" s="4"/>
      <c r="K146" s="4"/>
      <c r="L146" s="4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29"/>
      <c r="AJ146" s="29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</row>
    <row r="147">
      <c r="A147" s="4"/>
      <c r="B147" s="4"/>
      <c r="C147" s="4"/>
      <c r="D147" s="4"/>
      <c r="E147" s="5"/>
      <c r="F147" s="4"/>
      <c r="G147" s="4"/>
      <c r="H147" s="33"/>
      <c r="I147" s="4"/>
      <c r="J147" s="4"/>
      <c r="K147" s="4"/>
      <c r="L147" s="4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29"/>
      <c r="AJ147" s="29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</row>
    <row r="148">
      <c r="A148" s="4"/>
      <c r="B148" s="4"/>
      <c r="C148" s="4"/>
      <c r="D148" s="4"/>
      <c r="E148" s="5"/>
      <c r="F148" s="4"/>
      <c r="G148" s="4"/>
      <c r="H148" s="33"/>
      <c r="I148" s="4"/>
      <c r="J148" s="4"/>
      <c r="K148" s="4"/>
      <c r="L148" s="4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29"/>
      <c r="AJ148" s="29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</row>
    <row r="149">
      <c r="A149" s="4"/>
      <c r="B149" s="4"/>
      <c r="C149" s="4"/>
      <c r="D149" s="4"/>
      <c r="E149" s="5"/>
      <c r="F149" s="4"/>
      <c r="G149" s="4"/>
      <c r="H149" s="33"/>
      <c r="I149" s="4"/>
      <c r="J149" s="4"/>
      <c r="K149" s="4"/>
      <c r="L149" s="4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29"/>
      <c r="AJ149" s="29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</row>
    <row r="150">
      <c r="A150" s="4"/>
      <c r="B150" s="4"/>
      <c r="C150" s="4"/>
      <c r="D150" s="4"/>
      <c r="E150" s="5"/>
      <c r="F150" s="4"/>
      <c r="G150" s="4"/>
      <c r="H150" s="33"/>
      <c r="I150" s="4"/>
      <c r="J150" s="4"/>
      <c r="K150" s="4"/>
      <c r="L150" s="4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29"/>
      <c r="AJ150" s="29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</row>
    <row r="151">
      <c r="A151" s="4"/>
      <c r="B151" s="4"/>
      <c r="C151" s="4"/>
      <c r="D151" s="4"/>
      <c r="E151" s="5"/>
      <c r="F151" s="4"/>
      <c r="G151" s="4"/>
      <c r="H151" s="33"/>
      <c r="I151" s="4"/>
      <c r="J151" s="4"/>
      <c r="K151" s="4"/>
      <c r="L151" s="4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29"/>
      <c r="AJ151" s="29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</row>
    <row r="152">
      <c r="A152" s="4"/>
      <c r="B152" s="4"/>
      <c r="C152" s="4"/>
      <c r="D152" s="4"/>
      <c r="E152" s="5"/>
      <c r="F152" s="4"/>
      <c r="G152" s="4"/>
      <c r="H152" s="33"/>
      <c r="I152" s="4"/>
      <c r="J152" s="4"/>
      <c r="K152" s="4"/>
      <c r="L152" s="4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29"/>
      <c r="AJ152" s="29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</row>
    <row r="153">
      <c r="A153" s="4"/>
      <c r="B153" s="4"/>
      <c r="C153" s="4"/>
      <c r="D153" s="4"/>
      <c r="E153" s="5"/>
      <c r="F153" s="4"/>
      <c r="G153" s="4"/>
      <c r="H153" s="33"/>
      <c r="I153" s="4"/>
      <c r="J153" s="4"/>
      <c r="K153" s="4"/>
      <c r="L153" s="4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29"/>
      <c r="AJ153" s="29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</row>
    <row r="154">
      <c r="A154" s="4"/>
      <c r="B154" s="4"/>
      <c r="C154" s="4"/>
      <c r="D154" s="4"/>
      <c r="E154" s="5"/>
      <c r="F154" s="4"/>
      <c r="G154" s="4"/>
      <c r="H154" s="33"/>
      <c r="I154" s="4"/>
      <c r="J154" s="4"/>
      <c r="K154" s="4"/>
      <c r="L154" s="4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29"/>
      <c r="AJ154" s="29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</row>
    <row r="155">
      <c r="A155" s="4"/>
      <c r="B155" s="4"/>
      <c r="C155" s="4"/>
      <c r="D155" s="4"/>
      <c r="E155" s="5"/>
      <c r="F155" s="4"/>
      <c r="G155" s="4"/>
      <c r="H155" s="33"/>
      <c r="I155" s="4"/>
      <c r="J155" s="4"/>
      <c r="K155" s="4"/>
      <c r="L155" s="4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29"/>
      <c r="AJ155" s="29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</row>
    <row r="156">
      <c r="A156" s="4"/>
      <c r="B156" s="4"/>
      <c r="C156" s="4"/>
      <c r="D156" s="4"/>
      <c r="E156" s="5"/>
      <c r="F156" s="4"/>
      <c r="G156" s="4"/>
      <c r="H156" s="33"/>
      <c r="I156" s="4"/>
      <c r="J156" s="4"/>
      <c r="K156" s="4"/>
      <c r="L156" s="4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29"/>
      <c r="AJ156" s="29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</row>
    <row r="157">
      <c r="A157" s="4"/>
      <c r="B157" s="4"/>
      <c r="C157" s="4"/>
      <c r="D157" s="4"/>
      <c r="E157" s="5"/>
      <c r="F157" s="4"/>
      <c r="G157" s="4"/>
      <c r="H157" s="33"/>
      <c r="I157" s="4"/>
      <c r="J157" s="4"/>
      <c r="K157" s="4"/>
      <c r="L157" s="4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29"/>
      <c r="AJ157" s="29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</row>
    <row r="158">
      <c r="A158" s="4"/>
      <c r="B158" s="4"/>
      <c r="C158" s="4"/>
      <c r="D158" s="4"/>
      <c r="E158" s="5"/>
      <c r="F158" s="4"/>
      <c r="G158" s="4"/>
      <c r="H158" s="33"/>
      <c r="I158" s="4"/>
      <c r="J158" s="4"/>
      <c r="K158" s="4"/>
      <c r="L158" s="4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29"/>
      <c r="AJ158" s="29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</row>
    <row r="159">
      <c r="A159" s="4"/>
      <c r="B159" s="4"/>
      <c r="C159" s="4"/>
      <c r="D159" s="4"/>
      <c r="E159" s="5"/>
      <c r="F159" s="4"/>
      <c r="G159" s="4"/>
      <c r="H159" s="33"/>
      <c r="I159" s="4"/>
      <c r="J159" s="4"/>
      <c r="K159" s="4"/>
      <c r="L159" s="4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29"/>
      <c r="AJ159" s="29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</row>
    <row r="160">
      <c r="A160" s="4"/>
      <c r="B160" s="4"/>
      <c r="C160" s="4"/>
      <c r="D160" s="4"/>
      <c r="E160" s="5"/>
      <c r="F160" s="4"/>
      <c r="G160" s="4"/>
      <c r="H160" s="33"/>
      <c r="I160" s="4"/>
      <c r="J160" s="4"/>
      <c r="K160" s="4"/>
      <c r="L160" s="4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29"/>
      <c r="AJ160" s="29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</row>
    <row r="161">
      <c r="A161" s="4"/>
      <c r="B161" s="4"/>
      <c r="C161" s="4"/>
      <c r="D161" s="4"/>
      <c r="E161" s="5"/>
      <c r="F161" s="4"/>
      <c r="G161" s="4"/>
      <c r="H161" s="33"/>
      <c r="I161" s="4"/>
      <c r="J161" s="4"/>
      <c r="K161" s="4"/>
      <c r="L161" s="4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29"/>
      <c r="AJ161" s="29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</row>
    <row r="162">
      <c r="A162" s="4"/>
      <c r="B162" s="4"/>
      <c r="C162" s="4"/>
      <c r="D162" s="4"/>
      <c r="E162" s="5"/>
      <c r="F162" s="4"/>
      <c r="G162" s="4"/>
      <c r="H162" s="33"/>
      <c r="I162" s="4"/>
      <c r="J162" s="4"/>
      <c r="K162" s="4"/>
      <c r="L162" s="4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29"/>
      <c r="AJ162" s="29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</row>
    <row r="163">
      <c r="A163" s="4"/>
      <c r="B163" s="4"/>
      <c r="C163" s="4"/>
      <c r="D163" s="4"/>
      <c r="E163" s="5"/>
      <c r="F163" s="4"/>
      <c r="G163" s="4"/>
      <c r="H163" s="33"/>
      <c r="I163" s="4"/>
      <c r="J163" s="4"/>
      <c r="K163" s="4"/>
      <c r="L163" s="4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29"/>
      <c r="AJ163" s="29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</row>
    <row r="164">
      <c r="A164" s="4"/>
      <c r="B164" s="4"/>
      <c r="C164" s="4"/>
      <c r="D164" s="4"/>
      <c r="E164" s="5"/>
      <c r="F164" s="4"/>
      <c r="G164" s="4"/>
      <c r="H164" s="33"/>
      <c r="I164" s="4"/>
      <c r="J164" s="4"/>
      <c r="K164" s="4"/>
      <c r="L164" s="4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29"/>
      <c r="AJ164" s="29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</row>
    <row r="165">
      <c r="A165" s="4"/>
      <c r="B165" s="4"/>
      <c r="C165" s="4"/>
      <c r="D165" s="4"/>
      <c r="E165" s="5"/>
      <c r="F165" s="4"/>
      <c r="G165" s="4"/>
      <c r="H165" s="33"/>
      <c r="I165" s="4"/>
      <c r="J165" s="4"/>
      <c r="K165" s="4"/>
      <c r="L165" s="4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29"/>
      <c r="AJ165" s="29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</row>
    <row r="166">
      <c r="A166" s="4"/>
      <c r="B166" s="4"/>
      <c r="C166" s="4"/>
      <c r="D166" s="4"/>
      <c r="E166" s="5"/>
      <c r="F166" s="4"/>
      <c r="G166" s="4"/>
      <c r="H166" s="33"/>
      <c r="I166" s="4"/>
      <c r="J166" s="4"/>
      <c r="K166" s="4"/>
      <c r="L166" s="4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29"/>
      <c r="AJ166" s="29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</row>
    <row r="167">
      <c r="A167" s="4"/>
      <c r="B167" s="4"/>
      <c r="C167" s="4"/>
      <c r="D167" s="4"/>
      <c r="E167" s="5"/>
      <c r="F167" s="4"/>
      <c r="G167" s="4"/>
      <c r="H167" s="33"/>
      <c r="I167" s="4"/>
      <c r="J167" s="4"/>
      <c r="K167" s="4"/>
      <c r="L167" s="4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29"/>
      <c r="AJ167" s="29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</row>
    <row r="168">
      <c r="A168" s="4"/>
      <c r="B168" s="4"/>
      <c r="C168" s="4"/>
      <c r="D168" s="4"/>
      <c r="E168" s="5"/>
      <c r="F168" s="4"/>
      <c r="G168" s="4"/>
      <c r="H168" s="33"/>
      <c r="I168" s="4"/>
      <c r="J168" s="4"/>
      <c r="K168" s="4"/>
      <c r="L168" s="4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29"/>
      <c r="AJ168" s="29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</row>
    <row r="169">
      <c r="A169" s="4"/>
      <c r="B169" s="4"/>
      <c r="C169" s="4"/>
      <c r="D169" s="4"/>
      <c r="E169" s="5"/>
      <c r="F169" s="4"/>
      <c r="G169" s="4"/>
      <c r="H169" s="33"/>
      <c r="I169" s="4"/>
      <c r="J169" s="4"/>
      <c r="K169" s="4"/>
      <c r="L169" s="4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29"/>
      <c r="AJ169" s="29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</row>
    <row r="170">
      <c r="A170" s="4"/>
      <c r="B170" s="4"/>
      <c r="C170" s="4"/>
      <c r="D170" s="4"/>
      <c r="E170" s="5"/>
      <c r="F170" s="4"/>
      <c r="G170" s="4"/>
      <c r="H170" s="33"/>
      <c r="I170" s="4"/>
      <c r="J170" s="4"/>
      <c r="K170" s="4"/>
      <c r="L170" s="4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29"/>
      <c r="AJ170" s="29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</row>
    <row r="171">
      <c r="A171" s="4"/>
      <c r="B171" s="4"/>
      <c r="C171" s="4"/>
      <c r="D171" s="4"/>
      <c r="E171" s="5"/>
      <c r="F171" s="4"/>
      <c r="G171" s="4"/>
      <c r="H171" s="33"/>
      <c r="I171" s="4"/>
      <c r="J171" s="4"/>
      <c r="K171" s="4"/>
      <c r="L171" s="4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29"/>
      <c r="AJ171" s="29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</row>
    <row r="172">
      <c r="A172" s="4"/>
      <c r="B172" s="4"/>
      <c r="C172" s="4"/>
      <c r="D172" s="4"/>
      <c r="E172" s="5"/>
      <c r="F172" s="4"/>
      <c r="G172" s="4"/>
      <c r="H172" s="33"/>
      <c r="I172" s="4"/>
      <c r="J172" s="4"/>
      <c r="K172" s="4"/>
      <c r="L172" s="4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29"/>
      <c r="AJ172" s="29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</row>
    <row r="173">
      <c r="A173" s="4"/>
      <c r="B173" s="4"/>
      <c r="C173" s="4"/>
      <c r="D173" s="4"/>
      <c r="E173" s="5"/>
      <c r="F173" s="4"/>
      <c r="G173" s="4"/>
      <c r="H173" s="33"/>
      <c r="I173" s="4"/>
      <c r="J173" s="4"/>
      <c r="K173" s="4"/>
      <c r="L173" s="4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29"/>
      <c r="AJ173" s="29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</row>
    <row r="174">
      <c r="A174" s="4"/>
      <c r="B174" s="4"/>
      <c r="C174" s="4"/>
      <c r="D174" s="4"/>
      <c r="E174" s="5"/>
      <c r="F174" s="4"/>
      <c r="G174" s="4"/>
      <c r="H174" s="33"/>
      <c r="I174" s="4"/>
      <c r="J174" s="4"/>
      <c r="K174" s="4"/>
      <c r="L174" s="4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29"/>
      <c r="AJ174" s="29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</row>
    <row r="175">
      <c r="A175" s="4"/>
      <c r="B175" s="4"/>
      <c r="C175" s="4"/>
      <c r="D175" s="4"/>
      <c r="E175" s="5"/>
      <c r="F175" s="4"/>
      <c r="G175" s="4"/>
      <c r="H175" s="33"/>
      <c r="I175" s="4"/>
      <c r="J175" s="4"/>
      <c r="K175" s="4"/>
      <c r="L175" s="4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29"/>
      <c r="AJ175" s="29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</row>
    <row r="176">
      <c r="A176" s="4"/>
      <c r="B176" s="4"/>
      <c r="C176" s="4"/>
      <c r="D176" s="4"/>
      <c r="E176" s="5"/>
      <c r="F176" s="4"/>
      <c r="G176" s="4"/>
      <c r="H176" s="33"/>
      <c r="I176" s="4"/>
      <c r="J176" s="4"/>
      <c r="K176" s="4"/>
      <c r="L176" s="4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29"/>
      <c r="AJ176" s="29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</row>
    <row r="177">
      <c r="A177" s="4"/>
      <c r="B177" s="4"/>
      <c r="C177" s="4"/>
      <c r="D177" s="4"/>
      <c r="E177" s="5"/>
      <c r="F177" s="4"/>
      <c r="G177" s="4"/>
      <c r="H177" s="33"/>
      <c r="I177" s="4"/>
      <c r="J177" s="4"/>
      <c r="K177" s="4"/>
      <c r="L177" s="4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29"/>
      <c r="AJ177" s="29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</row>
    <row r="178">
      <c r="A178" s="4"/>
      <c r="B178" s="4"/>
      <c r="C178" s="4"/>
      <c r="D178" s="4"/>
      <c r="E178" s="5"/>
      <c r="F178" s="4"/>
      <c r="G178" s="4"/>
      <c r="H178" s="33"/>
      <c r="I178" s="4"/>
      <c r="J178" s="4"/>
      <c r="K178" s="4"/>
      <c r="L178" s="4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29"/>
      <c r="AJ178" s="29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</row>
    <row r="179">
      <c r="A179" s="4"/>
      <c r="B179" s="4"/>
      <c r="C179" s="4"/>
      <c r="D179" s="4"/>
      <c r="E179" s="5"/>
      <c r="F179" s="4"/>
      <c r="G179" s="4"/>
      <c r="H179" s="33"/>
      <c r="I179" s="4"/>
      <c r="J179" s="4"/>
      <c r="K179" s="4"/>
      <c r="L179" s="4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29"/>
      <c r="AJ179" s="29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</row>
    <row r="180">
      <c r="A180" s="4"/>
      <c r="B180" s="4"/>
      <c r="C180" s="4"/>
      <c r="D180" s="4"/>
      <c r="E180" s="5"/>
      <c r="F180" s="4"/>
      <c r="G180" s="4"/>
      <c r="H180" s="33"/>
      <c r="I180" s="4"/>
      <c r="J180" s="4"/>
      <c r="K180" s="4"/>
      <c r="L180" s="4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29"/>
      <c r="AJ180" s="29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</row>
    <row r="181">
      <c r="A181" s="4"/>
      <c r="B181" s="4"/>
      <c r="C181" s="4"/>
      <c r="D181" s="4"/>
      <c r="E181" s="5"/>
      <c r="F181" s="4"/>
      <c r="G181" s="4"/>
      <c r="H181" s="33"/>
      <c r="I181" s="4"/>
      <c r="J181" s="4"/>
      <c r="K181" s="4"/>
      <c r="L181" s="4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29"/>
      <c r="AJ181" s="29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</row>
    <row r="182">
      <c r="A182" s="4"/>
      <c r="B182" s="4"/>
      <c r="C182" s="4"/>
      <c r="D182" s="4"/>
      <c r="E182" s="5"/>
      <c r="F182" s="4"/>
      <c r="G182" s="4"/>
      <c r="H182" s="33"/>
      <c r="I182" s="4"/>
      <c r="J182" s="4"/>
      <c r="K182" s="4"/>
      <c r="L182" s="4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29"/>
      <c r="AJ182" s="29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</row>
    <row r="183">
      <c r="A183" s="4"/>
      <c r="B183" s="4"/>
      <c r="C183" s="4"/>
      <c r="D183" s="4"/>
      <c r="E183" s="5"/>
      <c r="F183" s="4"/>
      <c r="G183" s="4"/>
      <c r="H183" s="33"/>
      <c r="I183" s="4"/>
      <c r="J183" s="4"/>
      <c r="K183" s="4"/>
      <c r="L183" s="4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29"/>
      <c r="AJ183" s="29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</row>
    <row r="184">
      <c r="A184" s="4"/>
      <c r="B184" s="4"/>
      <c r="C184" s="4"/>
      <c r="D184" s="4"/>
      <c r="E184" s="5"/>
      <c r="F184" s="4"/>
      <c r="G184" s="4"/>
      <c r="H184" s="33"/>
      <c r="I184" s="4"/>
      <c r="J184" s="4"/>
      <c r="K184" s="4"/>
      <c r="L184" s="4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29"/>
      <c r="AJ184" s="29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</row>
    <row r="185">
      <c r="A185" s="4"/>
      <c r="B185" s="4"/>
      <c r="C185" s="4"/>
      <c r="D185" s="4"/>
      <c r="E185" s="5"/>
      <c r="F185" s="4"/>
      <c r="G185" s="4"/>
      <c r="H185" s="33"/>
      <c r="I185" s="4"/>
      <c r="J185" s="4"/>
      <c r="K185" s="4"/>
      <c r="L185" s="4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29"/>
      <c r="AJ185" s="29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</row>
    <row r="186">
      <c r="A186" s="4"/>
      <c r="B186" s="4"/>
      <c r="C186" s="4"/>
      <c r="D186" s="4"/>
      <c r="E186" s="5"/>
      <c r="F186" s="4"/>
      <c r="G186" s="4"/>
      <c r="H186" s="33"/>
      <c r="I186" s="4"/>
      <c r="J186" s="4"/>
      <c r="K186" s="4"/>
      <c r="L186" s="4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29"/>
      <c r="AJ186" s="29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</row>
    <row r="187">
      <c r="A187" s="4"/>
      <c r="B187" s="4"/>
      <c r="C187" s="4"/>
      <c r="D187" s="4"/>
      <c r="E187" s="5"/>
      <c r="F187" s="4"/>
      <c r="G187" s="4"/>
      <c r="H187" s="33"/>
      <c r="I187" s="4"/>
      <c r="J187" s="4"/>
      <c r="K187" s="4"/>
      <c r="L187" s="4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29"/>
      <c r="AJ187" s="29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</row>
    <row r="188">
      <c r="A188" s="4"/>
      <c r="B188" s="4"/>
      <c r="C188" s="4"/>
      <c r="D188" s="4"/>
      <c r="E188" s="5"/>
      <c r="F188" s="4"/>
      <c r="G188" s="4"/>
      <c r="H188" s="33"/>
      <c r="I188" s="4"/>
      <c r="J188" s="4"/>
      <c r="K188" s="4"/>
      <c r="L188" s="4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29"/>
      <c r="AJ188" s="29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</row>
    <row r="189">
      <c r="A189" s="4"/>
      <c r="B189" s="4"/>
      <c r="C189" s="4"/>
      <c r="D189" s="4"/>
      <c r="E189" s="5"/>
      <c r="F189" s="4"/>
      <c r="G189" s="4"/>
      <c r="H189" s="33"/>
      <c r="I189" s="4"/>
      <c r="J189" s="4"/>
      <c r="K189" s="4"/>
      <c r="L189" s="4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29"/>
      <c r="AJ189" s="29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</row>
    <row r="190">
      <c r="A190" s="4"/>
      <c r="B190" s="4"/>
      <c r="C190" s="4"/>
      <c r="D190" s="4"/>
      <c r="E190" s="5"/>
      <c r="F190" s="4"/>
      <c r="G190" s="4"/>
      <c r="H190" s="33"/>
      <c r="I190" s="4"/>
      <c r="J190" s="4"/>
      <c r="K190" s="4"/>
      <c r="L190" s="4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29"/>
      <c r="AJ190" s="29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</row>
    <row r="191">
      <c r="A191" s="4"/>
      <c r="B191" s="4"/>
      <c r="C191" s="4"/>
      <c r="D191" s="4"/>
      <c r="E191" s="5"/>
      <c r="F191" s="4"/>
      <c r="G191" s="4"/>
      <c r="H191" s="33"/>
      <c r="I191" s="4"/>
      <c r="J191" s="4"/>
      <c r="K191" s="4"/>
      <c r="L191" s="4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29"/>
      <c r="AJ191" s="29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</row>
    <row r="192">
      <c r="A192" s="4"/>
      <c r="B192" s="4"/>
      <c r="C192" s="4"/>
      <c r="D192" s="4"/>
      <c r="E192" s="5"/>
      <c r="F192" s="4"/>
      <c r="G192" s="4"/>
      <c r="H192" s="33"/>
      <c r="I192" s="4"/>
      <c r="J192" s="4"/>
      <c r="K192" s="4"/>
      <c r="L192" s="4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29"/>
      <c r="AJ192" s="29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</row>
    <row r="193">
      <c r="A193" s="4"/>
      <c r="B193" s="4"/>
      <c r="C193" s="4"/>
      <c r="D193" s="4"/>
      <c r="E193" s="5"/>
      <c r="F193" s="4"/>
      <c r="G193" s="4"/>
      <c r="H193" s="33"/>
      <c r="I193" s="4"/>
      <c r="J193" s="4"/>
      <c r="K193" s="4"/>
      <c r="L193" s="4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29"/>
      <c r="AJ193" s="29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</row>
    <row r="194">
      <c r="A194" s="4"/>
      <c r="B194" s="4"/>
      <c r="C194" s="4"/>
      <c r="D194" s="4"/>
      <c r="E194" s="5"/>
      <c r="F194" s="4"/>
      <c r="G194" s="4"/>
      <c r="H194" s="33"/>
      <c r="I194" s="4"/>
      <c r="J194" s="4"/>
      <c r="K194" s="4"/>
      <c r="L194" s="4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29"/>
      <c r="AJ194" s="29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</row>
    <row r="195">
      <c r="A195" s="4"/>
      <c r="B195" s="4"/>
      <c r="C195" s="4"/>
      <c r="D195" s="4"/>
      <c r="E195" s="5"/>
      <c r="F195" s="4"/>
      <c r="G195" s="4"/>
      <c r="H195" s="33"/>
      <c r="I195" s="4"/>
      <c r="J195" s="4"/>
      <c r="K195" s="4"/>
      <c r="L195" s="4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29"/>
      <c r="AJ195" s="29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</row>
    <row r="196">
      <c r="A196" s="4"/>
      <c r="B196" s="4"/>
      <c r="C196" s="4"/>
      <c r="D196" s="4"/>
      <c r="E196" s="5"/>
      <c r="F196" s="4"/>
      <c r="G196" s="4"/>
      <c r="H196" s="33"/>
      <c r="I196" s="4"/>
      <c r="J196" s="4"/>
      <c r="K196" s="4"/>
      <c r="L196" s="4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29"/>
      <c r="AJ196" s="29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</row>
    <row r="197">
      <c r="A197" s="4"/>
      <c r="B197" s="4"/>
      <c r="C197" s="4"/>
      <c r="D197" s="4"/>
      <c r="E197" s="5"/>
      <c r="F197" s="4"/>
      <c r="G197" s="4"/>
      <c r="H197" s="33"/>
      <c r="I197" s="4"/>
      <c r="J197" s="4"/>
      <c r="K197" s="4"/>
      <c r="L197" s="4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29"/>
      <c r="AJ197" s="29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</row>
    <row r="198">
      <c r="A198" s="4"/>
      <c r="B198" s="4"/>
      <c r="C198" s="4"/>
      <c r="D198" s="4"/>
      <c r="E198" s="5"/>
      <c r="F198" s="4"/>
      <c r="G198" s="4"/>
      <c r="H198" s="33"/>
      <c r="I198" s="4"/>
      <c r="J198" s="4"/>
      <c r="K198" s="4"/>
      <c r="L198" s="4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29"/>
      <c r="AJ198" s="29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</row>
    <row r="199">
      <c r="A199" s="4"/>
      <c r="B199" s="4"/>
      <c r="C199" s="4"/>
      <c r="D199" s="4"/>
      <c r="E199" s="5"/>
      <c r="F199" s="4"/>
      <c r="G199" s="4"/>
      <c r="H199" s="33"/>
      <c r="I199" s="4"/>
      <c r="J199" s="4"/>
      <c r="K199" s="4"/>
      <c r="L199" s="4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29"/>
      <c r="AJ199" s="29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</row>
    <row r="200">
      <c r="A200" s="4"/>
      <c r="B200" s="4"/>
      <c r="C200" s="4"/>
      <c r="D200" s="4"/>
      <c r="E200" s="5"/>
      <c r="F200" s="4"/>
      <c r="G200" s="4"/>
      <c r="H200" s="33"/>
      <c r="I200" s="4"/>
      <c r="J200" s="4"/>
      <c r="K200" s="4"/>
      <c r="L200" s="4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29"/>
      <c r="AJ200" s="29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</row>
    <row r="201">
      <c r="A201" s="4"/>
      <c r="B201" s="4"/>
      <c r="C201" s="4"/>
      <c r="D201" s="4"/>
      <c r="E201" s="5"/>
      <c r="F201" s="4"/>
      <c r="G201" s="4"/>
      <c r="H201" s="33"/>
      <c r="I201" s="4"/>
      <c r="J201" s="4"/>
      <c r="K201" s="4"/>
      <c r="L201" s="4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29"/>
      <c r="AJ201" s="29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</row>
    <row r="202">
      <c r="A202" s="4"/>
      <c r="B202" s="4"/>
      <c r="C202" s="4"/>
      <c r="D202" s="4"/>
      <c r="E202" s="5"/>
      <c r="F202" s="4"/>
      <c r="G202" s="4"/>
      <c r="H202" s="33"/>
      <c r="I202" s="4"/>
      <c r="J202" s="4"/>
      <c r="K202" s="4"/>
      <c r="L202" s="4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29"/>
      <c r="AJ202" s="29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</row>
    <row r="203">
      <c r="A203" s="4"/>
      <c r="B203" s="4"/>
      <c r="C203" s="4"/>
      <c r="D203" s="4"/>
      <c r="E203" s="5"/>
      <c r="F203" s="4"/>
      <c r="G203" s="4"/>
      <c r="H203" s="33"/>
      <c r="I203" s="4"/>
      <c r="J203" s="4"/>
      <c r="K203" s="4"/>
      <c r="L203" s="4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29"/>
      <c r="AJ203" s="29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</row>
    <row r="204">
      <c r="A204" s="4"/>
      <c r="B204" s="4"/>
      <c r="C204" s="4"/>
      <c r="D204" s="4"/>
      <c r="E204" s="5"/>
      <c r="F204" s="4"/>
      <c r="G204" s="4"/>
      <c r="H204" s="33"/>
      <c r="I204" s="4"/>
      <c r="J204" s="4"/>
      <c r="K204" s="4"/>
      <c r="L204" s="4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29"/>
      <c r="AJ204" s="29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</row>
    <row r="205">
      <c r="A205" s="4"/>
      <c r="B205" s="4"/>
      <c r="C205" s="4"/>
      <c r="D205" s="4"/>
      <c r="E205" s="5"/>
      <c r="F205" s="4"/>
      <c r="G205" s="4"/>
      <c r="H205" s="33"/>
      <c r="I205" s="4"/>
      <c r="J205" s="4"/>
      <c r="K205" s="4"/>
      <c r="L205" s="4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29"/>
      <c r="AJ205" s="29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</row>
    <row r="206">
      <c r="A206" s="4"/>
      <c r="B206" s="4"/>
      <c r="C206" s="4"/>
      <c r="D206" s="4"/>
      <c r="E206" s="5"/>
      <c r="F206" s="4"/>
      <c r="G206" s="4"/>
      <c r="H206" s="33"/>
      <c r="I206" s="4"/>
      <c r="J206" s="4"/>
      <c r="K206" s="4"/>
      <c r="L206" s="4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29"/>
      <c r="AJ206" s="29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</row>
    <row r="207">
      <c r="A207" s="4"/>
      <c r="B207" s="4"/>
      <c r="C207" s="4"/>
      <c r="D207" s="4"/>
      <c r="E207" s="5"/>
      <c r="F207" s="4"/>
      <c r="G207" s="4"/>
      <c r="H207" s="33"/>
      <c r="I207" s="4"/>
      <c r="J207" s="4"/>
      <c r="K207" s="4"/>
      <c r="L207" s="4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29"/>
      <c r="AJ207" s="29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</row>
    <row r="208">
      <c r="A208" s="4"/>
      <c r="B208" s="4"/>
      <c r="C208" s="4"/>
      <c r="D208" s="4"/>
      <c r="E208" s="5"/>
      <c r="F208" s="4"/>
      <c r="G208" s="4"/>
      <c r="H208" s="33"/>
      <c r="I208" s="4"/>
      <c r="J208" s="4"/>
      <c r="K208" s="4"/>
      <c r="L208" s="4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29"/>
      <c r="AJ208" s="29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</row>
    <row r="209">
      <c r="A209" s="4"/>
      <c r="B209" s="4"/>
      <c r="C209" s="4"/>
      <c r="D209" s="4"/>
      <c r="E209" s="5"/>
      <c r="F209" s="4"/>
      <c r="G209" s="4"/>
      <c r="H209" s="33"/>
      <c r="I209" s="4"/>
      <c r="J209" s="4"/>
      <c r="K209" s="4"/>
      <c r="L209" s="4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29"/>
      <c r="AJ209" s="29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</row>
    <row r="210">
      <c r="A210" s="4"/>
      <c r="B210" s="4"/>
      <c r="C210" s="4"/>
      <c r="D210" s="4"/>
      <c r="E210" s="5"/>
      <c r="F210" s="4"/>
      <c r="G210" s="4"/>
      <c r="H210" s="33"/>
      <c r="I210" s="4"/>
      <c r="J210" s="4"/>
      <c r="K210" s="4"/>
      <c r="L210" s="4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29"/>
      <c r="AJ210" s="29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</row>
    <row r="211">
      <c r="A211" s="4"/>
      <c r="B211" s="4"/>
      <c r="C211" s="4"/>
      <c r="D211" s="4"/>
      <c r="E211" s="5"/>
      <c r="F211" s="4"/>
      <c r="G211" s="4"/>
      <c r="H211" s="33"/>
      <c r="I211" s="4"/>
      <c r="J211" s="4"/>
      <c r="K211" s="4"/>
      <c r="L211" s="4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29"/>
      <c r="AJ211" s="29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</row>
    <row r="212">
      <c r="A212" s="4"/>
      <c r="B212" s="4"/>
      <c r="C212" s="4"/>
      <c r="D212" s="4"/>
      <c r="E212" s="5"/>
      <c r="F212" s="4"/>
      <c r="G212" s="4"/>
      <c r="H212" s="33"/>
      <c r="I212" s="4"/>
      <c r="J212" s="4"/>
      <c r="K212" s="4"/>
      <c r="L212" s="4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29"/>
      <c r="AJ212" s="29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</row>
    <row r="213">
      <c r="A213" s="4"/>
      <c r="B213" s="4"/>
      <c r="C213" s="4"/>
      <c r="D213" s="4"/>
      <c r="E213" s="5"/>
      <c r="F213" s="4"/>
      <c r="G213" s="4"/>
      <c r="H213" s="33"/>
      <c r="I213" s="4"/>
      <c r="J213" s="4"/>
      <c r="K213" s="4"/>
      <c r="L213" s="4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29"/>
      <c r="AJ213" s="29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</row>
    <row r="214">
      <c r="A214" s="4"/>
      <c r="B214" s="4"/>
      <c r="C214" s="4"/>
      <c r="D214" s="4"/>
      <c r="E214" s="5"/>
      <c r="F214" s="4"/>
      <c r="G214" s="4"/>
      <c r="H214" s="33"/>
      <c r="I214" s="4"/>
      <c r="J214" s="4"/>
      <c r="K214" s="4"/>
      <c r="L214" s="4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29"/>
      <c r="AJ214" s="29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</row>
    <row r="215">
      <c r="A215" s="4"/>
      <c r="B215" s="4"/>
      <c r="C215" s="4"/>
      <c r="D215" s="4"/>
      <c r="E215" s="5"/>
      <c r="F215" s="4"/>
      <c r="G215" s="4"/>
      <c r="H215" s="33"/>
      <c r="I215" s="4"/>
      <c r="J215" s="4"/>
      <c r="K215" s="4"/>
      <c r="L215" s="4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29"/>
      <c r="AJ215" s="29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</row>
    <row r="216">
      <c r="A216" s="4"/>
      <c r="B216" s="4"/>
      <c r="C216" s="4"/>
      <c r="D216" s="4"/>
      <c r="E216" s="5"/>
      <c r="F216" s="4"/>
      <c r="G216" s="4"/>
      <c r="H216" s="33"/>
      <c r="I216" s="4"/>
      <c r="J216" s="4"/>
      <c r="K216" s="4"/>
      <c r="L216" s="4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29"/>
      <c r="AJ216" s="29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</row>
    <row r="217">
      <c r="A217" s="4"/>
      <c r="B217" s="4"/>
      <c r="C217" s="4"/>
      <c r="D217" s="4"/>
      <c r="E217" s="5"/>
      <c r="F217" s="4"/>
      <c r="G217" s="4"/>
      <c r="H217" s="33"/>
      <c r="I217" s="4"/>
      <c r="J217" s="4"/>
      <c r="K217" s="4"/>
      <c r="L217" s="4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29"/>
      <c r="AJ217" s="29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</row>
    <row r="218">
      <c r="A218" s="4"/>
      <c r="B218" s="4"/>
      <c r="C218" s="4"/>
      <c r="D218" s="4"/>
      <c r="E218" s="5"/>
      <c r="F218" s="4"/>
      <c r="G218" s="4"/>
      <c r="H218" s="33"/>
      <c r="I218" s="4"/>
      <c r="J218" s="4"/>
      <c r="K218" s="4"/>
      <c r="L218" s="4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29"/>
      <c r="AJ218" s="29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</row>
    <row r="219">
      <c r="A219" s="4"/>
      <c r="B219" s="4"/>
      <c r="C219" s="4"/>
      <c r="D219" s="4"/>
      <c r="E219" s="5"/>
      <c r="F219" s="4"/>
      <c r="G219" s="4"/>
      <c r="H219" s="33"/>
      <c r="I219" s="4"/>
      <c r="J219" s="4"/>
      <c r="K219" s="4"/>
      <c r="L219" s="4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29"/>
      <c r="AJ219" s="29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</row>
    <row r="220">
      <c r="A220" s="4"/>
      <c r="B220" s="4"/>
      <c r="C220" s="4"/>
      <c r="D220" s="4"/>
      <c r="E220" s="5"/>
      <c r="F220" s="4"/>
      <c r="G220" s="4"/>
      <c r="H220" s="33"/>
      <c r="I220" s="4"/>
      <c r="J220" s="4"/>
      <c r="K220" s="4"/>
      <c r="L220" s="4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29"/>
      <c r="AJ220" s="29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</row>
    <row r="221">
      <c r="A221" s="4"/>
      <c r="B221" s="4"/>
      <c r="C221" s="4"/>
      <c r="D221" s="4"/>
      <c r="E221" s="5"/>
      <c r="F221" s="4"/>
      <c r="G221" s="4"/>
      <c r="H221" s="33"/>
      <c r="I221" s="4"/>
      <c r="J221" s="4"/>
      <c r="K221" s="4"/>
      <c r="L221" s="4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29"/>
      <c r="AJ221" s="29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</row>
    <row r="222">
      <c r="A222" s="4"/>
      <c r="B222" s="4"/>
      <c r="C222" s="4"/>
      <c r="D222" s="4"/>
      <c r="E222" s="5"/>
      <c r="F222" s="4"/>
      <c r="G222" s="4"/>
      <c r="H222" s="33"/>
      <c r="I222" s="4"/>
      <c r="J222" s="4"/>
      <c r="K222" s="4"/>
      <c r="L222" s="4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29"/>
      <c r="AJ222" s="29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</row>
    <row r="223">
      <c r="A223" s="4"/>
      <c r="B223" s="4"/>
      <c r="C223" s="4"/>
      <c r="D223" s="4"/>
      <c r="E223" s="5"/>
      <c r="F223" s="4"/>
      <c r="G223" s="4"/>
      <c r="H223" s="33"/>
      <c r="I223" s="4"/>
      <c r="J223" s="4"/>
      <c r="K223" s="4"/>
      <c r="L223" s="4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29"/>
      <c r="AJ223" s="29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</row>
    <row r="224">
      <c r="A224" s="4"/>
      <c r="B224" s="4"/>
      <c r="C224" s="4"/>
      <c r="D224" s="4"/>
      <c r="E224" s="5"/>
      <c r="F224" s="4"/>
      <c r="G224" s="4"/>
      <c r="H224" s="33"/>
      <c r="I224" s="4"/>
      <c r="J224" s="4"/>
      <c r="K224" s="4"/>
      <c r="L224" s="4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29"/>
      <c r="AJ224" s="29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</row>
    <row r="225">
      <c r="A225" s="4"/>
      <c r="B225" s="4"/>
      <c r="C225" s="4"/>
      <c r="D225" s="4"/>
      <c r="E225" s="5"/>
      <c r="F225" s="4"/>
      <c r="G225" s="4"/>
      <c r="H225" s="33"/>
      <c r="I225" s="4"/>
      <c r="J225" s="4"/>
      <c r="K225" s="4"/>
      <c r="L225" s="4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29"/>
      <c r="AJ225" s="29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</row>
    <row r="226">
      <c r="A226" s="4"/>
      <c r="B226" s="4"/>
      <c r="C226" s="4"/>
      <c r="D226" s="4"/>
      <c r="E226" s="5"/>
      <c r="F226" s="4"/>
      <c r="G226" s="4"/>
      <c r="H226" s="33"/>
      <c r="I226" s="4"/>
      <c r="J226" s="4"/>
      <c r="K226" s="4"/>
      <c r="L226" s="4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29"/>
      <c r="AJ226" s="29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</row>
    <row r="227">
      <c r="A227" s="4"/>
      <c r="B227" s="4"/>
      <c r="C227" s="4"/>
      <c r="D227" s="4"/>
      <c r="E227" s="5"/>
      <c r="F227" s="4"/>
      <c r="G227" s="4"/>
      <c r="H227" s="33"/>
      <c r="I227" s="4"/>
      <c r="J227" s="4"/>
      <c r="K227" s="4"/>
      <c r="L227" s="4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29"/>
      <c r="AJ227" s="29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</row>
    <row r="228">
      <c r="A228" s="4"/>
      <c r="B228" s="4"/>
      <c r="C228" s="4"/>
      <c r="D228" s="4"/>
      <c r="E228" s="5"/>
      <c r="F228" s="4"/>
      <c r="G228" s="4"/>
      <c r="H228" s="33"/>
      <c r="I228" s="4"/>
      <c r="J228" s="4"/>
      <c r="K228" s="4"/>
      <c r="L228" s="4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29"/>
      <c r="AJ228" s="29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</row>
    <row r="229">
      <c r="A229" s="4"/>
      <c r="B229" s="4"/>
      <c r="C229" s="4"/>
      <c r="D229" s="4"/>
      <c r="E229" s="5"/>
      <c r="F229" s="4"/>
      <c r="G229" s="4"/>
      <c r="H229" s="33"/>
      <c r="I229" s="4"/>
      <c r="J229" s="4"/>
      <c r="K229" s="4"/>
      <c r="L229" s="4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29"/>
      <c r="AJ229" s="29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</row>
    <row r="230">
      <c r="A230" s="4"/>
      <c r="B230" s="4"/>
      <c r="C230" s="4"/>
      <c r="D230" s="4"/>
      <c r="E230" s="5"/>
      <c r="F230" s="4"/>
      <c r="G230" s="4"/>
      <c r="H230" s="33"/>
      <c r="I230" s="4"/>
      <c r="J230" s="4"/>
      <c r="K230" s="4"/>
      <c r="L230" s="4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29"/>
      <c r="AJ230" s="29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</row>
    <row r="231">
      <c r="A231" s="4"/>
      <c r="B231" s="4"/>
      <c r="C231" s="4"/>
      <c r="D231" s="4"/>
      <c r="E231" s="5"/>
      <c r="F231" s="4"/>
      <c r="G231" s="4"/>
      <c r="H231" s="33"/>
      <c r="I231" s="4"/>
      <c r="J231" s="4"/>
      <c r="K231" s="4"/>
      <c r="L231" s="4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29"/>
      <c r="AJ231" s="29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</row>
    <row r="232">
      <c r="A232" s="4"/>
      <c r="B232" s="4"/>
      <c r="C232" s="4"/>
      <c r="D232" s="4"/>
      <c r="E232" s="5"/>
      <c r="F232" s="4"/>
      <c r="G232" s="4"/>
      <c r="H232" s="33"/>
      <c r="I232" s="4"/>
      <c r="J232" s="4"/>
      <c r="K232" s="4"/>
      <c r="L232" s="4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29"/>
      <c r="AJ232" s="29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</row>
    <row r="233">
      <c r="A233" s="4"/>
      <c r="B233" s="4"/>
      <c r="C233" s="4"/>
      <c r="D233" s="4"/>
      <c r="E233" s="5"/>
      <c r="F233" s="4"/>
      <c r="G233" s="4"/>
      <c r="H233" s="33"/>
      <c r="I233" s="4"/>
      <c r="J233" s="4"/>
      <c r="K233" s="4"/>
      <c r="L233" s="4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29"/>
      <c r="AJ233" s="29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</row>
    <row r="234">
      <c r="A234" s="4"/>
      <c r="B234" s="4"/>
      <c r="C234" s="4"/>
      <c r="D234" s="4"/>
      <c r="E234" s="5"/>
      <c r="F234" s="4"/>
      <c r="G234" s="4"/>
      <c r="H234" s="33"/>
      <c r="I234" s="4"/>
      <c r="J234" s="4"/>
      <c r="K234" s="4"/>
      <c r="L234" s="4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29"/>
      <c r="AJ234" s="29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</row>
    <row r="235">
      <c r="A235" s="4"/>
      <c r="B235" s="4"/>
      <c r="C235" s="4"/>
      <c r="D235" s="4"/>
      <c r="E235" s="5"/>
      <c r="F235" s="4"/>
      <c r="G235" s="4"/>
      <c r="H235" s="33"/>
      <c r="I235" s="4"/>
      <c r="J235" s="4"/>
      <c r="K235" s="4"/>
      <c r="L235" s="4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29"/>
      <c r="AJ235" s="29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</row>
    <row r="236">
      <c r="A236" s="4"/>
      <c r="B236" s="4"/>
      <c r="C236" s="4"/>
      <c r="D236" s="4"/>
      <c r="E236" s="5"/>
      <c r="F236" s="4"/>
      <c r="G236" s="4"/>
      <c r="H236" s="33"/>
      <c r="I236" s="4"/>
      <c r="J236" s="4"/>
      <c r="K236" s="4"/>
      <c r="L236" s="4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29"/>
      <c r="AJ236" s="29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</row>
    <row r="237">
      <c r="A237" s="4"/>
      <c r="B237" s="4"/>
      <c r="C237" s="4"/>
      <c r="D237" s="4"/>
      <c r="E237" s="5"/>
      <c r="F237" s="4"/>
      <c r="G237" s="4"/>
      <c r="H237" s="33"/>
      <c r="I237" s="4"/>
      <c r="J237" s="4"/>
      <c r="K237" s="4"/>
      <c r="L237" s="4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29"/>
      <c r="AJ237" s="29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</row>
    <row r="238">
      <c r="A238" s="4"/>
      <c r="B238" s="4"/>
      <c r="C238" s="4"/>
      <c r="D238" s="4"/>
      <c r="E238" s="5"/>
      <c r="F238" s="4"/>
      <c r="G238" s="4"/>
      <c r="H238" s="33"/>
      <c r="I238" s="4"/>
      <c r="J238" s="4"/>
      <c r="K238" s="4"/>
      <c r="L238" s="4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29"/>
      <c r="AJ238" s="29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</row>
    <row r="239">
      <c r="A239" s="4"/>
      <c r="B239" s="4"/>
      <c r="C239" s="4"/>
      <c r="D239" s="4"/>
      <c r="E239" s="5"/>
      <c r="F239" s="4"/>
      <c r="G239" s="4"/>
      <c r="H239" s="33"/>
      <c r="I239" s="4"/>
      <c r="J239" s="4"/>
      <c r="K239" s="4"/>
      <c r="L239" s="4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29"/>
      <c r="AJ239" s="29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</row>
    <row r="240">
      <c r="A240" s="4"/>
      <c r="B240" s="4"/>
      <c r="C240" s="4"/>
      <c r="D240" s="4"/>
      <c r="E240" s="5"/>
      <c r="F240" s="4"/>
      <c r="G240" s="4"/>
      <c r="H240" s="33"/>
      <c r="I240" s="4"/>
      <c r="J240" s="4"/>
      <c r="K240" s="4"/>
      <c r="L240" s="4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29"/>
      <c r="AJ240" s="29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</row>
    <row r="241">
      <c r="A241" s="4"/>
      <c r="B241" s="4"/>
      <c r="C241" s="4"/>
      <c r="D241" s="4"/>
      <c r="E241" s="5"/>
      <c r="F241" s="4"/>
      <c r="G241" s="4"/>
      <c r="H241" s="33"/>
      <c r="I241" s="4"/>
      <c r="J241" s="4"/>
      <c r="K241" s="4"/>
      <c r="L241" s="4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29"/>
      <c r="AJ241" s="29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</row>
    <row r="242">
      <c r="A242" s="4"/>
      <c r="B242" s="4"/>
      <c r="C242" s="4"/>
      <c r="D242" s="4"/>
      <c r="E242" s="5"/>
      <c r="F242" s="4"/>
      <c r="G242" s="4"/>
      <c r="H242" s="33"/>
      <c r="I242" s="4"/>
      <c r="J242" s="4"/>
      <c r="K242" s="4"/>
      <c r="L242" s="4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29"/>
      <c r="AJ242" s="29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</row>
    <row r="243">
      <c r="A243" s="4"/>
      <c r="B243" s="4"/>
      <c r="C243" s="4"/>
      <c r="D243" s="4"/>
      <c r="E243" s="5"/>
      <c r="F243" s="4"/>
      <c r="G243" s="4"/>
      <c r="H243" s="33"/>
      <c r="I243" s="4"/>
      <c r="J243" s="4"/>
      <c r="K243" s="4"/>
      <c r="L243" s="4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29"/>
      <c r="AJ243" s="29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</row>
    <row r="244">
      <c r="A244" s="4"/>
      <c r="B244" s="4"/>
      <c r="C244" s="4"/>
      <c r="D244" s="4"/>
      <c r="E244" s="5"/>
      <c r="F244" s="4"/>
      <c r="G244" s="4"/>
      <c r="H244" s="33"/>
      <c r="I244" s="4"/>
      <c r="J244" s="4"/>
      <c r="K244" s="4"/>
      <c r="L244" s="4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29"/>
      <c r="AJ244" s="29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</row>
    <row r="245">
      <c r="A245" s="4"/>
      <c r="B245" s="4"/>
      <c r="C245" s="4"/>
      <c r="D245" s="4"/>
      <c r="E245" s="5"/>
      <c r="F245" s="4"/>
      <c r="G245" s="4"/>
      <c r="H245" s="33"/>
      <c r="I245" s="4"/>
      <c r="J245" s="4"/>
      <c r="K245" s="4"/>
      <c r="L245" s="4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29"/>
      <c r="AJ245" s="29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</row>
    <row r="246">
      <c r="A246" s="4"/>
      <c r="B246" s="4"/>
      <c r="C246" s="4"/>
      <c r="D246" s="4"/>
      <c r="E246" s="5"/>
      <c r="F246" s="4"/>
      <c r="G246" s="4"/>
      <c r="H246" s="33"/>
      <c r="I246" s="4"/>
      <c r="J246" s="4"/>
      <c r="K246" s="4"/>
      <c r="L246" s="4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29"/>
      <c r="AJ246" s="29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</row>
    <row r="247">
      <c r="A247" s="4"/>
      <c r="B247" s="4"/>
      <c r="C247" s="4"/>
      <c r="D247" s="4"/>
      <c r="E247" s="5"/>
      <c r="F247" s="4"/>
      <c r="G247" s="4"/>
      <c r="H247" s="33"/>
      <c r="I247" s="4"/>
      <c r="J247" s="4"/>
      <c r="K247" s="4"/>
      <c r="L247" s="4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29"/>
      <c r="AJ247" s="29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</row>
    <row r="248">
      <c r="A248" s="4"/>
      <c r="B248" s="4"/>
      <c r="C248" s="4"/>
      <c r="D248" s="4"/>
      <c r="E248" s="5"/>
      <c r="F248" s="4"/>
      <c r="G248" s="4"/>
      <c r="H248" s="33"/>
      <c r="I248" s="4"/>
      <c r="J248" s="4"/>
      <c r="K248" s="4"/>
      <c r="L248" s="4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29"/>
      <c r="AJ248" s="29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</row>
    <row r="249">
      <c r="A249" s="4"/>
      <c r="B249" s="4"/>
      <c r="C249" s="4"/>
      <c r="D249" s="4"/>
      <c r="E249" s="5"/>
      <c r="F249" s="4"/>
      <c r="G249" s="4"/>
      <c r="H249" s="33"/>
      <c r="I249" s="4"/>
      <c r="J249" s="4"/>
      <c r="K249" s="4"/>
      <c r="L249" s="4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29"/>
      <c r="AJ249" s="29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</row>
    <row r="250">
      <c r="A250" s="4"/>
      <c r="B250" s="4"/>
      <c r="C250" s="4"/>
      <c r="D250" s="4"/>
      <c r="E250" s="5"/>
      <c r="F250" s="4"/>
      <c r="G250" s="4"/>
      <c r="H250" s="33"/>
      <c r="I250" s="4"/>
      <c r="J250" s="4"/>
      <c r="K250" s="4"/>
      <c r="L250" s="4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29"/>
      <c r="AJ250" s="29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</row>
    <row r="251">
      <c r="A251" s="4"/>
      <c r="B251" s="4"/>
      <c r="C251" s="4"/>
      <c r="D251" s="4"/>
      <c r="E251" s="5"/>
      <c r="F251" s="4"/>
      <c r="G251" s="4"/>
      <c r="H251" s="33"/>
      <c r="I251" s="4"/>
      <c r="J251" s="4"/>
      <c r="K251" s="4"/>
      <c r="L251" s="4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29"/>
      <c r="AJ251" s="29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</row>
    <row r="252">
      <c r="A252" s="4"/>
      <c r="B252" s="4"/>
      <c r="C252" s="4"/>
      <c r="D252" s="4"/>
      <c r="E252" s="5"/>
      <c r="F252" s="4"/>
      <c r="G252" s="4"/>
      <c r="H252" s="33"/>
      <c r="I252" s="4"/>
      <c r="J252" s="4"/>
      <c r="K252" s="4"/>
      <c r="L252" s="4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29"/>
      <c r="AJ252" s="29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</row>
    <row r="253">
      <c r="A253" s="4"/>
      <c r="B253" s="4"/>
      <c r="C253" s="4"/>
      <c r="D253" s="4"/>
      <c r="E253" s="5"/>
      <c r="F253" s="4"/>
      <c r="G253" s="4"/>
      <c r="H253" s="33"/>
      <c r="I253" s="4"/>
      <c r="J253" s="4"/>
      <c r="K253" s="4"/>
      <c r="L253" s="4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29"/>
      <c r="AJ253" s="29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</row>
    <row r="254">
      <c r="A254" s="4"/>
      <c r="B254" s="4"/>
      <c r="C254" s="4"/>
      <c r="D254" s="4"/>
      <c r="E254" s="5"/>
      <c r="F254" s="4"/>
      <c r="G254" s="4"/>
      <c r="H254" s="33"/>
      <c r="I254" s="4"/>
      <c r="J254" s="4"/>
      <c r="K254" s="4"/>
      <c r="L254" s="4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29"/>
      <c r="AJ254" s="29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</row>
    <row r="255">
      <c r="A255" s="4"/>
      <c r="B255" s="4"/>
      <c r="C255" s="4"/>
      <c r="D255" s="4"/>
      <c r="E255" s="5"/>
      <c r="F255" s="4"/>
      <c r="G255" s="4"/>
      <c r="H255" s="33"/>
      <c r="I255" s="4"/>
      <c r="J255" s="4"/>
      <c r="K255" s="4"/>
      <c r="L255" s="4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29"/>
      <c r="AJ255" s="29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</row>
    <row r="256">
      <c r="A256" s="4"/>
      <c r="B256" s="4"/>
      <c r="C256" s="4"/>
      <c r="D256" s="4"/>
      <c r="E256" s="5"/>
      <c r="F256" s="4"/>
      <c r="G256" s="4"/>
      <c r="H256" s="33"/>
      <c r="I256" s="4"/>
      <c r="J256" s="4"/>
      <c r="K256" s="4"/>
      <c r="L256" s="4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29"/>
      <c r="AJ256" s="29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</row>
    <row r="257">
      <c r="A257" s="4"/>
      <c r="B257" s="4"/>
      <c r="C257" s="4"/>
      <c r="D257" s="4"/>
      <c r="E257" s="5"/>
      <c r="F257" s="4"/>
      <c r="G257" s="4"/>
      <c r="H257" s="33"/>
      <c r="I257" s="4"/>
      <c r="J257" s="4"/>
      <c r="K257" s="4"/>
      <c r="L257" s="4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29"/>
      <c r="AJ257" s="29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</row>
    <row r="258">
      <c r="A258" s="4"/>
      <c r="B258" s="4"/>
      <c r="C258" s="4"/>
      <c r="D258" s="4"/>
      <c r="E258" s="5"/>
      <c r="F258" s="4"/>
      <c r="G258" s="4"/>
      <c r="H258" s="33"/>
      <c r="I258" s="4"/>
      <c r="J258" s="4"/>
      <c r="K258" s="4"/>
      <c r="L258" s="4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29"/>
      <c r="AJ258" s="29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</row>
    <row r="259">
      <c r="A259" s="4"/>
      <c r="B259" s="4"/>
      <c r="C259" s="4"/>
      <c r="D259" s="4"/>
      <c r="E259" s="5"/>
      <c r="F259" s="4"/>
      <c r="G259" s="4"/>
      <c r="H259" s="33"/>
      <c r="I259" s="4"/>
      <c r="J259" s="4"/>
      <c r="K259" s="4"/>
      <c r="L259" s="4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29"/>
      <c r="AJ259" s="29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</row>
    <row r="260">
      <c r="A260" s="4"/>
      <c r="B260" s="4"/>
      <c r="C260" s="4"/>
      <c r="D260" s="4"/>
      <c r="E260" s="5"/>
      <c r="F260" s="4"/>
      <c r="G260" s="4"/>
      <c r="H260" s="33"/>
      <c r="I260" s="4"/>
      <c r="J260" s="4"/>
      <c r="K260" s="4"/>
      <c r="L260" s="4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29"/>
      <c r="AJ260" s="29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</row>
    <row r="261">
      <c r="A261" s="4"/>
      <c r="B261" s="4"/>
      <c r="C261" s="4"/>
      <c r="D261" s="4"/>
      <c r="E261" s="5"/>
      <c r="F261" s="4"/>
      <c r="G261" s="4"/>
      <c r="H261" s="33"/>
      <c r="I261" s="4"/>
      <c r="J261" s="4"/>
      <c r="K261" s="4"/>
      <c r="L261" s="4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29"/>
      <c r="AJ261" s="29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</row>
    <row r="262">
      <c r="A262" s="4"/>
      <c r="B262" s="4"/>
      <c r="C262" s="4"/>
      <c r="D262" s="4"/>
      <c r="E262" s="5"/>
      <c r="F262" s="4"/>
      <c r="G262" s="4"/>
      <c r="H262" s="33"/>
      <c r="I262" s="4"/>
      <c r="J262" s="4"/>
      <c r="K262" s="4"/>
      <c r="L262" s="4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29"/>
      <c r="AJ262" s="29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</row>
    <row r="263">
      <c r="A263" s="4"/>
      <c r="B263" s="4"/>
      <c r="C263" s="4"/>
      <c r="D263" s="4"/>
      <c r="E263" s="5"/>
      <c r="F263" s="4"/>
      <c r="G263" s="4"/>
      <c r="H263" s="33"/>
      <c r="I263" s="4"/>
      <c r="J263" s="4"/>
      <c r="K263" s="4"/>
      <c r="L263" s="4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29"/>
      <c r="AJ263" s="29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</row>
    <row r="264">
      <c r="A264" s="4"/>
      <c r="B264" s="4"/>
      <c r="C264" s="4"/>
      <c r="D264" s="4"/>
      <c r="E264" s="5"/>
      <c r="F264" s="4"/>
      <c r="G264" s="4"/>
      <c r="H264" s="33"/>
      <c r="I264" s="4"/>
      <c r="J264" s="4"/>
      <c r="K264" s="4"/>
      <c r="L264" s="4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29"/>
      <c r="AJ264" s="29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</row>
    <row r="265">
      <c r="A265" s="4"/>
      <c r="B265" s="4"/>
      <c r="C265" s="4"/>
      <c r="D265" s="4"/>
      <c r="E265" s="5"/>
      <c r="F265" s="4"/>
      <c r="G265" s="4"/>
      <c r="H265" s="33"/>
      <c r="I265" s="4"/>
      <c r="J265" s="4"/>
      <c r="K265" s="4"/>
      <c r="L265" s="4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29"/>
      <c r="AJ265" s="29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</row>
    <row r="266">
      <c r="A266" s="4"/>
      <c r="B266" s="4"/>
      <c r="C266" s="4"/>
      <c r="D266" s="4"/>
      <c r="E266" s="5"/>
      <c r="F266" s="4"/>
      <c r="G266" s="4"/>
      <c r="H266" s="33"/>
      <c r="I266" s="4"/>
      <c r="J266" s="4"/>
      <c r="K266" s="4"/>
      <c r="L266" s="4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29"/>
      <c r="AJ266" s="29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</row>
    <row r="267">
      <c r="A267" s="4"/>
      <c r="B267" s="4"/>
      <c r="C267" s="4"/>
      <c r="D267" s="4"/>
      <c r="E267" s="5"/>
      <c r="F267" s="4"/>
      <c r="G267" s="4"/>
      <c r="H267" s="33"/>
      <c r="I267" s="4"/>
      <c r="J267" s="4"/>
      <c r="K267" s="4"/>
      <c r="L267" s="4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29"/>
      <c r="AJ267" s="29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</row>
    <row r="268">
      <c r="A268" s="4"/>
      <c r="B268" s="4"/>
      <c r="C268" s="4"/>
      <c r="D268" s="4"/>
      <c r="E268" s="5"/>
      <c r="F268" s="4"/>
      <c r="G268" s="4"/>
      <c r="H268" s="33"/>
      <c r="I268" s="4"/>
      <c r="J268" s="4"/>
      <c r="K268" s="4"/>
      <c r="L268" s="4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29"/>
      <c r="AJ268" s="29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</row>
    <row r="269">
      <c r="A269" s="4"/>
      <c r="B269" s="4"/>
      <c r="C269" s="4"/>
      <c r="D269" s="4"/>
      <c r="E269" s="5"/>
      <c r="F269" s="4"/>
      <c r="G269" s="4"/>
      <c r="H269" s="33"/>
      <c r="I269" s="4"/>
      <c r="J269" s="4"/>
      <c r="K269" s="4"/>
      <c r="L269" s="4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29"/>
      <c r="AJ269" s="29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</row>
    <row r="270">
      <c r="A270" s="4"/>
      <c r="B270" s="4"/>
      <c r="C270" s="4"/>
      <c r="D270" s="4"/>
      <c r="E270" s="5"/>
      <c r="F270" s="4"/>
      <c r="G270" s="4"/>
      <c r="H270" s="33"/>
      <c r="I270" s="4"/>
      <c r="J270" s="4"/>
      <c r="K270" s="4"/>
      <c r="L270" s="4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29"/>
      <c r="AJ270" s="29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</row>
    <row r="271">
      <c r="A271" s="4"/>
      <c r="B271" s="4"/>
      <c r="C271" s="4"/>
      <c r="D271" s="4"/>
      <c r="E271" s="5"/>
      <c r="F271" s="4"/>
      <c r="G271" s="4"/>
      <c r="H271" s="33"/>
      <c r="I271" s="4"/>
      <c r="J271" s="4"/>
      <c r="K271" s="4"/>
      <c r="L271" s="4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29"/>
      <c r="AJ271" s="29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</row>
    <row r="272">
      <c r="A272" s="4"/>
      <c r="B272" s="4"/>
      <c r="C272" s="4"/>
      <c r="D272" s="4"/>
      <c r="E272" s="5"/>
      <c r="F272" s="4"/>
      <c r="G272" s="4"/>
      <c r="H272" s="33"/>
      <c r="I272" s="4"/>
      <c r="J272" s="4"/>
      <c r="K272" s="4"/>
      <c r="L272" s="4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29"/>
      <c r="AJ272" s="29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</row>
    <row r="273">
      <c r="A273" s="4"/>
      <c r="B273" s="4"/>
      <c r="C273" s="4"/>
      <c r="D273" s="4"/>
      <c r="E273" s="5"/>
      <c r="F273" s="4"/>
      <c r="G273" s="4"/>
      <c r="H273" s="33"/>
      <c r="I273" s="4"/>
      <c r="J273" s="4"/>
      <c r="K273" s="4"/>
      <c r="L273" s="4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29"/>
      <c r="AJ273" s="29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</row>
    <row r="274">
      <c r="A274" s="4"/>
      <c r="B274" s="4"/>
      <c r="C274" s="4"/>
      <c r="D274" s="4"/>
      <c r="E274" s="5"/>
      <c r="F274" s="4"/>
      <c r="G274" s="4"/>
      <c r="H274" s="33"/>
      <c r="I274" s="4"/>
      <c r="J274" s="4"/>
      <c r="K274" s="4"/>
      <c r="L274" s="4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29"/>
      <c r="AJ274" s="29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</row>
    <row r="275">
      <c r="A275" s="4"/>
      <c r="B275" s="4"/>
      <c r="C275" s="4"/>
      <c r="D275" s="4"/>
      <c r="E275" s="5"/>
      <c r="F275" s="4"/>
      <c r="G275" s="4"/>
      <c r="H275" s="33"/>
      <c r="I275" s="4"/>
      <c r="J275" s="4"/>
      <c r="K275" s="4"/>
      <c r="L275" s="4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29"/>
      <c r="AJ275" s="29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</row>
    <row r="276">
      <c r="A276" s="4"/>
      <c r="B276" s="4"/>
      <c r="C276" s="4"/>
      <c r="D276" s="4"/>
      <c r="E276" s="5"/>
      <c r="F276" s="4"/>
      <c r="G276" s="4"/>
      <c r="H276" s="33"/>
      <c r="I276" s="4"/>
      <c r="J276" s="4"/>
      <c r="K276" s="4"/>
      <c r="L276" s="4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29"/>
      <c r="AJ276" s="29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</row>
    <row r="277">
      <c r="A277" s="4"/>
      <c r="B277" s="4"/>
      <c r="C277" s="4"/>
      <c r="D277" s="4"/>
      <c r="E277" s="5"/>
      <c r="F277" s="4"/>
      <c r="G277" s="4"/>
      <c r="H277" s="33"/>
      <c r="I277" s="4"/>
      <c r="J277" s="4"/>
      <c r="K277" s="4"/>
      <c r="L277" s="4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29"/>
      <c r="AJ277" s="29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</row>
    <row r="278">
      <c r="A278" s="4"/>
      <c r="B278" s="4"/>
      <c r="C278" s="4"/>
      <c r="D278" s="4"/>
      <c r="E278" s="5"/>
      <c r="F278" s="4"/>
      <c r="G278" s="4"/>
      <c r="H278" s="33"/>
      <c r="I278" s="4"/>
      <c r="J278" s="4"/>
      <c r="K278" s="4"/>
      <c r="L278" s="4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29"/>
      <c r="AJ278" s="29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</row>
    <row r="279">
      <c r="A279" s="4"/>
      <c r="B279" s="4"/>
      <c r="C279" s="4"/>
      <c r="D279" s="4"/>
      <c r="E279" s="5"/>
      <c r="F279" s="4"/>
      <c r="G279" s="4"/>
      <c r="H279" s="33"/>
      <c r="I279" s="4"/>
      <c r="J279" s="4"/>
      <c r="K279" s="4"/>
      <c r="L279" s="4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29"/>
      <c r="AJ279" s="29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</row>
    <row r="280">
      <c r="A280" s="4"/>
      <c r="B280" s="4"/>
      <c r="C280" s="4"/>
      <c r="D280" s="4"/>
      <c r="E280" s="5"/>
      <c r="F280" s="4"/>
      <c r="G280" s="4"/>
      <c r="H280" s="33"/>
      <c r="I280" s="4"/>
      <c r="J280" s="4"/>
      <c r="K280" s="4"/>
      <c r="L280" s="4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29"/>
      <c r="AJ280" s="29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</row>
    <row r="281">
      <c r="A281" s="4"/>
      <c r="B281" s="4"/>
      <c r="C281" s="4"/>
      <c r="D281" s="4"/>
      <c r="E281" s="5"/>
      <c r="F281" s="4"/>
      <c r="G281" s="4"/>
      <c r="H281" s="33"/>
      <c r="I281" s="4"/>
      <c r="J281" s="4"/>
      <c r="K281" s="4"/>
      <c r="L281" s="4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29"/>
      <c r="AJ281" s="29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</row>
    <row r="282">
      <c r="A282" s="4"/>
      <c r="B282" s="4"/>
      <c r="C282" s="4"/>
      <c r="D282" s="4"/>
      <c r="E282" s="5"/>
      <c r="F282" s="4"/>
      <c r="G282" s="4"/>
      <c r="H282" s="33"/>
      <c r="I282" s="4"/>
      <c r="J282" s="4"/>
      <c r="K282" s="4"/>
      <c r="L282" s="4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29"/>
      <c r="AJ282" s="29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</row>
    <row r="283">
      <c r="A283" s="4"/>
      <c r="B283" s="4"/>
      <c r="C283" s="4"/>
      <c r="D283" s="4"/>
      <c r="E283" s="5"/>
      <c r="F283" s="4"/>
      <c r="G283" s="4"/>
      <c r="H283" s="33"/>
      <c r="I283" s="4"/>
      <c r="J283" s="4"/>
      <c r="K283" s="4"/>
      <c r="L283" s="4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29"/>
      <c r="AJ283" s="29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</row>
    <row r="284">
      <c r="A284" s="4"/>
      <c r="B284" s="4"/>
      <c r="C284" s="4"/>
      <c r="D284" s="4"/>
      <c r="E284" s="5"/>
      <c r="F284" s="4"/>
      <c r="G284" s="4"/>
      <c r="H284" s="33"/>
      <c r="I284" s="4"/>
      <c r="J284" s="4"/>
      <c r="K284" s="4"/>
      <c r="L284" s="4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29"/>
      <c r="AJ284" s="29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</row>
    <row r="285">
      <c r="A285" s="4"/>
      <c r="B285" s="4"/>
      <c r="C285" s="4"/>
      <c r="D285" s="4"/>
      <c r="E285" s="5"/>
      <c r="F285" s="4"/>
      <c r="G285" s="4"/>
      <c r="H285" s="33"/>
      <c r="I285" s="4"/>
      <c r="J285" s="4"/>
      <c r="K285" s="4"/>
      <c r="L285" s="4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29"/>
      <c r="AJ285" s="29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</row>
    <row r="286">
      <c r="A286" s="4"/>
      <c r="B286" s="4"/>
      <c r="C286" s="4"/>
      <c r="D286" s="4"/>
      <c r="E286" s="5"/>
      <c r="F286" s="4"/>
      <c r="G286" s="4"/>
      <c r="H286" s="33"/>
      <c r="I286" s="4"/>
      <c r="J286" s="4"/>
      <c r="K286" s="4"/>
      <c r="L286" s="4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29"/>
      <c r="AJ286" s="29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</row>
    <row r="287">
      <c r="A287" s="4"/>
      <c r="B287" s="4"/>
      <c r="C287" s="4"/>
      <c r="D287" s="4"/>
      <c r="E287" s="5"/>
      <c r="F287" s="4"/>
      <c r="G287" s="4"/>
      <c r="H287" s="33"/>
      <c r="I287" s="4"/>
      <c r="J287" s="4"/>
      <c r="K287" s="4"/>
      <c r="L287" s="4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29"/>
      <c r="AJ287" s="29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</row>
    <row r="288">
      <c r="A288" s="4"/>
      <c r="B288" s="4"/>
      <c r="C288" s="4"/>
      <c r="D288" s="4"/>
      <c r="E288" s="5"/>
      <c r="F288" s="4"/>
      <c r="G288" s="4"/>
      <c r="H288" s="33"/>
      <c r="I288" s="4"/>
      <c r="J288" s="4"/>
      <c r="K288" s="4"/>
      <c r="L288" s="4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29"/>
      <c r="AJ288" s="29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</row>
    <row r="289">
      <c r="A289" s="4"/>
      <c r="B289" s="4"/>
      <c r="C289" s="4"/>
      <c r="D289" s="4"/>
      <c r="E289" s="5"/>
      <c r="F289" s="4"/>
      <c r="G289" s="4"/>
      <c r="H289" s="33"/>
      <c r="I289" s="4"/>
      <c r="J289" s="4"/>
      <c r="K289" s="4"/>
      <c r="L289" s="4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29"/>
      <c r="AJ289" s="29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</row>
    <row r="290">
      <c r="A290" s="4"/>
      <c r="B290" s="4"/>
      <c r="C290" s="4"/>
      <c r="D290" s="4"/>
      <c r="E290" s="5"/>
      <c r="F290" s="4"/>
      <c r="G290" s="4"/>
      <c r="H290" s="33"/>
      <c r="I290" s="4"/>
      <c r="J290" s="4"/>
      <c r="K290" s="4"/>
      <c r="L290" s="4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29"/>
      <c r="AJ290" s="29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</row>
    <row r="291">
      <c r="A291" s="4"/>
      <c r="B291" s="4"/>
      <c r="C291" s="4"/>
      <c r="D291" s="4"/>
      <c r="E291" s="5"/>
      <c r="F291" s="4"/>
      <c r="G291" s="4"/>
      <c r="H291" s="33"/>
      <c r="I291" s="4"/>
      <c r="J291" s="4"/>
      <c r="K291" s="4"/>
      <c r="L291" s="4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29"/>
      <c r="AJ291" s="29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</row>
    <row r="292">
      <c r="A292" s="4"/>
      <c r="B292" s="4"/>
      <c r="C292" s="4"/>
      <c r="D292" s="4"/>
      <c r="E292" s="5"/>
      <c r="F292" s="4"/>
      <c r="G292" s="4"/>
      <c r="H292" s="33"/>
      <c r="I292" s="4"/>
      <c r="J292" s="4"/>
      <c r="K292" s="4"/>
      <c r="L292" s="4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29"/>
      <c r="AJ292" s="29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</row>
    <row r="293">
      <c r="A293" s="4"/>
      <c r="B293" s="4"/>
      <c r="C293" s="4"/>
      <c r="D293" s="4"/>
      <c r="E293" s="5"/>
      <c r="F293" s="4"/>
      <c r="G293" s="4"/>
      <c r="H293" s="33"/>
      <c r="I293" s="4"/>
      <c r="J293" s="4"/>
      <c r="K293" s="4"/>
      <c r="L293" s="4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29"/>
      <c r="AJ293" s="29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</row>
    <row r="294">
      <c r="A294" s="4"/>
      <c r="B294" s="4"/>
      <c r="C294" s="4"/>
      <c r="D294" s="4"/>
      <c r="E294" s="5"/>
      <c r="F294" s="4"/>
      <c r="G294" s="4"/>
      <c r="H294" s="33"/>
      <c r="I294" s="4"/>
      <c r="J294" s="4"/>
      <c r="K294" s="4"/>
      <c r="L294" s="4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29"/>
      <c r="AJ294" s="29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</row>
    <row r="295">
      <c r="A295" s="4"/>
      <c r="B295" s="4"/>
      <c r="C295" s="4"/>
      <c r="D295" s="4"/>
      <c r="E295" s="5"/>
      <c r="F295" s="4"/>
      <c r="G295" s="4"/>
      <c r="H295" s="33"/>
      <c r="I295" s="4"/>
      <c r="J295" s="4"/>
      <c r="K295" s="4"/>
      <c r="L295" s="4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29"/>
      <c r="AJ295" s="29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</row>
    <row r="296">
      <c r="A296" s="4"/>
      <c r="B296" s="4"/>
      <c r="C296" s="4"/>
      <c r="D296" s="4"/>
      <c r="E296" s="5"/>
      <c r="F296" s="4"/>
      <c r="G296" s="4"/>
      <c r="H296" s="33"/>
      <c r="I296" s="4"/>
      <c r="J296" s="4"/>
      <c r="K296" s="4"/>
      <c r="L296" s="4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29"/>
      <c r="AJ296" s="29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</row>
    <row r="297">
      <c r="A297" s="4"/>
      <c r="B297" s="4"/>
      <c r="C297" s="4"/>
      <c r="D297" s="4"/>
      <c r="E297" s="5"/>
      <c r="F297" s="4"/>
      <c r="G297" s="4"/>
      <c r="H297" s="33"/>
      <c r="I297" s="4"/>
      <c r="J297" s="4"/>
      <c r="K297" s="4"/>
      <c r="L297" s="4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29"/>
      <c r="AJ297" s="29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</row>
    <row r="298">
      <c r="A298" s="4"/>
      <c r="B298" s="4"/>
      <c r="C298" s="4"/>
      <c r="D298" s="4"/>
      <c r="E298" s="5"/>
      <c r="F298" s="4"/>
      <c r="G298" s="4"/>
      <c r="H298" s="33"/>
      <c r="I298" s="4"/>
      <c r="J298" s="4"/>
      <c r="K298" s="4"/>
      <c r="L298" s="4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29"/>
      <c r="AJ298" s="29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</row>
    <row r="299">
      <c r="A299" s="4"/>
      <c r="B299" s="4"/>
      <c r="C299" s="4"/>
      <c r="D299" s="4"/>
      <c r="E299" s="5"/>
      <c r="F299" s="4"/>
      <c r="G299" s="4"/>
      <c r="H299" s="33"/>
      <c r="I299" s="4"/>
      <c r="J299" s="4"/>
      <c r="K299" s="4"/>
      <c r="L299" s="4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29"/>
      <c r="AJ299" s="29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</row>
    <row r="300">
      <c r="A300" s="4"/>
      <c r="B300" s="4"/>
      <c r="C300" s="4"/>
      <c r="D300" s="4"/>
      <c r="E300" s="5"/>
      <c r="F300" s="4"/>
      <c r="G300" s="4"/>
      <c r="H300" s="33"/>
      <c r="I300" s="4"/>
      <c r="J300" s="4"/>
      <c r="K300" s="4"/>
      <c r="L300" s="4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29"/>
      <c r="AJ300" s="29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</row>
    <row r="301">
      <c r="A301" s="4"/>
      <c r="B301" s="4"/>
      <c r="C301" s="4"/>
      <c r="D301" s="4"/>
      <c r="E301" s="5"/>
      <c r="F301" s="4"/>
      <c r="G301" s="4"/>
      <c r="H301" s="33"/>
      <c r="I301" s="4"/>
      <c r="J301" s="4"/>
      <c r="K301" s="4"/>
      <c r="L301" s="4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29"/>
      <c r="AJ301" s="29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</row>
    <row r="302">
      <c r="A302" s="4"/>
      <c r="B302" s="4"/>
      <c r="C302" s="4"/>
      <c r="D302" s="4"/>
      <c r="E302" s="5"/>
      <c r="F302" s="4"/>
      <c r="G302" s="4"/>
      <c r="H302" s="33"/>
      <c r="I302" s="4"/>
      <c r="J302" s="4"/>
      <c r="K302" s="4"/>
      <c r="L302" s="4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29"/>
      <c r="AJ302" s="29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</row>
    <row r="303">
      <c r="A303" s="4"/>
      <c r="B303" s="4"/>
      <c r="C303" s="4"/>
      <c r="D303" s="4"/>
      <c r="E303" s="5"/>
      <c r="F303" s="4"/>
      <c r="G303" s="4"/>
      <c r="H303" s="33"/>
      <c r="I303" s="4"/>
      <c r="J303" s="4"/>
      <c r="K303" s="4"/>
      <c r="L303" s="4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29"/>
      <c r="AJ303" s="29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</row>
    <row r="304">
      <c r="A304" s="4"/>
      <c r="B304" s="4"/>
      <c r="C304" s="4"/>
      <c r="D304" s="4"/>
      <c r="E304" s="5"/>
      <c r="F304" s="4"/>
      <c r="G304" s="4"/>
      <c r="H304" s="33"/>
      <c r="I304" s="4"/>
      <c r="J304" s="4"/>
      <c r="K304" s="4"/>
      <c r="L304" s="4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29"/>
      <c r="AJ304" s="29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</row>
    <row r="305">
      <c r="A305" s="4"/>
      <c r="B305" s="4"/>
      <c r="C305" s="4"/>
      <c r="D305" s="4"/>
      <c r="E305" s="5"/>
      <c r="F305" s="4"/>
      <c r="G305" s="4"/>
      <c r="H305" s="33"/>
      <c r="I305" s="4"/>
      <c r="J305" s="4"/>
      <c r="K305" s="4"/>
      <c r="L305" s="4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29"/>
      <c r="AJ305" s="29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</row>
    <row r="306">
      <c r="A306" s="4"/>
      <c r="B306" s="4"/>
      <c r="C306" s="4"/>
      <c r="D306" s="4"/>
      <c r="E306" s="5"/>
      <c r="F306" s="4"/>
      <c r="G306" s="4"/>
      <c r="H306" s="33"/>
      <c r="I306" s="4"/>
      <c r="J306" s="4"/>
      <c r="K306" s="4"/>
      <c r="L306" s="4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29"/>
      <c r="AJ306" s="29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</row>
    <row r="307">
      <c r="A307" s="4"/>
      <c r="B307" s="4"/>
      <c r="C307" s="4"/>
      <c r="D307" s="4"/>
      <c r="E307" s="5"/>
      <c r="F307" s="4"/>
      <c r="G307" s="4"/>
      <c r="H307" s="33"/>
      <c r="I307" s="4"/>
      <c r="J307" s="4"/>
      <c r="K307" s="4"/>
      <c r="L307" s="4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29"/>
      <c r="AJ307" s="29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</row>
    <row r="308">
      <c r="A308" s="4"/>
      <c r="B308" s="4"/>
      <c r="C308" s="4"/>
      <c r="D308" s="4"/>
      <c r="E308" s="5"/>
      <c r="F308" s="4"/>
      <c r="G308" s="4"/>
      <c r="H308" s="33"/>
      <c r="I308" s="4"/>
      <c r="J308" s="4"/>
      <c r="K308" s="4"/>
      <c r="L308" s="4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29"/>
      <c r="AJ308" s="29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</row>
    <row r="309">
      <c r="A309" s="4"/>
      <c r="B309" s="4"/>
      <c r="C309" s="4"/>
      <c r="D309" s="4"/>
      <c r="E309" s="5"/>
      <c r="F309" s="4"/>
      <c r="G309" s="4"/>
      <c r="H309" s="33"/>
      <c r="I309" s="4"/>
      <c r="J309" s="4"/>
      <c r="K309" s="4"/>
      <c r="L309" s="4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29"/>
      <c r="AJ309" s="29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</row>
    <row r="310">
      <c r="A310" s="4"/>
      <c r="B310" s="4"/>
      <c r="C310" s="4"/>
      <c r="D310" s="4"/>
      <c r="E310" s="5"/>
      <c r="F310" s="4"/>
      <c r="G310" s="4"/>
      <c r="H310" s="33"/>
      <c r="I310" s="4"/>
      <c r="J310" s="4"/>
      <c r="K310" s="4"/>
      <c r="L310" s="4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29"/>
      <c r="AJ310" s="29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</row>
    <row r="311">
      <c r="A311" s="4"/>
      <c r="B311" s="4"/>
      <c r="C311" s="4"/>
      <c r="D311" s="4"/>
      <c r="E311" s="5"/>
      <c r="F311" s="4"/>
      <c r="G311" s="4"/>
      <c r="H311" s="33"/>
      <c r="I311" s="4"/>
      <c r="J311" s="4"/>
      <c r="K311" s="4"/>
      <c r="L311" s="4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29"/>
      <c r="AJ311" s="29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</row>
    <row r="312">
      <c r="A312" s="4"/>
      <c r="B312" s="4"/>
      <c r="C312" s="4"/>
      <c r="D312" s="4"/>
      <c r="E312" s="5"/>
      <c r="F312" s="4"/>
      <c r="G312" s="4"/>
      <c r="H312" s="33"/>
      <c r="I312" s="4"/>
      <c r="J312" s="4"/>
      <c r="K312" s="4"/>
      <c r="L312" s="4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29"/>
      <c r="AJ312" s="29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</row>
    <row r="313">
      <c r="A313" s="4"/>
      <c r="B313" s="4"/>
      <c r="C313" s="4"/>
      <c r="D313" s="4"/>
      <c r="E313" s="5"/>
      <c r="F313" s="4"/>
      <c r="G313" s="4"/>
      <c r="H313" s="33"/>
      <c r="I313" s="4"/>
      <c r="J313" s="4"/>
      <c r="K313" s="4"/>
      <c r="L313" s="4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29"/>
      <c r="AJ313" s="29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</row>
    <row r="314">
      <c r="A314" s="4"/>
      <c r="B314" s="4"/>
      <c r="C314" s="4"/>
      <c r="D314" s="4"/>
      <c r="E314" s="5"/>
      <c r="F314" s="4"/>
      <c r="G314" s="4"/>
      <c r="H314" s="33"/>
      <c r="I314" s="4"/>
      <c r="J314" s="4"/>
      <c r="K314" s="4"/>
      <c r="L314" s="4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29"/>
      <c r="AJ314" s="29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</row>
    <row r="315">
      <c r="A315" s="4"/>
      <c r="B315" s="4"/>
      <c r="C315" s="4"/>
      <c r="D315" s="4"/>
      <c r="E315" s="5"/>
      <c r="F315" s="4"/>
      <c r="G315" s="4"/>
      <c r="H315" s="33"/>
      <c r="I315" s="4"/>
      <c r="J315" s="4"/>
      <c r="K315" s="4"/>
      <c r="L315" s="4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29"/>
      <c r="AJ315" s="29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</row>
    <row r="316">
      <c r="A316" s="4"/>
      <c r="B316" s="4"/>
      <c r="C316" s="4"/>
      <c r="D316" s="4"/>
      <c r="E316" s="5"/>
      <c r="F316" s="4"/>
      <c r="G316" s="4"/>
      <c r="H316" s="33"/>
      <c r="I316" s="4"/>
      <c r="J316" s="4"/>
      <c r="K316" s="4"/>
      <c r="L316" s="4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29"/>
      <c r="AJ316" s="29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</row>
    <row r="317">
      <c r="A317" s="4"/>
      <c r="B317" s="4"/>
      <c r="C317" s="4"/>
      <c r="D317" s="4"/>
      <c r="E317" s="5"/>
      <c r="F317" s="4"/>
      <c r="G317" s="4"/>
      <c r="H317" s="33"/>
      <c r="I317" s="4"/>
      <c r="J317" s="4"/>
      <c r="K317" s="4"/>
      <c r="L317" s="4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29"/>
      <c r="AJ317" s="29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</row>
    <row r="318">
      <c r="A318" s="4"/>
      <c r="B318" s="4"/>
      <c r="C318" s="4"/>
      <c r="D318" s="4"/>
      <c r="E318" s="5"/>
      <c r="F318" s="4"/>
      <c r="G318" s="4"/>
      <c r="H318" s="33"/>
      <c r="I318" s="4"/>
      <c r="J318" s="4"/>
      <c r="K318" s="4"/>
      <c r="L318" s="4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29"/>
      <c r="AJ318" s="29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</row>
    <row r="319">
      <c r="A319" s="4"/>
      <c r="B319" s="4"/>
      <c r="C319" s="4"/>
      <c r="D319" s="4"/>
      <c r="E319" s="5"/>
      <c r="F319" s="4"/>
      <c r="G319" s="4"/>
      <c r="H319" s="33"/>
      <c r="I319" s="4"/>
      <c r="J319" s="4"/>
      <c r="K319" s="4"/>
      <c r="L319" s="4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29"/>
      <c r="AJ319" s="29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</row>
    <row r="320">
      <c r="A320" s="4"/>
      <c r="B320" s="4"/>
      <c r="C320" s="4"/>
      <c r="D320" s="4"/>
      <c r="E320" s="5"/>
      <c r="F320" s="4"/>
      <c r="G320" s="4"/>
      <c r="H320" s="33"/>
      <c r="I320" s="4"/>
      <c r="J320" s="4"/>
      <c r="K320" s="4"/>
      <c r="L320" s="4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29"/>
      <c r="AJ320" s="29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</row>
    <row r="321">
      <c r="A321" s="4"/>
      <c r="B321" s="4"/>
      <c r="C321" s="4"/>
      <c r="D321" s="4"/>
      <c r="E321" s="5"/>
      <c r="F321" s="4"/>
      <c r="G321" s="4"/>
      <c r="H321" s="33"/>
      <c r="I321" s="4"/>
      <c r="J321" s="4"/>
      <c r="K321" s="4"/>
      <c r="L321" s="4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29"/>
      <c r="AJ321" s="29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</row>
    <row r="322">
      <c r="A322" s="4"/>
      <c r="B322" s="4"/>
      <c r="C322" s="4"/>
      <c r="D322" s="4"/>
      <c r="E322" s="5"/>
      <c r="F322" s="4"/>
      <c r="G322" s="4"/>
      <c r="H322" s="33"/>
      <c r="I322" s="4"/>
      <c r="J322" s="4"/>
      <c r="K322" s="4"/>
      <c r="L322" s="4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29"/>
      <c r="AJ322" s="29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</row>
    <row r="323">
      <c r="A323" s="4"/>
      <c r="B323" s="4"/>
      <c r="C323" s="4"/>
      <c r="D323" s="4"/>
      <c r="E323" s="5"/>
      <c r="F323" s="4"/>
      <c r="G323" s="4"/>
      <c r="H323" s="33"/>
      <c r="I323" s="4"/>
      <c r="J323" s="4"/>
      <c r="K323" s="4"/>
      <c r="L323" s="4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29"/>
      <c r="AJ323" s="29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</row>
    <row r="324">
      <c r="A324" s="4"/>
      <c r="B324" s="4"/>
      <c r="C324" s="4"/>
      <c r="D324" s="4"/>
      <c r="E324" s="5"/>
      <c r="F324" s="4"/>
      <c r="G324" s="4"/>
      <c r="H324" s="33"/>
      <c r="I324" s="4"/>
      <c r="J324" s="4"/>
      <c r="K324" s="4"/>
      <c r="L324" s="4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29"/>
      <c r="AJ324" s="29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</row>
    <row r="325">
      <c r="A325" s="4"/>
      <c r="B325" s="4"/>
      <c r="C325" s="4"/>
      <c r="D325" s="4"/>
      <c r="E325" s="5"/>
      <c r="F325" s="4"/>
      <c r="G325" s="4"/>
      <c r="H325" s="33"/>
      <c r="I325" s="4"/>
      <c r="J325" s="4"/>
      <c r="K325" s="4"/>
      <c r="L325" s="4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29"/>
      <c r="AJ325" s="29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</row>
    <row r="326">
      <c r="A326" s="4"/>
      <c r="B326" s="4"/>
      <c r="C326" s="4"/>
      <c r="D326" s="4"/>
      <c r="E326" s="5"/>
      <c r="F326" s="4"/>
      <c r="G326" s="4"/>
      <c r="H326" s="33"/>
      <c r="I326" s="4"/>
      <c r="J326" s="4"/>
      <c r="K326" s="4"/>
      <c r="L326" s="4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29"/>
      <c r="AJ326" s="29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</row>
    <row r="327">
      <c r="A327" s="4"/>
      <c r="B327" s="4"/>
      <c r="C327" s="4"/>
      <c r="D327" s="4"/>
      <c r="E327" s="5"/>
      <c r="F327" s="4"/>
      <c r="G327" s="4"/>
      <c r="H327" s="33"/>
      <c r="I327" s="4"/>
      <c r="J327" s="4"/>
      <c r="K327" s="4"/>
      <c r="L327" s="4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29"/>
      <c r="AJ327" s="29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</row>
    <row r="328">
      <c r="A328" s="4"/>
      <c r="B328" s="4"/>
      <c r="C328" s="4"/>
      <c r="D328" s="4"/>
      <c r="E328" s="5"/>
      <c r="F328" s="4"/>
      <c r="G328" s="4"/>
      <c r="H328" s="33"/>
      <c r="I328" s="4"/>
      <c r="J328" s="4"/>
      <c r="K328" s="4"/>
      <c r="L328" s="4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29"/>
      <c r="AJ328" s="29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</row>
    <row r="329">
      <c r="A329" s="4"/>
      <c r="B329" s="4"/>
      <c r="C329" s="4"/>
      <c r="D329" s="4"/>
      <c r="E329" s="5"/>
      <c r="F329" s="4"/>
      <c r="G329" s="4"/>
      <c r="H329" s="33"/>
      <c r="I329" s="4"/>
      <c r="J329" s="4"/>
      <c r="K329" s="4"/>
      <c r="L329" s="4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29"/>
      <c r="AJ329" s="29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</row>
    <row r="330">
      <c r="A330" s="4"/>
      <c r="B330" s="4"/>
      <c r="C330" s="4"/>
      <c r="D330" s="4"/>
      <c r="E330" s="5"/>
      <c r="F330" s="4"/>
      <c r="G330" s="4"/>
      <c r="H330" s="33"/>
      <c r="I330" s="4"/>
      <c r="J330" s="4"/>
      <c r="K330" s="4"/>
      <c r="L330" s="4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29"/>
      <c r="AJ330" s="29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</row>
    <row r="331">
      <c r="A331" s="4"/>
      <c r="B331" s="4"/>
      <c r="C331" s="4"/>
      <c r="D331" s="4"/>
      <c r="E331" s="5"/>
      <c r="F331" s="4"/>
      <c r="G331" s="4"/>
      <c r="H331" s="33"/>
      <c r="I331" s="4"/>
      <c r="J331" s="4"/>
      <c r="K331" s="4"/>
      <c r="L331" s="4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29"/>
      <c r="AJ331" s="29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</row>
    <row r="332">
      <c r="A332" s="4"/>
      <c r="B332" s="4"/>
      <c r="C332" s="4"/>
      <c r="D332" s="4"/>
      <c r="E332" s="5"/>
      <c r="F332" s="4"/>
      <c r="G332" s="4"/>
      <c r="H332" s="33"/>
      <c r="I332" s="4"/>
      <c r="J332" s="4"/>
      <c r="K332" s="4"/>
      <c r="L332" s="4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29"/>
      <c r="AJ332" s="29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</row>
    <row r="333">
      <c r="A333" s="4"/>
      <c r="B333" s="4"/>
      <c r="C333" s="4"/>
      <c r="D333" s="4"/>
      <c r="E333" s="5"/>
      <c r="F333" s="4"/>
      <c r="G333" s="4"/>
      <c r="H333" s="33"/>
      <c r="I333" s="4"/>
      <c r="J333" s="4"/>
      <c r="K333" s="4"/>
      <c r="L333" s="4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29"/>
      <c r="AJ333" s="29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</row>
    <row r="334">
      <c r="A334" s="4"/>
      <c r="B334" s="4"/>
      <c r="C334" s="4"/>
      <c r="D334" s="4"/>
      <c r="E334" s="5"/>
      <c r="F334" s="4"/>
      <c r="G334" s="4"/>
      <c r="H334" s="33"/>
      <c r="I334" s="4"/>
      <c r="J334" s="4"/>
      <c r="K334" s="4"/>
      <c r="L334" s="4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29"/>
      <c r="AJ334" s="29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</row>
    <row r="335">
      <c r="A335" s="4"/>
      <c r="B335" s="4"/>
      <c r="C335" s="4"/>
      <c r="D335" s="4"/>
      <c r="E335" s="5"/>
      <c r="F335" s="4"/>
      <c r="G335" s="4"/>
      <c r="H335" s="33"/>
      <c r="I335" s="4"/>
      <c r="J335" s="4"/>
      <c r="K335" s="4"/>
      <c r="L335" s="4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29"/>
      <c r="AJ335" s="29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</row>
    <row r="336">
      <c r="A336" s="4"/>
      <c r="B336" s="4"/>
      <c r="C336" s="4"/>
      <c r="D336" s="4"/>
      <c r="E336" s="5"/>
      <c r="F336" s="4"/>
      <c r="G336" s="4"/>
      <c r="H336" s="33"/>
      <c r="I336" s="4"/>
      <c r="J336" s="4"/>
      <c r="K336" s="4"/>
      <c r="L336" s="4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29"/>
      <c r="AJ336" s="29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</row>
    <row r="337">
      <c r="A337" s="4"/>
      <c r="B337" s="4"/>
      <c r="C337" s="4"/>
      <c r="D337" s="4"/>
      <c r="E337" s="5"/>
      <c r="F337" s="4"/>
      <c r="G337" s="4"/>
      <c r="H337" s="33"/>
      <c r="I337" s="4"/>
      <c r="J337" s="4"/>
      <c r="K337" s="4"/>
      <c r="L337" s="4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29"/>
      <c r="AJ337" s="29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</row>
    <row r="338">
      <c r="A338" s="4"/>
      <c r="B338" s="4"/>
      <c r="C338" s="4"/>
      <c r="D338" s="4"/>
      <c r="E338" s="5"/>
      <c r="F338" s="4"/>
      <c r="G338" s="4"/>
      <c r="H338" s="33"/>
      <c r="I338" s="4"/>
      <c r="J338" s="4"/>
      <c r="K338" s="4"/>
      <c r="L338" s="4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29"/>
      <c r="AJ338" s="29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</row>
    <row r="339">
      <c r="A339" s="4"/>
      <c r="B339" s="4"/>
      <c r="C339" s="4"/>
      <c r="D339" s="4"/>
      <c r="E339" s="5"/>
      <c r="F339" s="4"/>
      <c r="G339" s="4"/>
      <c r="H339" s="33"/>
      <c r="I339" s="4"/>
      <c r="J339" s="4"/>
      <c r="K339" s="4"/>
      <c r="L339" s="4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29"/>
      <c r="AJ339" s="29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</row>
    <row r="340">
      <c r="A340" s="4"/>
      <c r="B340" s="4"/>
      <c r="C340" s="4"/>
      <c r="D340" s="4"/>
      <c r="E340" s="5"/>
      <c r="F340" s="4"/>
      <c r="G340" s="4"/>
      <c r="H340" s="33"/>
      <c r="I340" s="4"/>
      <c r="J340" s="4"/>
      <c r="K340" s="4"/>
      <c r="L340" s="4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29"/>
      <c r="AJ340" s="29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</row>
    <row r="341">
      <c r="A341" s="4"/>
      <c r="B341" s="4"/>
      <c r="C341" s="4"/>
      <c r="D341" s="4"/>
      <c r="E341" s="5"/>
      <c r="F341" s="4"/>
      <c r="G341" s="4"/>
      <c r="H341" s="33"/>
      <c r="I341" s="4"/>
      <c r="J341" s="4"/>
      <c r="K341" s="4"/>
      <c r="L341" s="4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29"/>
      <c r="AJ341" s="29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</row>
    <row r="342">
      <c r="A342" s="4"/>
      <c r="B342" s="4"/>
      <c r="C342" s="4"/>
      <c r="D342" s="4"/>
      <c r="E342" s="5"/>
      <c r="F342" s="4"/>
      <c r="G342" s="4"/>
      <c r="H342" s="33"/>
      <c r="I342" s="4"/>
      <c r="J342" s="4"/>
      <c r="K342" s="4"/>
      <c r="L342" s="4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29"/>
      <c r="AJ342" s="29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</row>
    <row r="343">
      <c r="A343" s="4"/>
      <c r="B343" s="4"/>
      <c r="C343" s="4"/>
      <c r="D343" s="4"/>
      <c r="E343" s="5"/>
      <c r="F343" s="4"/>
      <c r="G343" s="4"/>
      <c r="H343" s="33"/>
      <c r="I343" s="4"/>
      <c r="J343" s="4"/>
      <c r="K343" s="4"/>
      <c r="L343" s="4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29"/>
      <c r="AJ343" s="29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</row>
    <row r="344">
      <c r="A344" s="4"/>
      <c r="B344" s="4"/>
      <c r="C344" s="4"/>
      <c r="D344" s="4"/>
      <c r="E344" s="5"/>
      <c r="F344" s="4"/>
      <c r="G344" s="4"/>
      <c r="H344" s="33"/>
      <c r="I344" s="4"/>
      <c r="J344" s="4"/>
      <c r="K344" s="4"/>
      <c r="L344" s="4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29"/>
      <c r="AJ344" s="29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</row>
    <row r="345">
      <c r="A345" s="4"/>
      <c r="B345" s="4"/>
      <c r="C345" s="4"/>
      <c r="D345" s="4"/>
      <c r="E345" s="5"/>
      <c r="F345" s="4"/>
      <c r="G345" s="4"/>
      <c r="H345" s="33"/>
      <c r="I345" s="4"/>
      <c r="J345" s="4"/>
      <c r="K345" s="4"/>
      <c r="L345" s="4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29"/>
      <c r="AJ345" s="29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</row>
    <row r="346">
      <c r="A346" s="4"/>
      <c r="B346" s="4"/>
      <c r="C346" s="4"/>
      <c r="D346" s="4"/>
      <c r="E346" s="5"/>
      <c r="F346" s="4"/>
      <c r="G346" s="4"/>
      <c r="H346" s="33"/>
      <c r="I346" s="4"/>
      <c r="J346" s="4"/>
      <c r="K346" s="4"/>
      <c r="L346" s="4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29"/>
      <c r="AJ346" s="29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</row>
    <row r="347">
      <c r="A347" s="4"/>
      <c r="B347" s="4"/>
      <c r="C347" s="4"/>
      <c r="D347" s="4"/>
      <c r="E347" s="5"/>
      <c r="F347" s="4"/>
      <c r="G347" s="4"/>
      <c r="H347" s="33"/>
      <c r="I347" s="4"/>
      <c r="J347" s="4"/>
      <c r="K347" s="4"/>
      <c r="L347" s="4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29"/>
      <c r="AJ347" s="29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</row>
    <row r="348">
      <c r="A348" s="4"/>
      <c r="B348" s="4"/>
      <c r="C348" s="4"/>
      <c r="D348" s="4"/>
      <c r="E348" s="5"/>
      <c r="F348" s="4"/>
      <c r="G348" s="4"/>
      <c r="H348" s="33"/>
      <c r="I348" s="4"/>
      <c r="J348" s="4"/>
      <c r="K348" s="4"/>
      <c r="L348" s="4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29"/>
      <c r="AJ348" s="29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</row>
    <row r="349">
      <c r="A349" s="4"/>
      <c r="B349" s="4"/>
      <c r="C349" s="4"/>
      <c r="D349" s="4"/>
      <c r="E349" s="5"/>
      <c r="F349" s="4"/>
      <c r="G349" s="4"/>
      <c r="H349" s="33"/>
      <c r="I349" s="4"/>
      <c r="J349" s="4"/>
      <c r="K349" s="4"/>
      <c r="L349" s="4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29"/>
      <c r="AJ349" s="29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</row>
    <row r="350">
      <c r="A350" s="4"/>
      <c r="B350" s="4"/>
      <c r="C350" s="4"/>
      <c r="D350" s="4"/>
      <c r="E350" s="5"/>
      <c r="F350" s="4"/>
      <c r="G350" s="4"/>
      <c r="H350" s="33"/>
      <c r="I350" s="4"/>
      <c r="J350" s="4"/>
      <c r="K350" s="4"/>
      <c r="L350" s="4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29"/>
      <c r="AJ350" s="29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</row>
    <row r="351">
      <c r="A351" s="4"/>
      <c r="B351" s="4"/>
      <c r="C351" s="4"/>
      <c r="D351" s="4"/>
      <c r="E351" s="5"/>
      <c r="F351" s="4"/>
      <c r="G351" s="4"/>
      <c r="H351" s="33"/>
      <c r="I351" s="4"/>
      <c r="J351" s="4"/>
      <c r="K351" s="4"/>
      <c r="L351" s="4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29"/>
      <c r="AJ351" s="29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</row>
    <row r="352">
      <c r="A352" s="4"/>
      <c r="B352" s="4"/>
      <c r="C352" s="4"/>
      <c r="D352" s="4"/>
      <c r="E352" s="5"/>
      <c r="F352" s="4"/>
      <c r="G352" s="4"/>
      <c r="H352" s="33"/>
      <c r="I352" s="4"/>
      <c r="J352" s="4"/>
      <c r="K352" s="4"/>
      <c r="L352" s="4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29"/>
      <c r="AJ352" s="29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</row>
    <row r="353">
      <c r="A353" s="4"/>
      <c r="B353" s="4"/>
      <c r="C353" s="4"/>
      <c r="D353" s="4"/>
      <c r="E353" s="5"/>
      <c r="F353" s="4"/>
      <c r="G353" s="4"/>
      <c r="H353" s="33"/>
      <c r="I353" s="4"/>
      <c r="J353" s="4"/>
      <c r="K353" s="4"/>
      <c r="L353" s="4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29"/>
      <c r="AJ353" s="29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</row>
    <row r="354">
      <c r="A354" s="4"/>
      <c r="B354" s="4"/>
      <c r="C354" s="4"/>
      <c r="D354" s="4"/>
      <c r="E354" s="5"/>
      <c r="F354" s="4"/>
      <c r="G354" s="4"/>
      <c r="H354" s="33"/>
      <c r="I354" s="4"/>
      <c r="J354" s="4"/>
      <c r="K354" s="4"/>
      <c r="L354" s="4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29"/>
      <c r="AJ354" s="29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</row>
    <row r="355">
      <c r="A355" s="4"/>
      <c r="B355" s="4"/>
      <c r="C355" s="4"/>
      <c r="D355" s="4"/>
      <c r="E355" s="5"/>
      <c r="F355" s="4"/>
      <c r="G355" s="4"/>
      <c r="H355" s="33"/>
      <c r="I355" s="4"/>
      <c r="J355" s="4"/>
      <c r="K355" s="4"/>
      <c r="L355" s="4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29"/>
      <c r="AJ355" s="29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</row>
    <row r="356">
      <c r="A356" s="4"/>
      <c r="B356" s="4"/>
      <c r="C356" s="4"/>
      <c r="D356" s="4"/>
      <c r="E356" s="5"/>
      <c r="F356" s="4"/>
      <c r="G356" s="4"/>
      <c r="H356" s="33"/>
      <c r="I356" s="4"/>
      <c r="J356" s="4"/>
      <c r="K356" s="4"/>
      <c r="L356" s="4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29"/>
      <c r="AJ356" s="29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</row>
    <row r="357">
      <c r="A357" s="4"/>
      <c r="B357" s="4"/>
      <c r="C357" s="4"/>
      <c r="D357" s="4"/>
      <c r="E357" s="5"/>
      <c r="F357" s="4"/>
      <c r="G357" s="4"/>
      <c r="H357" s="33"/>
      <c r="I357" s="4"/>
      <c r="J357" s="4"/>
      <c r="K357" s="4"/>
      <c r="L357" s="4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29"/>
      <c r="AJ357" s="29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</row>
    <row r="358">
      <c r="A358" s="4"/>
      <c r="B358" s="4"/>
      <c r="C358" s="4"/>
      <c r="D358" s="4"/>
      <c r="E358" s="5"/>
      <c r="F358" s="4"/>
      <c r="G358" s="4"/>
      <c r="H358" s="33"/>
      <c r="I358" s="4"/>
      <c r="J358" s="4"/>
      <c r="K358" s="4"/>
      <c r="L358" s="4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29"/>
      <c r="AJ358" s="29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</row>
    <row r="359">
      <c r="A359" s="4"/>
      <c r="B359" s="4"/>
      <c r="C359" s="4"/>
      <c r="D359" s="4"/>
      <c r="E359" s="5"/>
      <c r="F359" s="4"/>
      <c r="G359" s="4"/>
      <c r="H359" s="33"/>
      <c r="I359" s="4"/>
      <c r="J359" s="4"/>
      <c r="K359" s="4"/>
      <c r="L359" s="4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29"/>
      <c r="AJ359" s="29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</row>
    <row r="360">
      <c r="A360" s="4"/>
      <c r="B360" s="4"/>
      <c r="C360" s="4"/>
      <c r="D360" s="4"/>
      <c r="E360" s="5"/>
      <c r="F360" s="4"/>
      <c r="G360" s="4"/>
      <c r="H360" s="33"/>
      <c r="I360" s="4"/>
      <c r="J360" s="4"/>
      <c r="K360" s="4"/>
      <c r="L360" s="4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29"/>
      <c r="AJ360" s="29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</row>
    <row r="361">
      <c r="A361" s="4"/>
      <c r="B361" s="4"/>
      <c r="C361" s="4"/>
      <c r="D361" s="4"/>
      <c r="E361" s="5"/>
      <c r="F361" s="4"/>
      <c r="G361" s="4"/>
      <c r="H361" s="33"/>
      <c r="I361" s="4"/>
      <c r="J361" s="4"/>
      <c r="K361" s="4"/>
      <c r="L361" s="4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29"/>
      <c r="AJ361" s="29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</row>
    <row r="362">
      <c r="A362" s="4"/>
      <c r="B362" s="4"/>
      <c r="C362" s="4"/>
      <c r="D362" s="4"/>
      <c r="E362" s="5"/>
      <c r="F362" s="4"/>
      <c r="G362" s="4"/>
      <c r="H362" s="33"/>
      <c r="I362" s="4"/>
      <c r="J362" s="4"/>
      <c r="K362" s="4"/>
      <c r="L362" s="4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29"/>
      <c r="AJ362" s="29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</row>
    <row r="363">
      <c r="A363" s="4"/>
      <c r="B363" s="4"/>
      <c r="C363" s="4"/>
      <c r="D363" s="4"/>
      <c r="E363" s="5"/>
      <c r="F363" s="4"/>
      <c r="G363" s="4"/>
      <c r="H363" s="33"/>
      <c r="I363" s="4"/>
      <c r="J363" s="4"/>
      <c r="K363" s="4"/>
      <c r="L363" s="4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29"/>
      <c r="AJ363" s="29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</row>
    <row r="364">
      <c r="A364" s="4"/>
      <c r="B364" s="4"/>
      <c r="C364" s="4"/>
      <c r="D364" s="4"/>
      <c r="E364" s="5"/>
      <c r="F364" s="4"/>
      <c r="G364" s="4"/>
      <c r="H364" s="33"/>
      <c r="I364" s="4"/>
      <c r="J364" s="4"/>
      <c r="K364" s="4"/>
      <c r="L364" s="4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29"/>
      <c r="AJ364" s="29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</row>
    <row r="365">
      <c r="A365" s="4"/>
      <c r="B365" s="4"/>
      <c r="C365" s="4"/>
      <c r="D365" s="4"/>
      <c r="E365" s="5"/>
      <c r="F365" s="4"/>
      <c r="G365" s="4"/>
      <c r="H365" s="33"/>
      <c r="I365" s="4"/>
      <c r="J365" s="4"/>
      <c r="K365" s="4"/>
      <c r="L365" s="4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29"/>
      <c r="AJ365" s="29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</row>
    <row r="366">
      <c r="A366" s="4"/>
      <c r="B366" s="4"/>
      <c r="C366" s="4"/>
      <c r="D366" s="4"/>
      <c r="E366" s="5"/>
      <c r="F366" s="4"/>
      <c r="G366" s="4"/>
      <c r="H366" s="33"/>
      <c r="I366" s="4"/>
      <c r="J366" s="4"/>
      <c r="K366" s="4"/>
      <c r="L366" s="4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29"/>
      <c r="AJ366" s="29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</row>
    <row r="367">
      <c r="A367" s="4"/>
      <c r="B367" s="4"/>
      <c r="C367" s="4"/>
      <c r="D367" s="4"/>
      <c r="E367" s="5"/>
      <c r="F367" s="4"/>
      <c r="G367" s="4"/>
      <c r="H367" s="33"/>
      <c r="I367" s="4"/>
      <c r="J367" s="4"/>
      <c r="K367" s="4"/>
      <c r="L367" s="4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29"/>
      <c r="AJ367" s="29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</row>
    <row r="368">
      <c r="A368" s="4"/>
      <c r="B368" s="4"/>
      <c r="C368" s="4"/>
      <c r="D368" s="4"/>
      <c r="E368" s="5"/>
      <c r="F368" s="4"/>
      <c r="G368" s="4"/>
      <c r="H368" s="33"/>
      <c r="I368" s="4"/>
      <c r="J368" s="4"/>
      <c r="K368" s="4"/>
      <c r="L368" s="4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29"/>
      <c r="AJ368" s="29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</row>
    <row r="369">
      <c r="A369" s="4"/>
      <c r="B369" s="4"/>
      <c r="C369" s="4"/>
      <c r="D369" s="4"/>
      <c r="E369" s="5"/>
      <c r="F369" s="4"/>
      <c r="G369" s="4"/>
      <c r="H369" s="33"/>
      <c r="I369" s="4"/>
      <c r="J369" s="4"/>
      <c r="K369" s="4"/>
      <c r="L369" s="4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29"/>
      <c r="AJ369" s="29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</row>
    <row r="370">
      <c r="A370" s="4"/>
      <c r="B370" s="4"/>
      <c r="C370" s="4"/>
      <c r="D370" s="4"/>
      <c r="E370" s="5"/>
      <c r="F370" s="4"/>
      <c r="G370" s="4"/>
      <c r="H370" s="33"/>
      <c r="I370" s="4"/>
      <c r="J370" s="4"/>
      <c r="K370" s="4"/>
      <c r="L370" s="4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29"/>
      <c r="AJ370" s="29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</row>
    <row r="371">
      <c r="A371" s="4"/>
      <c r="B371" s="4"/>
      <c r="C371" s="4"/>
      <c r="D371" s="4"/>
      <c r="E371" s="5"/>
      <c r="F371" s="4"/>
      <c r="G371" s="4"/>
      <c r="H371" s="33"/>
      <c r="I371" s="4"/>
      <c r="J371" s="4"/>
      <c r="K371" s="4"/>
      <c r="L371" s="4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29"/>
      <c r="AJ371" s="29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</row>
    <row r="372">
      <c r="A372" s="4"/>
      <c r="B372" s="4"/>
      <c r="C372" s="4"/>
      <c r="D372" s="4"/>
      <c r="E372" s="5"/>
      <c r="F372" s="4"/>
      <c r="G372" s="4"/>
      <c r="H372" s="33"/>
      <c r="I372" s="4"/>
      <c r="J372" s="4"/>
      <c r="K372" s="4"/>
      <c r="L372" s="4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29"/>
      <c r="AJ372" s="29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</row>
    <row r="373">
      <c r="A373" s="4"/>
      <c r="B373" s="4"/>
      <c r="C373" s="4"/>
      <c r="D373" s="4"/>
      <c r="E373" s="5"/>
      <c r="F373" s="4"/>
      <c r="G373" s="4"/>
      <c r="H373" s="33"/>
      <c r="I373" s="4"/>
      <c r="J373" s="4"/>
      <c r="K373" s="4"/>
      <c r="L373" s="4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29"/>
      <c r="AJ373" s="29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</row>
    <row r="374">
      <c r="A374" s="4"/>
      <c r="B374" s="4"/>
      <c r="C374" s="4"/>
      <c r="D374" s="4"/>
      <c r="E374" s="5"/>
      <c r="F374" s="4"/>
      <c r="G374" s="4"/>
      <c r="H374" s="33"/>
      <c r="I374" s="4"/>
      <c r="J374" s="4"/>
      <c r="K374" s="4"/>
      <c r="L374" s="4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29"/>
      <c r="AJ374" s="29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</row>
    <row r="375">
      <c r="A375" s="4"/>
      <c r="B375" s="4"/>
      <c r="C375" s="4"/>
      <c r="D375" s="4"/>
      <c r="E375" s="5"/>
      <c r="F375" s="4"/>
      <c r="G375" s="4"/>
      <c r="H375" s="33"/>
      <c r="I375" s="4"/>
      <c r="J375" s="4"/>
      <c r="K375" s="4"/>
      <c r="L375" s="4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29"/>
      <c r="AJ375" s="29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</row>
    <row r="376">
      <c r="A376" s="4"/>
      <c r="B376" s="4"/>
      <c r="C376" s="4"/>
      <c r="D376" s="4"/>
      <c r="E376" s="5"/>
      <c r="F376" s="4"/>
      <c r="G376" s="4"/>
      <c r="H376" s="33"/>
      <c r="I376" s="4"/>
      <c r="J376" s="4"/>
      <c r="K376" s="4"/>
      <c r="L376" s="4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29"/>
      <c r="AJ376" s="29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</row>
    <row r="377">
      <c r="A377" s="4"/>
      <c r="B377" s="4"/>
      <c r="C377" s="4"/>
      <c r="D377" s="4"/>
      <c r="E377" s="5"/>
      <c r="F377" s="4"/>
      <c r="G377" s="4"/>
      <c r="H377" s="33"/>
      <c r="I377" s="4"/>
      <c r="J377" s="4"/>
      <c r="K377" s="4"/>
      <c r="L377" s="4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29"/>
      <c r="AJ377" s="29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</row>
    <row r="378">
      <c r="A378" s="4"/>
      <c r="B378" s="4"/>
      <c r="C378" s="4"/>
      <c r="D378" s="4"/>
      <c r="E378" s="5"/>
      <c r="F378" s="4"/>
      <c r="G378" s="4"/>
      <c r="H378" s="33"/>
      <c r="I378" s="4"/>
      <c r="J378" s="4"/>
      <c r="K378" s="4"/>
      <c r="L378" s="4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29"/>
      <c r="AJ378" s="29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</row>
    <row r="379">
      <c r="A379" s="4"/>
      <c r="B379" s="4"/>
      <c r="C379" s="4"/>
      <c r="D379" s="4"/>
      <c r="E379" s="5"/>
      <c r="F379" s="4"/>
      <c r="G379" s="4"/>
      <c r="H379" s="33"/>
      <c r="I379" s="4"/>
      <c r="J379" s="4"/>
      <c r="K379" s="4"/>
      <c r="L379" s="4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29"/>
      <c r="AJ379" s="29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</row>
    <row r="380">
      <c r="A380" s="4"/>
      <c r="B380" s="4"/>
      <c r="C380" s="4"/>
      <c r="D380" s="4"/>
      <c r="E380" s="5"/>
      <c r="F380" s="4"/>
      <c r="G380" s="4"/>
      <c r="H380" s="33"/>
      <c r="I380" s="4"/>
      <c r="J380" s="4"/>
      <c r="K380" s="4"/>
      <c r="L380" s="4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29"/>
      <c r="AJ380" s="29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</row>
    <row r="381">
      <c r="A381" s="4"/>
      <c r="B381" s="4"/>
      <c r="C381" s="4"/>
      <c r="D381" s="4"/>
      <c r="E381" s="5"/>
      <c r="F381" s="4"/>
      <c r="G381" s="4"/>
      <c r="H381" s="33"/>
      <c r="I381" s="4"/>
      <c r="J381" s="4"/>
      <c r="K381" s="4"/>
      <c r="L381" s="4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29"/>
      <c r="AJ381" s="29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</row>
    <row r="382">
      <c r="A382" s="4"/>
      <c r="B382" s="4"/>
      <c r="C382" s="4"/>
      <c r="D382" s="4"/>
      <c r="E382" s="5"/>
      <c r="F382" s="4"/>
      <c r="G382" s="4"/>
      <c r="H382" s="33"/>
      <c r="I382" s="4"/>
      <c r="J382" s="4"/>
      <c r="K382" s="4"/>
      <c r="L382" s="4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29"/>
      <c r="AJ382" s="29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</row>
    <row r="383">
      <c r="A383" s="4"/>
      <c r="B383" s="4"/>
      <c r="C383" s="4"/>
      <c r="D383" s="4"/>
      <c r="E383" s="5"/>
      <c r="F383" s="4"/>
      <c r="G383" s="4"/>
      <c r="H383" s="33"/>
      <c r="I383" s="4"/>
      <c r="J383" s="4"/>
      <c r="K383" s="4"/>
      <c r="L383" s="4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29"/>
      <c r="AJ383" s="29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</row>
    <row r="384">
      <c r="A384" s="4"/>
      <c r="B384" s="4"/>
      <c r="C384" s="4"/>
      <c r="D384" s="4"/>
      <c r="E384" s="5"/>
      <c r="F384" s="4"/>
      <c r="G384" s="4"/>
      <c r="H384" s="33"/>
      <c r="I384" s="4"/>
      <c r="J384" s="4"/>
      <c r="K384" s="4"/>
      <c r="L384" s="4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29"/>
      <c r="AJ384" s="29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</row>
    <row r="385">
      <c r="A385" s="4"/>
      <c r="B385" s="4"/>
      <c r="C385" s="4"/>
      <c r="D385" s="4"/>
      <c r="E385" s="5"/>
      <c r="F385" s="4"/>
      <c r="G385" s="4"/>
      <c r="H385" s="33"/>
      <c r="I385" s="4"/>
      <c r="J385" s="4"/>
      <c r="K385" s="4"/>
      <c r="L385" s="4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29"/>
      <c r="AJ385" s="29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</row>
    <row r="386">
      <c r="A386" s="4"/>
      <c r="B386" s="4"/>
      <c r="C386" s="4"/>
      <c r="D386" s="4"/>
      <c r="E386" s="5"/>
      <c r="F386" s="4"/>
      <c r="G386" s="4"/>
      <c r="H386" s="33"/>
      <c r="I386" s="4"/>
      <c r="J386" s="4"/>
      <c r="K386" s="4"/>
      <c r="L386" s="4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29"/>
      <c r="AJ386" s="29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</row>
    <row r="387">
      <c r="A387" s="4"/>
      <c r="B387" s="4"/>
      <c r="C387" s="4"/>
      <c r="D387" s="4"/>
      <c r="E387" s="5"/>
      <c r="F387" s="4"/>
      <c r="G387" s="4"/>
      <c r="H387" s="33"/>
      <c r="I387" s="4"/>
      <c r="J387" s="4"/>
      <c r="K387" s="4"/>
      <c r="L387" s="4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29"/>
      <c r="AJ387" s="29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</row>
    <row r="388">
      <c r="A388" s="4"/>
      <c r="B388" s="4"/>
      <c r="C388" s="4"/>
      <c r="D388" s="4"/>
      <c r="E388" s="5"/>
      <c r="F388" s="4"/>
      <c r="G388" s="4"/>
      <c r="H388" s="33"/>
      <c r="I388" s="4"/>
      <c r="J388" s="4"/>
      <c r="K388" s="4"/>
      <c r="L388" s="4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29"/>
      <c r="AJ388" s="29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</row>
    <row r="389">
      <c r="A389" s="4"/>
      <c r="B389" s="4"/>
      <c r="C389" s="4"/>
      <c r="D389" s="4"/>
      <c r="E389" s="5"/>
      <c r="F389" s="4"/>
      <c r="G389" s="4"/>
      <c r="H389" s="33"/>
      <c r="I389" s="4"/>
      <c r="J389" s="4"/>
      <c r="K389" s="4"/>
      <c r="L389" s="4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29"/>
      <c r="AJ389" s="29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</row>
    <row r="390">
      <c r="A390" s="4"/>
      <c r="B390" s="4"/>
      <c r="C390" s="4"/>
      <c r="D390" s="4"/>
      <c r="E390" s="5"/>
      <c r="F390" s="4"/>
      <c r="G390" s="4"/>
      <c r="H390" s="33"/>
      <c r="I390" s="4"/>
      <c r="J390" s="4"/>
      <c r="K390" s="4"/>
      <c r="L390" s="4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29"/>
      <c r="AJ390" s="29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</row>
    <row r="391">
      <c r="A391" s="4"/>
      <c r="B391" s="4"/>
      <c r="C391" s="4"/>
      <c r="D391" s="4"/>
      <c r="E391" s="5"/>
      <c r="F391" s="4"/>
      <c r="G391" s="4"/>
      <c r="H391" s="33"/>
      <c r="I391" s="4"/>
      <c r="J391" s="4"/>
      <c r="K391" s="4"/>
      <c r="L391" s="4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29"/>
      <c r="AJ391" s="29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</row>
    <row r="392">
      <c r="A392" s="4"/>
      <c r="B392" s="4"/>
      <c r="C392" s="4"/>
      <c r="D392" s="4"/>
      <c r="E392" s="5"/>
      <c r="F392" s="4"/>
      <c r="G392" s="4"/>
      <c r="H392" s="33"/>
      <c r="I392" s="4"/>
      <c r="J392" s="4"/>
      <c r="K392" s="4"/>
      <c r="L392" s="4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29"/>
      <c r="AJ392" s="29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</row>
    <row r="393">
      <c r="A393" s="4"/>
      <c r="B393" s="4"/>
      <c r="C393" s="4"/>
      <c r="D393" s="4"/>
      <c r="E393" s="5"/>
      <c r="F393" s="4"/>
      <c r="G393" s="4"/>
      <c r="H393" s="33"/>
      <c r="I393" s="4"/>
      <c r="J393" s="4"/>
      <c r="K393" s="4"/>
      <c r="L393" s="4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29"/>
      <c r="AJ393" s="29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</row>
    <row r="394">
      <c r="A394" s="4"/>
      <c r="B394" s="4"/>
      <c r="C394" s="4"/>
      <c r="D394" s="4"/>
      <c r="E394" s="5"/>
      <c r="F394" s="4"/>
      <c r="G394" s="4"/>
      <c r="H394" s="33"/>
      <c r="I394" s="4"/>
      <c r="J394" s="4"/>
      <c r="K394" s="4"/>
      <c r="L394" s="4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29"/>
      <c r="AJ394" s="29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</row>
    <row r="395">
      <c r="A395" s="4"/>
      <c r="B395" s="4"/>
      <c r="C395" s="4"/>
      <c r="D395" s="4"/>
      <c r="E395" s="5"/>
      <c r="F395" s="4"/>
      <c r="G395" s="4"/>
      <c r="H395" s="33"/>
      <c r="I395" s="4"/>
      <c r="J395" s="4"/>
      <c r="K395" s="4"/>
      <c r="L395" s="4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29"/>
      <c r="AJ395" s="29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</row>
    <row r="396">
      <c r="A396" s="4"/>
      <c r="B396" s="4"/>
      <c r="C396" s="4"/>
      <c r="D396" s="4"/>
      <c r="E396" s="5"/>
      <c r="F396" s="4"/>
      <c r="G396" s="4"/>
      <c r="H396" s="33"/>
      <c r="I396" s="4"/>
      <c r="J396" s="4"/>
      <c r="K396" s="4"/>
      <c r="L396" s="4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29"/>
      <c r="AJ396" s="29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</row>
    <row r="397">
      <c r="A397" s="4"/>
      <c r="B397" s="4"/>
      <c r="C397" s="4"/>
      <c r="D397" s="4"/>
      <c r="E397" s="5"/>
      <c r="F397" s="4"/>
      <c r="G397" s="4"/>
      <c r="H397" s="33"/>
      <c r="I397" s="4"/>
      <c r="J397" s="4"/>
      <c r="K397" s="4"/>
      <c r="L397" s="4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29"/>
      <c r="AJ397" s="29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</row>
    <row r="398">
      <c r="A398" s="4"/>
      <c r="B398" s="4"/>
      <c r="C398" s="4"/>
      <c r="D398" s="4"/>
      <c r="E398" s="5"/>
      <c r="F398" s="4"/>
      <c r="G398" s="4"/>
      <c r="H398" s="33"/>
      <c r="I398" s="4"/>
      <c r="J398" s="4"/>
      <c r="K398" s="4"/>
      <c r="L398" s="4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29"/>
      <c r="AJ398" s="29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</row>
    <row r="399">
      <c r="A399" s="4"/>
      <c r="B399" s="4"/>
      <c r="C399" s="4"/>
      <c r="D399" s="4"/>
      <c r="E399" s="5"/>
      <c r="F399" s="4"/>
      <c r="G399" s="4"/>
      <c r="H399" s="33"/>
      <c r="I399" s="4"/>
      <c r="J399" s="4"/>
      <c r="K399" s="4"/>
      <c r="L399" s="4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29"/>
      <c r="AJ399" s="29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</row>
    <row r="400">
      <c r="A400" s="4"/>
      <c r="B400" s="4"/>
      <c r="C400" s="4"/>
      <c r="D400" s="4"/>
      <c r="E400" s="5"/>
      <c r="F400" s="4"/>
      <c r="G400" s="4"/>
      <c r="H400" s="33"/>
      <c r="I400" s="4"/>
      <c r="J400" s="4"/>
      <c r="K400" s="4"/>
      <c r="L400" s="4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29"/>
      <c r="AJ400" s="29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</row>
    <row r="401">
      <c r="A401" s="4"/>
      <c r="B401" s="4"/>
      <c r="C401" s="4"/>
      <c r="D401" s="4"/>
      <c r="E401" s="5"/>
      <c r="F401" s="4"/>
      <c r="G401" s="4"/>
      <c r="H401" s="33"/>
      <c r="I401" s="4"/>
      <c r="J401" s="4"/>
      <c r="K401" s="4"/>
      <c r="L401" s="4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29"/>
      <c r="AJ401" s="29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</row>
    <row r="402">
      <c r="A402" s="4"/>
      <c r="B402" s="4"/>
      <c r="C402" s="4"/>
      <c r="D402" s="4"/>
      <c r="E402" s="5"/>
      <c r="F402" s="4"/>
      <c r="G402" s="4"/>
      <c r="H402" s="33"/>
      <c r="I402" s="4"/>
      <c r="J402" s="4"/>
      <c r="K402" s="4"/>
      <c r="L402" s="4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29"/>
      <c r="AJ402" s="29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</row>
    <row r="403">
      <c r="A403" s="4"/>
      <c r="B403" s="4"/>
      <c r="C403" s="4"/>
      <c r="D403" s="4"/>
      <c r="E403" s="5"/>
      <c r="F403" s="4"/>
      <c r="G403" s="4"/>
      <c r="H403" s="33"/>
      <c r="I403" s="4"/>
      <c r="J403" s="4"/>
      <c r="K403" s="4"/>
      <c r="L403" s="4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29"/>
      <c r="AJ403" s="29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</row>
    <row r="404">
      <c r="A404" s="4"/>
      <c r="B404" s="4"/>
      <c r="C404" s="4"/>
      <c r="D404" s="4"/>
      <c r="E404" s="5"/>
      <c r="F404" s="4"/>
      <c r="G404" s="4"/>
      <c r="H404" s="33"/>
      <c r="I404" s="4"/>
      <c r="J404" s="4"/>
      <c r="K404" s="4"/>
      <c r="L404" s="4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29"/>
      <c r="AJ404" s="29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</row>
    <row r="405">
      <c r="A405" s="4"/>
      <c r="B405" s="4"/>
      <c r="C405" s="4"/>
      <c r="D405" s="4"/>
      <c r="E405" s="5"/>
      <c r="F405" s="4"/>
      <c r="G405" s="4"/>
      <c r="H405" s="33"/>
      <c r="I405" s="4"/>
      <c r="J405" s="4"/>
      <c r="K405" s="4"/>
      <c r="L405" s="4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29"/>
      <c r="AJ405" s="29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</row>
    <row r="406">
      <c r="A406" s="4"/>
      <c r="B406" s="4"/>
      <c r="C406" s="4"/>
      <c r="D406" s="4"/>
      <c r="E406" s="5"/>
      <c r="F406" s="4"/>
      <c r="G406" s="4"/>
      <c r="H406" s="33"/>
      <c r="I406" s="4"/>
      <c r="J406" s="4"/>
      <c r="K406" s="4"/>
      <c r="L406" s="4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29"/>
      <c r="AJ406" s="29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</row>
    <row r="407">
      <c r="A407" s="4"/>
      <c r="B407" s="4"/>
      <c r="C407" s="4"/>
      <c r="D407" s="4"/>
      <c r="E407" s="5"/>
      <c r="F407" s="4"/>
      <c r="G407" s="4"/>
      <c r="H407" s="33"/>
      <c r="I407" s="4"/>
      <c r="J407" s="4"/>
      <c r="K407" s="4"/>
      <c r="L407" s="4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29"/>
      <c r="AJ407" s="29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</row>
    <row r="408">
      <c r="A408" s="4"/>
      <c r="B408" s="4"/>
      <c r="C408" s="4"/>
      <c r="D408" s="4"/>
      <c r="E408" s="5"/>
      <c r="F408" s="4"/>
      <c r="G408" s="4"/>
      <c r="H408" s="33"/>
      <c r="I408" s="4"/>
      <c r="J408" s="4"/>
      <c r="K408" s="4"/>
      <c r="L408" s="4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29"/>
      <c r="AJ408" s="29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</row>
    <row r="409">
      <c r="A409" s="4"/>
      <c r="B409" s="4"/>
      <c r="C409" s="4"/>
      <c r="D409" s="4"/>
      <c r="E409" s="5"/>
      <c r="F409" s="4"/>
      <c r="G409" s="4"/>
      <c r="H409" s="33"/>
      <c r="I409" s="4"/>
      <c r="J409" s="4"/>
      <c r="K409" s="4"/>
      <c r="L409" s="4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29"/>
      <c r="AJ409" s="29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</row>
    <row r="410">
      <c r="A410" s="4"/>
      <c r="B410" s="4"/>
      <c r="C410" s="4"/>
      <c r="D410" s="4"/>
      <c r="E410" s="5"/>
      <c r="F410" s="4"/>
      <c r="G410" s="4"/>
      <c r="H410" s="33"/>
      <c r="I410" s="4"/>
      <c r="J410" s="4"/>
      <c r="K410" s="4"/>
      <c r="L410" s="4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29"/>
      <c r="AJ410" s="29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</row>
    <row r="411">
      <c r="A411" s="4"/>
      <c r="B411" s="4"/>
      <c r="C411" s="4"/>
      <c r="D411" s="4"/>
      <c r="E411" s="5"/>
      <c r="F411" s="4"/>
      <c r="G411" s="4"/>
      <c r="H411" s="33"/>
      <c r="I411" s="4"/>
      <c r="J411" s="4"/>
      <c r="K411" s="4"/>
      <c r="L411" s="4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29"/>
      <c r="AJ411" s="29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</row>
    <row r="412">
      <c r="A412" s="4"/>
      <c r="B412" s="4"/>
      <c r="C412" s="4"/>
      <c r="D412" s="4"/>
      <c r="E412" s="5"/>
      <c r="F412" s="4"/>
      <c r="G412" s="4"/>
      <c r="H412" s="33"/>
      <c r="I412" s="4"/>
      <c r="J412" s="4"/>
      <c r="K412" s="4"/>
      <c r="L412" s="4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29"/>
      <c r="AJ412" s="29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</row>
    <row r="413">
      <c r="A413" s="4"/>
      <c r="B413" s="4"/>
      <c r="C413" s="4"/>
      <c r="D413" s="4"/>
      <c r="E413" s="5"/>
      <c r="F413" s="4"/>
      <c r="G413" s="4"/>
      <c r="H413" s="33"/>
      <c r="I413" s="4"/>
      <c r="J413" s="4"/>
      <c r="K413" s="4"/>
      <c r="L413" s="4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29"/>
      <c r="AJ413" s="29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</row>
    <row r="414">
      <c r="A414" s="4"/>
      <c r="B414" s="4"/>
      <c r="C414" s="4"/>
      <c r="D414" s="4"/>
      <c r="E414" s="5"/>
      <c r="F414" s="4"/>
      <c r="G414" s="4"/>
      <c r="H414" s="33"/>
      <c r="I414" s="4"/>
      <c r="J414" s="4"/>
      <c r="K414" s="4"/>
      <c r="L414" s="4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29"/>
      <c r="AJ414" s="29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</row>
    <row r="415">
      <c r="A415" s="4"/>
      <c r="B415" s="4"/>
      <c r="C415" s="4"/>
      <c r="D415" s="4"/>
      <c r="E415" s="5"/>
      <c r="F415" s="4"/>
      <c r="G415" s="4"/>
      <c r="H415" s="33"/>
      <c r="I415" s="4"/>
      <c r="J415" s="4"/>
      <c r="K415" s="4"/>
      <c r="L415" s="4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29"/>
      <c r="AJ415" s="29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</row>
    <row r="416">
      <c r="A416" s="4"/>
      <c r="B416" s="4"/>
      <c r="C416" s="4"/>
      <c r="D416" s="4"/>
      <c r="E416" s="5"/>
      <c r="F416" s="4"/>
      <c r="G416" s="4"/>
      <c r="H416" s="33"/>
      <c r="I416" s="4"/>
      <c r="J416" s="4"/>
      <c r="K416" s="4"/>
      <c r="L416" s="4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29"/>
      <c r="AJ416" s="29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</row>
    <row r="417">
      <c r="A417" s="4"/>
      <c r="B417" s="4"/>
      <c r="C417" s="4"/>
      <c r="D417" s="4"/>
      <c r="E417" s="5"/>
      <c r="F417" s="4"/>
      <c r="G417" s="4"/>
      <c r="H417" s="33"/>
      <c r="I417" s="4"/>
      <c r="J417" s="4"/>
      <c r="K417" s="4"/>
      <c r="L417" s="4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29"/>
      <c r="AJ417" s="29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</row>
    <row r="418">
      <c r="A418" s="4"/>
      <c r="B418" s="4"/>
      <c r="C418" s="4"/>
      <c r="D418" s="4"/>
      <c r="E418" s="5"/>
      <c r="F418" s="4"/>
      <c r="G418" s="4"/>
      <c r="H418" s="33"/>
      <c r="I418" s="4"/>
      <c r="J418" s="4"/>
      <c r="K418" s="4"/>
      <c r="L418" s="4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29"/>
      <c r="AJ418" s="29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</row>
    <row r="419">
      <c r="A419" s="4"/>
      <c r="B419" s="4"/>
      <c r="C419" s="4"/>
      <c r="D419" s="4"/>
      <c r="E419" s="5"/>
      <c r="F419" s="4"/>
      <c r="G419" s="4"/>
      <c r="H419" s="33"/>
      <c r="I419" s="4"/>
      <c r="J419" s="4"/>
      <c r="K419" s="4"/>
      <c r="L419" s="4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29"/>
      <c r="AJ419" s="29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</row>
    <row r="420">
      <c r="A420" s="4"/>
      <c r="B420" s="4"/>
      <c r="C420" s="4"/>
      <c r="D420" s="4"/>
      <c r="E420" s="5"/>
      <c r="F420" s="4"/>
      <c r="G420" s="4"/>
      <c r="H420" s="33"/>
      <c r="I420" s="4"/>
      <c r="J420" s="4"/>
      <c r="K420" s="4"/>
      <c r="L420" s="4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29"/>
      <c r="AJ420" s="29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</row>
    <row r="421">
      <c r="A421" s="4"/>
      <c r="B421" s="4"/>
      <c r="C421" s="4"/>
      <c r="D421" s="4"/>
      <c r="E421" s="5"/>
      <c r="F421" s="4"/>
      <c r="G421" s="4"/>
      <c r="H421" s="33"/>
      <c r="I421" s="4"/>
      <c r="J421" s="4"/>
      <c r="K421" s="4"/>
      <c r="L421" s="4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29"/>
      <c r="AJ421" s="29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</row>
    <row r="422">
      <c r="A422" s="4"/>
      <c r="B422" s="4"/>
      <c r="C422" s="4"/>
      <c r="D422" s="4"/>
      <c r="E422" s="5"/>
      <c r="F422" s="4"/>
      <c r="G422" s="4"/>
      <c r="H422" s="33"/>
      <c r="I422" s="4"/>
      <c r="J422" s="4"/>
      <c r="K422" s="4"/>
      <c r="L422" s="4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29"/>
      <c r="AJ422" s="29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</row>
    <row r="423">
      <c r="A423" s="4"/>
      <c r="B423" s="4"/>
      <c r="C423" s="4"/>
      <c r="D423" s="4"/>
      <c r="E423" s="5"/>
      <c r="F423" s="4"/>
      <c r="G423" s="4"/>
      <c r="H423" s="33"/>
      <c r="I423" s="4"/>
      <c r="J423" s="4"/>
      <c r="K423" s="4"/>
      <c r="L423" s="4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29"/>
      <c r="AJ423" s="29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</row>
    <row r="424">
      <c r="A424" s="4"/>
      <c r="B424" s="4"/>
      <c r="C424" s="4"/>
      <c r="D424" s="4"/>
      <c r="E424" s="5"/>
      <c r="F424" s="4"/>
      <c r="G424" s="4"/>
      <c r="H424" s="33"/>
      <c r="I424" s="4"/>
      <c r="J424" s="4"/>
      <c r="K424" s="4"/>
      <c r="L424" s="4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29"/>
      <c r="AJ424" s="29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</row>
    <row r="425">
      <c r="A425" s="4"/>
      <c r="B425" s="4"/>
      <c r="C425" s="4"/>
      <c r="D425" s="4"/>
      <c r="E425" s="5"/>
      <c r="F425" s="4"/>
      <c r="G425" s="4"/>
      <c r="H425" s="33"/>
      <c r="I425" s="4"/>
      <c r="J425" s="4"/>
      <c r="K425" s="4"/>
      <c r="L425" s="4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29"/>
      <c r="AJ425" s="29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</row>
    <row r="426">
      <c r="A426" s="4"/>
      <c r="B426" s="4"/>
      <c r="C426" s="4"/>
      <c r="D426" s="4"/>
      <c r="E426" s="5"/>
      <c r="F426" s="4"/>
      <c r="G426" s="4"/>
      <c r="H426" s="33"/>
      <c r="I426" s="4"/>
      <c r="J426" s="4"/>
      <c r="K426" s="4"/>
      <c r="L426" s="4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29"/>
      <c r="AJ426" s="29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</row>
    <row r="427">
      <c r="A427" s="4"/>
      <c r="B427" s="4"/>
      <c r="C427" s="4"/>
      <c r="D427" s="4"/>
      <c r="E427" s="5"/>
      <c r="F427" s="4"/>
      <c r="G427" s="4"/>
      <c r="H427" s="33"/>
      <c r="I427" s="4"/>
      <c r="J427" s="4"/>
      <c r="K427" s="4"/>
      <c r="L427" s="4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29"/>
      <c r="AJ427" s="29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</row>
    <row r="428">
      <c r="A428" s="4"/>
      <c r="B428" s="4"/>
      <c r="C428" s="4"/>
      <c r="D428" s="4"/>
      <c r="E428" s="5"/>
      <c r="F428" s="4"/>
      <c r="G428" s="4"/>
      <c r="H428" s="33"/>
      <c r="I428" s="4"/>
      <c r="J428" s="4"/>
      <c r="K428" s="4"/>
      <c r="L428" s="4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29"/>
      <c r="AJ428" s="29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</row>
    <row r="429">
      <c r="A429" s="4"/>
      <c r="B429" s="4"/>
      <c r="C429" s="4"/>
      <c r="D429" s="4"/>
      <c r="E429" s="5"/>
      <c r="F429" s="4"/>
      <c r="G429" s="4"/>
      <c r="H429" s="33"/>
      <c r="I429" s="4"/>
      <c r="J429" s="4"/>
      <c r="K429" s="4"/>
      <c r="L429" s="4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29"/>
      <c r="AJ429" s="29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</row>
    <row r="430">
      <c r="A430" s="4"/>
      <c r="B430" s="4"/>
      <c r="C430" s="4"/>
      <c r="D430" s="4"/>
      <c r="E430" s="5"/>
      <c r="F430" s="4"/>
      <c r="G430" s="4"/>
      <c r="H430" s="33"/>
      <c r="I430" s="4"/>
      <c r="J430" s="4"/>
      <c r="K430" s="4"/>
      <c r="L430" s="4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29"/>
      <c r="AJ430" s="29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</row>
    <row r="431">
      <c r="A431" s="4"/>
      <c r="B431" s="4"/>
      <c r="C431" s="4"/>
      <c r="D431" s="4"/>
      <c r="E431" s="5"/>
      <c r="F431" s="4"/>
      <c r="G431" s="4"/>
      <c r="H431" s="33"/>
      <c r="I431" s="4"/>
      <c r="J431" s="4"/>
      <c r="K431" s="4"/>
      <c r="L431" s="4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29"/>
      <c r="AJ431" s="29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</row>
    <row r="432">
      <c r="A432" s="4"/>
      <c r="B432" s="4"/>
      <c r="C432" s="4"/>
      <c r="D432" s="4"/>
      <c r="E432" s="5"/>
      <c r="F432" s="4"/>
      <c r="G432" s="4"/>
      <c r="H432" s="33"/>
      <c r="I432" s="4"/>
      <c r="J432" s="4"/>
      <c r="K432" s="4"/>
      <c r="L432" s="4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29"/>
      <c r="AJ432" s="29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</row>
    <row r="433">
      <c r="A433" s="4"/>
      <c r="B433" s="4"/>
      <c r="C433" s="4"/>
      <c r="D433" s="4"/>
      <c r="E433" s="5"/>
      <c r="F433" s="4"/>
      <c r="G433" s="4"/>
      <c r="H433" s="33"/>
      <c r="I433" s="4"/>
      <c r="J433" s="4"/>
      <c r="K433" s="4"/>
      <c r="L433" s="4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29"/>
      <c r="AJ433" s="29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</row>
    <row r="434">
      <c r="A434" s="4"/>
      <c r="B434" s="4"/>
      <c r="C434" s="4"/>
      <c r="D434" s="4"/>
      <c r="E434" s="5"/>
      <c r="F434" s="4"/>
      <c r="G434" s="4"/>
      <c r="H434" s="33"/>
      <c r="I434" s="4"/>
      <c r="J434" s="4"/>
      <c r="K434" s="4"/>
      <c r="L434" s="4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29"/>
      <c r="AJ434" s="29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</row>
    <row r="435">
      <c r="A435" s="4"/>
      <c r="B435" s="4"/>
      <c r="C435" s="4"/>
      <c r="D435" s="4"/>
      <c r="E435" s="5"/>
      <c r="F435" s="4"/>
      <c r="G435" s="4"/>
      <c r="H435" s="33"/>
      <c r="I435" s="4"/>
      <c r="J435" s="4"/>
      <c r="K435" s="4"/>
      <c r="L435" s="4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29"/>
      <c r="AJ435" s="29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</row>
    <row r="436">
      <c r="A436" s="4"/>
      <c r="B436" s="4"/>
      <c r="C436" s="4"/>
      <c r="D436" s="4"/>
      <c r="E436" s="5"/>
      <c r="F436" s="4"/>
      <c r="G436" s="4"/>
      <c r="H436" s="33"/>
      <c r="I436" s="4"/>
      <c r="J436" s="4"/>
      <c r="K436" s="4"/>
      <c r="L436" s="4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29"/>
      <c r="AJ436" s="29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</row>
    <row r="437">
      <c r="A437" s="4"/>
      <c r="B437" s="4"/>
      <c r="C437" s="4"/>
      <c r="D437" s="4"/>
      <c r="E437" s="5"/>
      <c r="F437" s="4"/>
      <c r="G437" s="4"/>
      <c r="H437" s="33"/>
      <c r="I437" s="4"/>
      <c r="J437" s="4"/>
      <c r="K437" s="4"/>
      <c r="L437" s="4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29"/>
      <c r="AJ437" s="29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</row>
    <row r="438">
      <c r="A438" s="4"/>
      <c r="B438" s="4"/>
      <c r="C438" s="4"/>
      <c r="D438" s="4"/>
      <c r="E438" s="5"/>
      <c r="F438" s="4"/>
      <c r="G438" s="4"/>
      <c r="H438" s="33"/>
      <c r="I438" s="4"/>
      <c r="J438" s="4"/>
      <c r="K438" s="4"/>
      <c r="L438" s="4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29"/>
      <c r="AJ438" s="29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</row>
    <row r="439">
      <c r="A439" s="4"/>
      <c r="B439" s="4"/>
      <c r="C439" s="4"/>
      <c r="D439" s="4"/>
      <c r="E439" s="5"/>
      <c r="F439" s="4"/>
      <c r="G439" s="4"/>
      <c r="H439" s="33"/>
      <c r="I439" s="4"/>
      <c r="J439" s="4"/>
      <c r="K439" s="4"/>
      <c r="L439" s="4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29"/>
      <c r="AJ439" s="29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</row>
    <row r="440">
      <c r="A440" s="4"/>
      <c r="B440" s="4"/>
      <c r="C440" s="4"/>
      <c r="D440" s="4"/>
      <c r="E440" s="5"/>
      <c r="F440" s="4"/>
      <c r="G440" s="4"/>
      <c r="H440" s="33"/>
      <c r="I440" s="4"/>
      <c r="J440" s="4"/>
      <c r="K440" s="4"/>
      <c r="L440" s="4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29"/>
      <c r="AJ440" s="29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</row>
    <row r="441">
      <c r="A441" s="4"/>
      <c r="B441" s="4"/>
      <c r="C441" s="4"/>
      <c r="D441" s="4"/>
      <c r="E441" s="5"/>
      <c r="F441" s="4"/>
      <c r="G441" s="4"/>
      <c r="H441" s="33"/>
      <c r="I441" s="4"/>
      <c r="J441" s="4"/>
      <c r="K441" s="4"/>
      <c r="L441" s="4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29"/>
      <c r="AJ441" s="29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</row>
    <row r="442">
      <c r="A442" s="4"/>
      <c r="B442" s="4"/>
      <c r="C442" s="4"/>
      <c r="D442" s="4"/>
      <c r="E442" s="5"/>
      <c r="F442" s="4"/>
      <c r="G442" s="4"/>
      <c r="H442" s="33"/>
      <c r="I442" s="4"/>
      <c r="J442" s="4"/>
      <c r="K442" s="4"/>
      <c r="L442" s="4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29"/>
      <c r="AJ442" s="29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</row>
    <row r="443">
      <c r="A443" s="4"/>
      <c r="B443" s="4"/>
      <c r="C443" s="4"/>
      <c r="D443" s="4"/>
      <c r="E443" s="5"/>
      <c r="F443" s="4"/>
      <c r="G443" s="4"/>
      <c r="H443" s="33"/>
      <c r="I443" s="4"/>
      <c r="J443" s="4"/>
      <c r="K443" s="4"/>
      <c r="L443" s="4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29"/>
      <c r="AJ443" s="29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</row>
    <row r="444">
      <c r="A444" s="4"/>
      <c r="B444" s="4"/>
      <c r="C444" s="4"/>
      <c r="D444" s="4"/>
      <c r="E444" s="5"/>
      <c r="F444" s="4"/>
      <c r="G444" s="4"/>
      <c r="H444" s="33"/>
      <c r="I444" s="4"/>
      <c r="J444" s="4"/>
      <c r="K444" s="4"/>
      <c r="L444" s="4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29"/>
      <c r="AJ444" s="29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</row>
    <row r="445">
      <c r="A445" s="4"/>
      <c r="B445" s="4"/>
      <c r="C445" s="4"/>
      <c r="D445" s="4"/>
      <c r="E445" s="5"/>
      <c r="F445" s="4"/>
      <c r="G445" s="4"/>
      <c r="H445" s="33"/>
      <c r="I445" s="4"/>
      <c r="J445" s="4"/>
      <c r="K445" s="4"/>
      <c r="L445" s="4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29"/>
      <c r="AJ445" s="29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</row>
    <row r="446">
      <c r="A446" s="4"/>
      <c r="B446" s="4"/>
      <c r="C446" s="4"/>
      <c r="D446" s="4"/>
      <c r="E446" s="5"/>
      <c r="F446" s="4"/>
      <c r="G446" s="4"/>
      <c r="H446" s="33"/>
      <c r="I446" s="4"/>
      <c r="J446" s="4"/>
      <c r="K446" s="4"/>
      <c r="L446" s="4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29"/>
      <c r="AJ446" s="29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</row>
    <row r="447">
      <c r="A447" s="4"/>
      <c r="B447" s="4"/>
      <c r="C447" s="4"/>
      <c r="D447" s="4"/>
      <c r="E447" s="5"/>
      <c r="F447" s="4"/>
      <c r="G447" s="4"/>
      <c r="H447" s="33"/>
      <c r="I447" s="4"/>
      <c r="J447" s="4"/>
      <c r="K447" s="4"/>
      <c r="L447" s="4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29"/>
      <c r="AJ447" s="29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</row>
    <row r="448">
      <c r="A448" s="4"/>
      <c r="B448" s="4"/>
      <c r="C448" s="4"/>
      <c r="D448" s="4"/>
      <c r="E448" s="5"/>
      <c r="F448" s="4"/>
      <c r="G448" s="4"/>
      <c r="H448" s="33"/>
      <c r="I448" s="4"/>
      <c r="J448" s="4"/>
      <c r="K448" s="4"/>
      <c r="L448" s="4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29"/>
      <c r="AJ448" s="29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</row>
    <row r="449">
      <c r="A449" s="4"/>
      <c r="B449" s="4"/>
      <c r="C449" s="4"/>
      <c r="D449" s="4"/>
      <c r="E449" s="5"/>
      <c r="F449" s="4"/>
      <c r="G449" s="4"/>
      <c r="H449" s="33"/>
      <c r="I449" s="4"/>
      <c r="J449" s="4"/>
      <c r="K449" s="4"/>
      <c r="L449" s="4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29"/>
      <c r="AJ449" s="29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</row>
    <row r="450">
      <c r="A450" s="4"/>
      <c r="B450" s="4"/>
      <c r="C450" s="4"/>
      <c r="D450" s="4"/>
      <c r="E450" s="5"/>
      <c r="F450" s="4"/>
      <c r="G450" s="4"/>
      <c r="H450" s="33"/>
      <c r="I450" s="4"/>
      <c r="J450" s="4"/>
      <c r="K450" s="4"/>
      <c r="L450" s="4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29"/>
      <c r="AJ450" s="29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</row>
    <row r="451">
      <c r="A451" s="4"/>
      <c r="B451" s="4"/>
      <c r="C451" s="4"/>
      <c r="D451" s="4"/>
      <c r="E451" s="5"/>
      <c r="F451" s="4"/>
      <c r="G451" s="4"/>
      <c r="H451" s="33"/>
      <c r="I451" s="4"/>
      <c r="J451" s="4"/>
      <c r="K451" s="4"/>
      <c r="L451" s="4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29"/>
      <c r="AJ451" s="29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</row>
    <row r="452">
      <c r="A452" s="4"/>
      <c r="B452" s="4"/>
      <c r="C452" s="4"/>
      <c r="D452" s="4"/>
      <c r="E452" s="5"/>
      <c r="F452" s="4"/>
      <c r="G452" s="4"/>
      <c r="H452" s="33"/>
      <c r="I452" s="4"/>
      <c r="J452" s="4"/>
      <c r="K452" s="4"/>
      <c r="L452" s="4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29"/>
      <c r="AJ452" s="29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</row>
    <row r="453">
      <c r="A453" s="4"/>
      <c r="B453" s="4"/>
      <c r="C453" s="4"/>
      <c r="D453" s="4"/>
      <c r="E453" s="5"/>
      <c r="F453" s="4"/>
      <c r="G453" s="4"/>
      <c r="H453" s="33"/>
      <c r="I453" s="4"/>
      <c r="J453" s="4"/>
      <c r="K453" s="4"/>
      <c r="L453" s="4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29"/>
      <c r="AJ453" s="29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</row>
    <row r="454">
      <c r="A454" s="4"/>
      <c r="B454" s="4"/>
      <c r="C454" s="4"/>
      <c r="D454" s="4"/>
      <c r="E454" s="5"/>
      <c r="F454" s="4"/>
      <c r="G454" s="4"/>
      <c r="H454" s="33"/>
      <c r="I454" s="4"/>
      <c r="J454" s="4"/>
      <c r="K454" s="4"/>
      <c r="L454" s="4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29"/>
      <c r="AJ454" s="29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</row>
    <row r="455">
      <c r="A455" s="4"/>
      <c r="B455" s="4"/>
      <c r="C455" s="4"/>
      <c r="D455" s="4"/>
      <c r="E455" s="5"/>
      <c r="F455" s="4"/>
      <c r="G455" s="4"/>
      <c r="H455" s="33"/>
      <c r="I455" s="4"/>
      <c r="J455" s="4"/>
      <c r="K455" s="4"/>
      <c r="L455" s="4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29"/>
      <c r="AJ455" s="29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</row>
    <row r="456">
      <c r="A456" s="4"/>
      <c r="B456" s="4"/>
      <c r="C456" s="4"/>
      <c r="D456" s="4"/>
      <c r="E456" s="5"/>
      <c r="F456" s="4"/>
      <c r="G456" s="4"/>
      <c r="H456" s="33"/>
      <c r="I456" s="4"/>
      <c r="J456" s="4"/>
      <c r="K456" s="4"/>
      <c r="L456" s="4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29"/>
      <c r="AJ456" s="29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</row>
    <row r="457">
      <c r="A457" s="4"/>
      <c r="B457" s="4"/>
      <c r="C457" s="4"/>
      <c r="D457" s="4"/>
      <c r="E457" s="5"/>
      <c r="F457" s="4"/>
      <c r="G457" s="4"/>
      <c r="H457" s="33"/>
      <c r="I457" s="4"/>
      <c r="J457" s="4"/>
      <c r="K457" s="4"/>
      <c r="L457" s="4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29"/>
      <c r="AJ457" s="29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</row>
    <row r="458">
      <c r="A458" s="4"/>
      <c r="B458" s="4"/>
      <c r="C458" s="4"/>
      <c r="D458" s="4"/>
      <c r="E458" s="5"/>
      <c r="F458" s="4"/>
      <c r="G458" s="4"/>
      <c r="H458" s="33"/>
      <c r="I458" s="4"/>
      <c r="J458" s="4"/>
      <c r="K458" s="4"/>
      <c r="L458" s="4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29"/>
      <c r="AJ458" s="29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</row>
    <row r="459">
      <c r="A459" s="4"/>
      <c r="B459" s="4"/>
      <c r="C459" s="4"/>
      <c r="D459" s="4"/>
      <c r="E459" s="5"/>
      <c r="F459" s="4"/>
      <c r="G459" s="4"/>
      <c r="H459" s="33"/>
      <c r="I459" s="4"/>
      <c r="J459" s="4"/>
      <c r="K459" s="4"/>
      <c r="L459" s="4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29"/>
      <c r="AJ459" s="29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</row>
    <row r="460">
      <c r="A460" s="4"/>
      <c r="B460" s="4"/>
      <c r="C460" s="4"/>
      <c r="D460" s="4"/>
      <c r="E460" s="5"/>
      <c r="F460" s="4"/>
      <c r="G460" s="4"/>
      <c r="H460" s="33"/>
      <c r="I460" s="4"/>
      <c r="J460" s="4"/>
      <c r="K460" s="4"/>
      <c r="L460" s="4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29"/>
      <c r="AJ460" s="29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</row>
    <row r="461">
      <c r="A461" s="4"/>
      <c r="B461" s="4"/>
      <c r="C461" s="4"/>
      <c r="D461" s="4"/>
      <c r="E461" s="5"/>
      <c r="F461" s="4"/>
      <c r="G461" s="4"/>
      <c r="H461" s="33"/>
      <c r="I461" s="4"/>
      <c r="J461" s="4"/>
      <c r="K461" s="4"/>
      <c r="L461" s="4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29"/>
      <c r="AJ461" s="29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</row>
    <row r="462">
      <c r="A462" s="4"/>
      <c r="B462" s="4"/>
      <c r="C462" s="4"/>
      <c r="D462" s="4"/>
      <c r="E462" s="5"/>
      <c r="F462" s="4"/>
      <c r="G462" s="4"/>
      <c r="H462" s="33"/>
      <c r="I462" s="4"/>
      <c r="J462" s="4"/>
      <c r="K462" s="4"/>
      <c r="L462" s="4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29"/>
      <c r="AJ462" s="29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</row>
    <row r="463">
      <c r="A463" s="4"/>
      <c r="B463" s="4"/>
      <c r="C463" s="4"/>
      <c r="D463" s="4"/>
      <c r="E463" s="5"/>
      <c r="F463" s="4"/>
      <c r="G463" s="4"/>
      <c r="H463" s="33"/>
      <c r="I463" s="4"/>
      <c r="J463" s="4"/>
      <c r="K463" s="4"/>
      <c r="L463" s="4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29"/>
      <c r="AJ463" s="29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</row>
    <row r="464">
      <c r="A464" s="4"/>
      <c r="B464" s="4"/>
      <c r="C464" s="4"/>
      <c r="D464" s="4"/>
      <c r="E464" s="5"/>
      <c r="F464" s="4"/>
      <c r="G464" s="4"/>
      <c r="H464" s="33"/>
      <c r="I464" s="4"/>
      <c r="J464" s="4"/>
      <c r="K464" s="4"/>
      <c r="L464" s="4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29"/>
      <c r="AJ464" s="29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</row>
    <row r="465">
      <c r="A465" s="4"/>
      <c r="B465" s="4"/>
      <c r="C465" s="4"/>
      <c r="D465" s="4"/>
      <c r="E465" s="5"/>
      <c r="F465" s="4"/>
      <c r="G465" s="4"/>
      <c r="H465" s="33"/>
      <c r="I465" s="4"/>
      <c r="J465" s="4"/>
      <c r="K465" s="4"/>
      <c r="L465" s="4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29"/>
      <c r="AJ465" s="29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</row>
    <row r="466">
      <c r="A466" s="4"/>
      <c r="B466" s="4"/>
      <c r="C466" s="4"/>
      <c r="D466" s="4"/>
      <c r="E466" s="5"/>
      <c r="F466" s="4"/>
      <c r="G466" s="4"/>
      <c r="H466" s="33"/>
      <c r="I466" s="4"/>
      <c r="J466" s="4"/>
      <c r="K466" s="4"/>
      <c r="L466" s="4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29"/>
      <c r="AJ466" s="29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</row>
    <row r="467">
      <c r="A467" s="4"/>
      <c r="B467" s="4"/>
      <c r="C467" s="4"/>
      <c r="D467" s="4"/>
      <c r="E467" s="5"/>
      <c r="F467" s="4"/>
      <c r="G467" s="4"/>
      <c r="H467" s="33"/>
      <c r="I467" s="4"/>
      <c r="J467" s="4"/>
      <c r="K467" s="4"/>
      <c r="L467" s="4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29"/>
      <c r="AJ467" s="29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</row>
    <row r="468">
      <c r="A468" s="4"/>
      <c r="B468" s="4"/>
      <c r="C468" s="4"/>
      <c r="D468" s="4"/>
      <c r="E468" s="5"/>
      <c r="F468" s="4"/>
      <c r="G468" s="4"/>
      <c r="H468" s="33"/>
      <c r="I468" s="4"/>
      <c r="J468" s="4"/>
      <c r="K468" s="4"/>
      <c r="L468" s="4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29"/>
      <c r="AJ468" s="29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</row>
    <row r="469">
      <c r="A469" s="4"/>
      <c r="B469" s="4"/>
      <c r="C469" s="4"/>
      <c r="D469" s="4"/>
      <c r="E469" s="5"/>
      <c r="F469" s="4"/>
      <c r="G469" s="4"/>
      <c r="H469" s="33"/>
      <c r="I469" s="4"/>
      <c r="J469" s="4"/>
      <c r="K469" s="4"/>
      <c r="L469" s="4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29"/>
      <c r="AJ469" s="29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</row>
    <row r="470">
      <c r="A470" s="4"/>
      <c r="B470" s="4"/>
      <c r="C470" s="4"/>
      <c r="D470" s="4"/>
      <c r="E470" s="5"/>
      <c r="F470" s="4"/>
      <c r="G470" s="4"/>
      <c r="H470" s="33"/>
      <c r="I470" s="4"/>
      <c r="J470" s="4"/>
      <c r="K470" s="4"/>
      <c r="L470" s="4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29"/>
      <c r="AJ470" s="29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</row>
    <row r="471">
      <c r="A471" s="4"/>
      <c r="B471" s="4"/>
      <c r="C471" s="4"/>
      <c r="D471" s="4"/>
      <c r="E471" s="5"/>
      <c r="F471" s="4"/>
      <c r="G471" s="4"/>
      <c r="H471" s="33"/>
      <c r="I471" s="4"/>
      <c r="J471" s="4"/>
      <c r="K471" s="4"/>
      <c r="L471" s="4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29"/>
      <c r="AJ471" s="29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</row>
    <row r="472">
      <c r="A472" s="4"/>
      <c r="B472" s="4"/>
      <c r="C472" s="4"/>
      <c r="D472" s="4"/>
      <c r="E472" s="5"/>
      <c r="F472" s="4"/>
      <c r="G472" s="4"/>
      <c r="H472" s="33"/>
      <c r="I472" s="4"/>
      <c r="J472" s="4"/>
      <c r="K472" s="4"/>
      <c r="L472" s="4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29"/>
      <c r="AJ472" s="29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</row>
    <row r="473">
      <c r="A473" s="4"/>
      <c r="B473" s="4"/>
      <c r="C473" s="4"/>
      <c r="D473" s="4"/>
      <c r="E473" s="5"/>
      <c r="F473" s="4"/>
      <c r="G473" s="4"/>
      <c r="H473" s="33"/>
      <c r="I473" s="4"/>
      <c r="J473" s="4"/>
      <c r="K473" s="4"/>
      <c r="L473" s="4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29"/>
      <c r="AJ473" s="29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</row>
    <row r="474">
      <c r="A474" s="4"/>
      <c r="B474" s="4"/>
      <c r="C474" s="4"/>
      <c r="D474" s="4"/>
      <c r="E474" s="5"/>
      <c r="F474" s="4"/>
      <c r="G474" s="4"/>
      <c r="H474" s="33"/>
      <c r="I474" s="4"/>
      <c r="J474" s="4"/>
      <c r="K474" s="4"/>
      <c r="L474" s="4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29"/>
      <c r="AJ474" s="29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</row>
    <row r="475">
      <c r="A475" s="4"/>
      <c r="B475" s="4"/>
      <c r="C475" s="4"/>
      <c r="D475" s="4"/>
      <c r="E475" s="5"/>
      <c r="F475" s="4"/>
      <c r="G475" s="4"/>
      <c r="H475" s="33"/>
      <c r="I475" s="4"/>
      <c r="J475" s="4"/>
      <c r="K475" s="4"/>
      <c r="L475" s="4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29"/>
      <c r="AJ475" s="29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</row>
    <row r="476">
      <c r="A476" s="4"/>
      <c r="B476" s="4"/>
      <c r="C476" s="4"/>
      <c r="D476" s="4"/>
      <c r="E476" s="5"/>
      <c r="F476" s="4"/>
      <c r="G476" s="4"/>
      <c r="H476" s="33"/>
      <c r="I476" s="4"/>
      <c r="J476" s="4"/>
      <c r="K476" s="4"/>
      <c r="L476" s="4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29"/>
      <c r="AJ476" s="29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</row>
    <row r="477">
      <c r="A477" s="4"/>
      <c r="B477" s="4"/>
      <c r="C477" s="4"/>
      <c r="D477" s="4"/>
      <c r="E477" s="5"/>
      <c r="F477" s="4"/>
      <c r="G477" s="4"/>
      <c r="H477" s="33"/>
      <c r="I477" s="4"/>
      <c r="J477" s="4"/>
      <c r="K477" s="4"/>
      <c r="L477" s="4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29"/>
      <c r="AJ477" s="29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</row>
    <row r="478">
      <c r="A478" s="4"/>
      <c r="B478" s="4"/>
      <c r="C478" s="4"/>
      <c r="D478" s="4"/>
      <c r="E478" s="5"/>
      <c r="F478" s="4"/>
      <c r="G478" s="4"/>
      <c r="H478" s="33"/>
      <c r="I478" s="4"/>
      <c r="J478" s="4"/>
      <c r="K478" s="4"/>
      <c r="L478" s="4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29"/>
      <c r="AJ478" s="29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</row>
    <row r="479">
      <c r="A479" s="4"/>
      <c r="B479" s="4"/>
      <c r="C479" s="4"/>
      <c r="D479" s="4"/>
      <c r="E479" s="5"/>
      <c r="F479" s="4"/>
      <c r="G479" s="4"/>
      <c r="H479" s="33"/>
      <c r="I479" s="4"/>
      <c r="J479" s="4"/>
      <c r="K479" s="4"/>
      <c r="L479" s="4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29"/>
      <c r="AJ479" s="29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</row>
    <row r="480">
      <c r="A480" s="4"/>
      <c r="B480" s="4"/>
      <c r="C480" s="4"/>
      <c r="D480" s="4"/>
      <c r="E480" s="5"/>
      <c r="F480" s="4"/>
      <c r="G480" s="4"/>
      <c r="H480" s="33"/>
      <c r="I480" s="4"/>
      <c r="J480" s="4"/>
      <c r="K480" s="4"/>
      <c r="L480" s="4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29"/>
      <c r="AJ480" s="29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</row>
    <row r="481">
      <c r="A481" s="4"/>
      <c r="B481" s="4"/>
      <c r="C481" s="4"/>
      <c r="D481" s="4"/>
      <c r="E481" s="5"/>
      <c r="F481" s="4"/>
      <c r="G481" s="4"/>
      <c r="H481" s="33"/>
      <c r="I481" s="4"/>
      <c r="J481" s="4"/>
      <c r="K481" s="4"/>
      <c r="L481" s="4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29"/>
      <c r="AJ481" s="29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</row>
    <row r="482">
      <c r="A482" s="4"/>
      <c r="B482" s="4"/>
      <c r="C482" s="4"/>
      <c r="D482" s="4"/>
      <c r="E482" s="5"/>
      <c r="F482" s="4"/>
      <c r="G482" s="4"/>
      <c r="H482" s="33"/>
      <c r="I482" s="4"/>
      <c r="J482" s="4"/>
      <c r="K482" s="4"/>
      <c r="L482" s="4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29"/>
      <c r="AJ482" s="29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</row>
    <row r="483">
      <c r="A483" s="4"/>
      <c r="B483" s="4"/>
      <c r="C483" s="4"/>
      <c r="D483" s="4"/>
      <c r="E483" s="5"/>
      <c r="F483" s="4"/>
      <c r="G483" s="4"/>
      <c r="H483" s="33"/>
      <c r="I483" s="4"/>
      <c r="J483" s="4"/>
      <c r="K483" s="4"/>
      <c r="L483" s="4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29"/>
      <c r="AJ483" s="29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</row>
    <row r="484">
      <c r="A484" s="4"/>
      <c r="B484" s="4"/>
      <c r="C484" s="4"/>
      <c r="D484" s="4"/>
      <c r="E484" s="5"/>
      <c r="F484" s="4"/>
      <c r="G484" s="4"/>
      <c r="H484" s="33"/>
      <c r="I484" s="4"/>
      <c r="J484" s="4"/>
      <c r="K484" s="4"/>
      <c r="L484" s="4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29"/>
      <c r="AJ484" s="29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</row>
    <row r="485">
      <c r="A485" s="4"/>
      <c r="B485" s="4"/>
      <c r="C485" s="4"/>
      <c r="D485" s="4"/>
      <c r="E485" s="5"/>
      <c r="F485" s="4"/>
      <c r="G485" s="4"/>
      <c r="H485" s="33"/>
      <c r="I485" s="4"/>
      <c r="J485" s="4"/>
      <c r="K485" s="4"/>
      <c r="L485" s="4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29"/>
      <c r="AJ485" s="29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</row>
    <row r="486">
      <c r="A486" s="4"/>
      <c r="B486" s="4"/>
      <c r="C486" s="4"/>
      <c r="D486" s="4"/>
      <c r="E486" s="5"/>
      <c r="F486" s="4"/>
      <c r="G486" s="4"/>
      <c r="H486" s="33"/>
      <c r="I486" s="4"/>
      <c r="J486" s="4"/>
      <c r="K486" s="4"/>
      <c r="L486" s="4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29"/>
      <c r="AJ486" s="29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</row>
    <row r="487">
      <c r="A487" s="4"/>
      <c r="B487" s="4"/>
      <c r="C487" s="4"/>
      <c r="D487" s="4"/>
      <c r="E487" s="5"/>
      <c r="F487" s="4"/>
      <c r="G487" s="4"/>
      <c r="H487" s="33"/>
      <c r="I487" s="4"/>
      <c r="J487" s="4"/>
      <c r="K487" s="4"/>
      <c r="L487" s="4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29"/>
      <c r="AJ487" s="29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</row>
    <row r="488">
      <c r="A488" s="4"/>
      <c r="B488" s="4"/>
      <c r="C488" s="4"/>
      <c r="D488" s="4"/>
      <c r="E488" s="5"/>
      <c r="F488" s="4"/>
      <c r="G488" s="4"/>
      <c r="H488" s="33"/>
      <c r="I488" s="4"/>
      <c r="J488" s="4"/>
      <c r="K488" s="4"/>
      <c r="L488" s="4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29"/>
      <c r="AJ488" s="29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</row>
    <row r="489">
      <c r="A489" s="4"/>
      <c r="B489" s="4"/>
      <c r="C489" s="4"/>
      <c r="D489" s="4"/>
      <c r="E489" s="5"/>
      <c r="F489" s="4"/>
      <c r="G489" s="4"/>
      <c r="H489" s="33"/>
      <c r="I489" s="4"/>
      <c r="J489" s="4"/>
      <c r="K489" s="4"/>
      <c r="L489" s="4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29"/>
      <c r="AJ489" s="29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</row>
    <row r="490">
      <c r="A490" s="4"/>
      <c r="B490" s="4"/>
      <c r="C490" s="4"/>
      <c r="D490" s="4"/>
      <c r="E490" s="5"/>
      <c r="F490" s="4"/>
      <c r="G490" s="4"/>
      <c r="H490" s="33"/>
      <c r="I490" s="4"/>
      <c r="J490" s="4"/>
      <c r="K490" s="4"/>
      <c r="L490" s="4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29"/>
      <c r="AJ490" s="29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</row>
    <row r="491">
      <c r="A491" s="4"/>
      <c r="B491" s="4"/>
      <c r="C491" s="4"/>
      <c r="D491" s="4"/>
      <c r="E491" s="5"/>
      <c r="F491" s="4"/>
      <c r="G491" s="4"/>
      <c r="H491" s="33"/>
      <c r="I491" s="4"/>
      <c r="J491" s="4"/>
      <c r="K491" s="4"/>
      <c r="L491" s="4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29"/>
      <c r="AJ491" s="29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</row>
    <row r="492">
      <c r="A492" s="4"/>
      <c r="B492" s="4"/>
      <c r="C492" s="4"/>
      <c r="D492" s="4"/>
      <c r="E492" s="5"/>
      <c r="F492" s="4"/>
      <c r="G492" s="4"/>
      <c r="H492" s="33"/>
      <c r="I492" s="4"/>
      <c r="J492" s="4"/>
      <c r="K492" s="4"/>
      <c r="L492" s="4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29"/>
      <c r="AJ492" s="29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</row>
    <row r="493">
      <c r="A493" s="4"/>
      <c r="B493" s="4"/>
      <c r="C493" s="4"/>
      <c r="D493" s="4"/>
      <c r="E493" s="5"/>
      <c r="F493" s="4"/>
      <c r="G493" s="4"/>
      <c r="H493" s="33"/>
      <c r="I493" s="4"/>
      <c r="J493" s="4"/>
      <c r="K493" s="4"/>
      <c r="L493" s="4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29"/>
      <c r="AJ493" s="29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</row>
    <row r="494">
      <c r="A494" s="4"/>
      <c r="B494" s="4"/>
      <c r="C494" s="4"/>
      <c r="D494" s="4"/>
      <c r="E494" s="5"/>
      <c r="F494" s="4"/>
      <c r="G494" s="4"/>
      <c r="H494" s="33"/>
      <c r="I494" s="4"/>
      <c r="J494" s="4"/>
      <c r="K494" s="4"/>
      <c r="L494" s="4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29"/>
      <c r="AJ494" s="29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</row>
    <row r="495">
      <c r="A495" s="4"/>
      <c r="B495" s="4"/>
      <c r="C495" s="4"/>
      <c r="D495" s="4"/>
      <c r="E495" s="5"/>
      <c r="F495" s="4"/>
      <c r="G495" s="4"/>
      <c r="H495" s="33"/>
      <c r="I495" s="4"/>
      <c r="J495" s="4"/>
      <c r="K495" s="4"/>
      <c r="L495" s="4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29"/>
      <c r="AJ495" s="29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</row>
    <row r="496">
      <c r="A496" s="4"/>
      <c r="B496" s="4"/>
      <c r="C496" s="4"/>
      <c r="D496" s="4"/>
      <c r="E496" s="5"/>
      <c r="F496" s="4"/>
      <c r="G496" s="4"/>
      <c r="H496" s="33"/>
      <c r="I496" s="4"/>
      <c r="J496" s="4"/>
      <c r="K496" s="4"/>
      <c r="L496" s="4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29"/>
      <c r="AJ496" s="29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</row>
    <row r="497">
      <c r="A497" s="4"/>
      <c r="B497" s="4"/>
      <c r="C497" s="4"/>
      <c r="D497" s="4"/>
      <c r="E497" s="5"/>
      <c r="F497" s="4"/>
      <c r="G497" s="4"/>
      <c r="H497" s="33"/>
      <c r="I497" s="4"/>
      <c r="J497" s="4"/>
      <c r="K497" s="4"/>
      <c r="L497" s="4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29"/>
      <c r="AJ497" s="29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</row>
    <row r="498">
      <c r="A498" s="4"/>
      <c r="B498" s="4"/>
      <c r="C498" s="4"/>
      <c r="D498" s="4"/>
      <c r="E498" s="5"/>
      <c r="F498" s="4"/>
      <c r="G498" s="4"/>
      <c r="H498" s="33"/>
      <c r="I498" s="4"/>
      <c r="J498" s="4"/>
      <c r="K498" s="4"/>
      <c r="L498" s="4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29"/>
      <c r="AJ498" s="29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</row>
    <row r="499">
      <c r="A499" s="4"/>
      <c r="B499" s="4"/>
      <c r="C499" s="4"/>
      <c r="D499" s="4"/>
      <c r="E499" s="5"/>
      <c r="F499" s="4"/>
      <c r="G499" s="4"/>
      <c r="H499" s="33"/>
      <c r="I499" s="4"/>
      <c r="J499" s="4"/>
      <c r="K499" s="4"/>
      <c r="L499" s="4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29"/>
      <c r="AJ499" s="29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</row>
    <row r="500">
      <c r="A500" s="4"/>
      <c r="B500" s="4"/>
      <c r="C500" s="4"/>
      <c r="D500" s="4"/>
      <c r="E500" s="5"/>
      <c r="F500" s="4"/>
      <c r="G500" s="4"/>
      <c r="H500" s="33"/>
      <c r="I500" s="4"/>
      <c r="J500" s="4"/>
      <c r="K500" s="4"/>
      <c r="L500" s="4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29"/>
      <c r="AJ500" s="29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</row>
    <row r="501">
      <c r="A501" s="4"/>
      <c r="B501" s="4"/>
      <c r="C501" s="4"/>
      <c r="D501" s="4"/>
      <c r="E501" s="5"/>
      <c r="F501" s="4"/>
      <c r="G501" s="4"/>
      <c r="H501" s="33"/>
      <c r="I501" s="4"/>
      <c r="J501" s="4"/>
      <c r="K501" s="4"/>
      <c r="L501" s="4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29"/>
      <c r="AJ501" s="29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</row>
    <row r="502">
      <c r="A502" s="4"/>
      <c r="B502" s="4"/>
      <c r="C502" s="4"/>
      <c r="D502" s="4"/>
      <c r="E502" s="5"/>
      <c r="F502" s="4"/>
      <c r="G502" s="4"/>
      <c r="H502" s="33"/>
      <c r="I502" s="4"/>
      <c r="J502" s="4"/>
      <c r="K502" s="4"/>
      <c r="L502" s="4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29"/>
      <c r="AJ502" s="29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</row>
    <row r="503">
      <c r="A503" s="4"/>
      <c r="B503" s="4"/>
      <c r="C503" s="4"/>
      <c r="D503" s="4"/>
      <c r="E503" s="5"/>
      <c r="F503" s="4"/>
      <c r="G503" s="4"/>
      <c r="H503" s="33"/>
      <c r="I503" s="4"/>
      <c r="J503" s="4"/>
      <c r="K503" s="4"/>
      <c r="L503" s="4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29"/>
      <c r="AJ503" s="29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</row>
    <row r="504">
      <c r="A504" s="4"/>
      <c r="B504" s="4"/>
      <c r="C504" s="4"/>
      <c r="D504" s="4"/>
      <c r="E504" s="5"/>
      <c r="F504" s="4"/>
      <c r="G504" s="4"/>
      <c r="H504" s="33"/>
      <c r="I504" s="4"/>
      <c r="J504" s="4"/>
      <c r="K504" s="4"/>
      <c r="L504" s="4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29"/>
      <c r="AJ504" s="29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</row>
    <row r="505">
      <c r="A505" s="4"/>
      <c r="B505" s="4"/>
      <c r="C505" s="4"/>
      <c r="D505" s="4"/>
      <c r="E505" s="5"/>
      <c r="F505" s="4"/>
      <c r="G505" s="4"/>
      <c r="H505" s="33"/>
      <c r="I505" s="4"/>
      <c r="J505" s="4"/>
      <c r="K505" s="4"/>
      <c r="L505" s="4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29"/>
      <c r="AJ505" s="29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</row>
    <row r="506">
      <c r="A506" s="4"/>
      <c r="B506" s="4"/>
      <c r="C506" s="4"/>
      <c r="D506" s="4"/>
      <c r="E506" s="5"/>
      <c r="F506" s="4"/>
      <c r="G506" s="4"/>
      <c r="H506" s="33"/>
      <c r="I506" s="4"/>
      <c r="J506" s="4"/>
      <c r="K506" s="4"/>
      <c r="L506" s="4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29"/>
      <c r="AJ506" s="29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</row>
    <row r="507">
      <c r="A507" s="4"/>
      <c r="B507" s="4"/>
      <c r="C507" s="4"/>
      <c r="D507" s="4"/>
      <c r="E507" s="5"/>
      <c r="F507" s="4"/>
      <c r="G507" s="4"/>
      <c r="H507" s="33"/>
      <c r="I507" s="4"/>
      <c r="J507" s="4"/>
      <c r="K507" s="4"/>
      <c r="L507" s="4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29"/>
      <c r="AJ507" s="29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</row>
    <row r="508">
      <c r="A508" s="4"/>
      <c r="B508" s="4"/>
      <c r="C508" s="4"/>
      <c r="D508" s="4"/>
      <c r="E508" s="5"/>
      <c r="F508" s="4"/>
      <c r="G508" s="4"/>
      <c r="H508" s="33"/>
      <c r="I508" s="4"/>
      <c r="J508" s="4"/>
      <c r="K508" s="4"/>
      <c r="L508" s="4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29"/>
      <c r="AJ508" s="29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</row>
    <row r="509">
      <c r="A509" s="4"/>
      <c r="B509" s="4"/>
      <c r="C509" s="4"/>
      <c r="D509" s="4"/>
      <c r="E509" s="5"/>
      <c r="F509" s="4"/>
      <c r="G509" s="4"/>
      <c r="H509" s="33"/>
      <c r="I509" s="4"/>
      <c r="J509" s="4"/>
      <c r="K509" s="4"/>
      <c r="L509" s="4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29"/>
      <c r="AJ509" s="29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</row>
    <row r="510">
      <c r="A510" s="4"/>
      <c r="B510" s="4"/>
      <c r="C510" s="4"/>
      <c r="D510" s="4"/>
      <c r="E510" s="5"/>
      <c r="F510" s="4"/>
      <c r="G510" s="4"/>
      <c r="H510" s="33"/>
      <c r="I510" s="4"/>
      <c r="J510" s="4"/>
      <c r="K510" s="4"/>
      <c r="L510" s="4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29"/>
      <c r="AJ510" s="29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</row>
    <row r="511">
      <c r="A511" s="4"/>
      <c r="B511" s="4"/>
      <c r="C511" s="4"/>
      <c r="D511" s="4"/>
      <c r="E511" s="5"/>
      <c r="F511" s="4"/>
      <c r="G511" s="4"/>
      <c r="H511" s="33"/>
      <c r="I511" s="4"/>
      <c r="J511" s="4"/>
      <c r="K511" s="4"/>
      <c r="L511" s="4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29"/>
      <c r="AJ511" s="29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</row>
    <row r="512">
      <c r="A512" s="4"/>
      <c r="B512" s="4"/>
      <c r="C512" s="4"/>
      <c r="D512" s="4"/>
      <c r="E512" s="5"/>
      <c r="F512" s="4"/>
      <c r="G512" s="4"/>
      <c r="H512" s="33"/>
      <c r="I512" s="4"/>
      <c r="J512" s="4"/>
      <c r="K512" s="4"/>
      <c r="L512" s="4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29"/>
      <c r="AJ512" s="29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</row>
    <row r="513">
      <c r="A513" s="4"/>
      <c r="B513" s="4"/>
      <c r="C513" s="4"/>
      <c r="D513" s="4"/>
      <c r="E513" s="5"/>
      <c r="F513" s="4"/>
      <c r="G513" s="4"/>
      <c r="H513" s="33"/>
      <c r="I513" s="4"/>
      <c r="J513" s="4"/>
      <c r="K513" s="4"/>
      <c r="L513" s="4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29"/>
      <c r="AJ513" s="29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</row>
    <row r="514">
      <c r="A514" s="4"/>
      <c r="B514" s="4"/>
      <c r="C514" s="4"/>
      <c r="D514" s="4"/>
      <c r="E514" s="5"/>
      <c r="F514" s="4"/>
      <c r="G514" s="4"/>
      <c r="H514" s="33"/>
      <c r="I514" s="4"/>
      <c r="J514" s="4"/>
      <c r="K514" s="4"/>
      <c r="L514" s="4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29"/>
      <c r="AJ514" s="29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</row>
    <row r="515">
      <c r="A515" s="4"/>
      <c r="B515" s="4"/>
      <c r="C515" s="4"/>
      <c r="D515" s="4"/>
      <c r="E515" s="5"/>
      <c r="F515" s="4"/>
      <c r="G515" s="4"/>
      <c r="H515" s="33"/>
      <c r="I515" s="4"/>
      <c r="J515" s="4"/>
      <c r="K515" s="4"/>
      <c r="L515" s="4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29"/>
      <c r="AJ515" s="29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</row>
    <row r="516">
      <c r="A516" s="4"/>
      <c r="B516" s="4"/>
      <c r="C516" s="4"/>
      <c r="D516" s="4"/>
      <c r="E516" s="5"/>
      <c r="F516" s="4"/>
      <c r="G516" s="4"/>
      <c r="H516" s="33"/>
      <c r="I516" s="4"/>
      <c r="J516" s="4"/>
      <c r="K516" s="4"/>
      <c r="L516" s="4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29"/>
      <c r="AJ516" s="29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</row>
    <row r="517">
      <c r="A517" s="4"/>
      <c r="B517" s="4"/>
      <c r="C517" s="4"/>
      <c r="D517" s="4"/>
      <c r="E517" s="5"/>
      <c r="F517" s="4"/>
      <c r="G517" s="4"/>
      <c r="H517" s="33"/>
      <c r="I517" s="4"/>
      <c r="J517" s="4"/>
      <c r="K517" s="4"/>
      <c r="L517" s="4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29"/>
      <c r="AJ517" s="29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</row>
    <row r="518">
      <c r="A518" s="4"/>
      <c r="B518" s="4"/>
      <c r="C518" s="4"/>
      <c r="D518" s="4"/>
      <c r="E518" s="5"/>
      <c r="F518" s="4"/>
      <c r="G518" s="4"/>
      <c r="H518" s="33"/>
      <c r="I518" s="4"/>
      <c r="J518" s="4"/>
      <c r="K518" s="4"/>
      <c r="L518" s="4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29"/>
      <c r="AJ518" s="29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</row>
    <row r="519">
      <c r="A519" s="4"/>
      <c r="B519" s="4"/>
      <c r="C519" s="4"/>
      <c r="D519" s="4"/>
      <c r="E519" s="5"/>
      <c r="F519" s="4"/>
      <c r="G519" s="4"/>
      <c r="H519" s="33"/>
      <c r="I519" s="4"/>
      <c r="J519" s="4"/>
      <c r="K519" s="4"/>
      <c r="L519" s="4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29"/>
      <c r="AJ519" s="29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</row>
    <row r="520">
      <c r="A520" s="4"/>
      <c r="B520" s="4"/>
      <c r="C520" s="4"/>
      <c r="D520" s="4"/>
      <c r="E520" s="5"/>
      <c r="F520" s="4"/>
      <c r="G520" s="4"/>
      <c r="H520" s="33"/>
      <c r="I520" s="4"/>
      <c r="J520" s="4"/>
      <c r="K520" s="4"/>
      <c r="L520" s="4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29"/>
      <c r="AJ520" s="29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</row>
    <row r="521">
      <c r="A521" s="4"/>
      <c r="B521" s="4"/>
      <c r="C521" s="4"/>
      <c r="D521" s="4"/>
      <c r="E521" s="5"/>
      <c r="F521" s="4"/>
      <c r="G521" s="4"/>
      <c r="H521" s="33"/>
      <c r="I521" s="4"/>
      <c r="J521" s="4"/>
      <c r="K521" s="4"/>
      <c r="L521" s="4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29"/>
      <c r="AJ521" s="29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</row>
    <row r="522">
      <c r="A522" s="4"/>
      <c r="B522" s="4"/>
      <c r="C522" s="4"/>
      <c r="D522" s="4"/>
      <c r="E522" s="5"/>
      <c r="F522" s="4"/>
      <c r="G522" s="4"/>
      <c r="H522" s="33"/>
      <c r="I522" s="4"/>
      <c r="J522" s="4"/>
      <c r="K522" s="4"/>
      <c r="L522" s="4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29"/>
      <c r="AJ522" s="29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</row>
    <row r="523">
      <c r="A523" s="4"/>
      <c r="B523" s="4"/>
      <c r="C523" s="4"/>
      <c r="D523" s="4"/>
      <c r="E523" s="5"/>
      <c r="F523" s="4"/>
      <c r="G523" s="4"/>
      <c r="H523" s="33"/>
      <c r="I523" s="4"/>
      <c r="J523" s="4"/>
      <c r="K523" s="4"/>
      <c r="L523" s="4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29"/>
      <c r="AJ523" s="29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</row>
    <row r="524">
      <c r="A524" s="4"/>
      <c r="B524" s="4"/>
      <c r="C524" s="4"/>
      <c r="D524" s="4"/>
      <c r="E524" s="5"/>
      <c r="F524" s="4"/>
      <c r="G524" s="4"/>
      <c r="H524" s="33"/>
      <c r="I524" s="4"/>
      <c r="J524" s="4"/>
      <c r="K524" s="4"/>
      <c r="L524" s="4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29"/>
      <c r="AJ524" s="29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</row>
    <row r="525">
      <c r="A525" s="4"/>
      <c r="B525" s="4"/>
      <c r="C525" s="4"/>
      <c r="D525" s="4"/>
      <c r="E525" s="5"/>
      <c r="F525" s="4"/>
      <c r="G525" s="4"/>
      <c r="H525" s="33"/>
      <c r="I525" s="4"/>
      <c r="J525" s="4"/>
      <c r="K525" s="4"/>
      <c r="L525" s="4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29"/>
      <c r="AJ525" s="29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</row>
    <row r="526">
      <c r="A526" s="4"/>
      <c r="B526" s="4"/>
      <c r="C526" s="4"/>
      <c r="D526" s="4"/>
      <c r="E526" s="5"/>
      <c r="F526" s="4"/>
      <c r="G526" s="4"/>
      <c r="H526" s="33"/>
      <c r="I526" s="4"/>
      <c r="J526" s="4"/>
      <c r="K526" s="4"/>
      <c r="L526" s="4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29"/>
      <c r="AJ526" s="29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</row>
    <row r="527">
      <c r="A527" s="4"/>
      <c r="B527" s="4"/>
      <c r="C527" s="4"/>
      <c r="D527" s="4"/>
      <c r="E527" s="5"/>
      <c r="F527" s="4"/>
      <c r="G527" s="4"/>
      <c r="H527" s="33"/>
      <c r="I527" s="4"/>
      <c r="J527" s="4"/>
      <c r="K527" s="4"/>
      <c r="L527" s="4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29"/>
      <c r="AJ527" s="29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</row>
    <row r="528">
      <c r="A528" s="4"/>
      <c r="B528" s="4"/>
      <c r="C528" s="4"/>
      <c r="D528" s="4"/>
      <c r="E528" s="5"/>
      <c r="F528" s="4"/>
      <c r="G528" s="4"/>
      <c r="H528" s="33"/>
      <c r="I528" s="4"/>
      <c r="J528" s="4"/>
      <c r="K528" s="4"/>
      <c r="L528" s="4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29"/>
      <c r="AJ528" s="29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</row>
    <row r="529">
      <c r="A529" s="4"/>
      <c r="B529" s="4"/>
      <c r="C529" s="4"/>
      <c r="D529" s="4"/>
      <c r="E529" s="5"/>
      <c r="F529" s="4"/>
      <c r="G529" s="4"/>
      <c r="H529" s="33"/>
      <c r="I529" s="4"/>
      <c r="J529" s="4"/>
      <c r="K529" s="4"/>
      <c r="L529" s="4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29"/>
      <c r="AJ529" s="29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</row>
    <row r="530">
      <c r="A530" s="4"/>
      <c r="B530" s="4"/>
      <c r="C530" s="4"/>
      <c r="D530" s="4"/>
      <c r="E530" s="5"/>
      <c r="F530" s="4"/>
      <c r="G530" s="4"/>
      <c r="H530" s="33"/>
      <c r="I530" s="4"/>
      <c r="J530" s="4"/>
      <c r="K530" s="4"/>
      <c r="L530" s="4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29"/>
      <c r="AJ530" s="29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</row>
    <row r="531">
      <c r="A531" s="4"/>
      <c r="B531" s="4"/>
      <c r="C531" s="4"/>
      <c r="D531" s="4"/>
      <c r="E531" s="5"/>
      <c r="F531" s="4"/>
      <c r="G531" s="4"/>
      <c r="H531" s="33"/>
      <c r="I531" s="4"/>
      <c r="J531" s="4"/>
      <c r="K531" s="4"/>
      <c r="L531" s="4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29"/>
      <c r="AJ531" s="29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</row>
    <row r="532">
      <c r="A532" s="4"/>
      <c r="B532" s="4"/>
      <c r="C532" s="4"/>
      <c r="D532" s="4"/>
      <c r="E532" s="5"/>
      <c r="F532" s="4"/>
      <c r="G532" s="4"/>
      <c r="H532" s="33"/>
      <c r="I532" s="4"/>
      <c r="J532" s="4"/>
      <c r="K532" s="4"/>
      <c r="L532" s="4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29"/>
      <c r="AJ532" s="29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</row>
    <row r="533">
      <c r="A533" s="4"/>
      <c r="B533" s="4"/>
      <c r="C533" s="4"/>
      <c r="D533" s="4"/>
      <c r="E533" s="5"/>
      <c r="F533" s="4"/>
      <c r="G533" s="4"/>
      <c r="H533" s="33"/>
      <c r="I533" s="4"/>
      <c r="J533" s="4"/>
      <c r="K533" s="4"/>
      <c r="L533" s="4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29"/>
      <c r="AJ533" s="29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</row>
    <row r="534">
      <c r="A534" s="4"/>
      <c r="B534" s="4"/>
      <c r="C534" s="4"/>
      <c r="D534" s="4"/>
      <c r="E534" s="5"/>
      <c r="F534" s="4"/>
      <c r="G534" s="4"/>
      <c r="H534" s="33"/>
      <c r="I534" s="4"/>
      <c r="J534" s="4"/>
      <c r="K534" s="4"/>
      <c r="L534" s="4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29"/>
      <c r="AJ534" s="29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</row>
    <row r="535">
      <c r="A535" s="4"/>
      <c r="B535" s="4"/>
      <c r="C535" s="4"/>
      <c r="D535" s="4"/>
      <c r="E535" s="5"/>
      <c r="F535" s="4"/>
      <c r="G535" s="4"/>
      <c r="H535" s="33"/>
      <c r="I535" s="4"/>
      <c r="J535" s="4"/>
      <c r="K535" s="4"/>
      <c r="L535" s="4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29"/>
      <c r="AJ535" s="29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</row>
    <row r="536">
      <c r="A536" s="4"/>
      <c r="B536" s="4"/>
      <c r="C536" s="4"/>
      <c r="D536" s="4"/>
      <c r="E536" s="5"/>
      <c r="F536" s="4"/>
      <c r="G536" s="4"/>
      <c r="H536" s="33"/>
      <c r="I536" s="4"/>
      <c r="J536" s="4"/>
      <c r="K536" s="4"/>
      <c r="L536" s="4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29"/>
      <c r="AJ536" s="29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</row>
    <row r="537">
      <c r="A537" s="4"/>
      <c r="B537" s="4"/>
      <c r="C537" s="4"/>
      <c r="D537" s="4"/>
      <c r="E537" s="5"/>
      <c r="F537" s="4"/>
      <c r="G537" s="4"/>
      <c r="H537" s="33"/>
      <c r="I537" s="4"/>
      <c r="J537" s="4"/>
      <c r="K537" s="4"/>
      <c r="L537" s="4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29"/>
      <c r="AJ537" s="29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</row>
    <row r="538">
      <c r="A538" s="4"/>
      <c r="B538" s="4"/>
      <c r="C538" s="4"/>
      <c r="D538" s="4"/>
      <c r="E538" s="5"/>
      <c r="F538" s="4"/>
      <c r="G538" s="4"/>
      <c r="H538" s="33"/>
      <c r="I538" s="4"/>
      <c r="J538" s="4"/>
      <c r="K538" s="4"/>
      <c r="L538" s="4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29"/>
      <c r="AJ538" s="29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</row>
    <row r="539">
      <c r="A539" s="4"/>
      <c r="B539" s="4"/>
      <c r="C539" s="4"/>
      <c r="D539" s="4"/>
      <c r="E539" s="5"/>
      <c r="F539" s="4"/>
      <c r="G539" s="4"/>
      <c r="H539" s="33"/>
      <c r="I539" s="4"/>
      <c r="J539" s="4"/>
      <c r="K539" s="4"/>
      <c r="L539" s="4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29"/>
      <c r="AJ539" s="29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</row>
    <row r="540">
      <c r="A540" s="4"/>
      <c r="B540" s="4"/>
      <c r="C540" s="4"/>
      <c r="D540" s="4"/>
      <c r="E540" s="5"/>
      <c r="F540" s="4"/>
      <c r="G540" s="4"/>
      <c r="H540" s="33"/>
      <c r="I540" s="4"/>
      <c r="J540" s="4"/>
      <c r="K540" s="4"/>
      <c r="L540" s="4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29"/>
      <c r="AJ540" s="29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</row>
    <row r="541">
      <c r="A541" s="4"/>
      <c r="B541" s="4"/>
      <c r="C541" s="4"/>
      <c r="D541" s="4"/>
      <c r="E541" s="5"/>
      <c r="F541" s="4"/>
      <c r="G541" s="4"/>
      <c r="H541" s="33"/>
      <c r="I541" s="4"/>
      <c r="J541" s="4"/>
      <c r="K541" s="4"/>
      <c r="L541" s="4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29"/>
      <c r="AJ541" s="29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</row>
    <row r="542">
      <c r="A542" s="4"/>
      <c r="B542" s="4"/>
      <c r="C542" s="4"/>
      <c r="D542" s="4"/>
      <c r="E542" s="5"/>
      <c r="F542" s="4"/>
      <c r="G542" s="4"/>
      <c r="H542" s="33"/>
      <c r="I542" s="4"/>
      <c r="J542" s="4"/>
      <c r="K542" s="4"/>
      <c r="L542" s="4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29"/>
      <c r="AJ542" s="29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</row>
    <row r="543">
      <c r="A543" s="4"/>
      <c r="B543" s="4"/>
      <c r="C543" s="4"/>
      <c r="D543" s="4"/>
      <c r="E543" s="5"/>
      <c r="F543" s="4"/>
      <c r="G543" s="4"/>
      <c r="H543" s="33"/>
      <c r="I543" s="4"/>
      <c r="J543" s="4"/>
      <c r="K543" s="4"/>
      <c r="L543" s="4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29"/>
      <c r="AJ543" s="29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</row>
    <row r="544">
      <c r="A544" s="4"/>
      <c r="B544" s="4"/>
      <c r="C544" s="4"/>
      <c r="D544" s="4"/>
      <c r="E544" s="5"/>
      <c r="F544" s="4"/>
      <c r="G544" s="4"/>
      <c r="H544" s="33"/>
      <c r="I544" s="4"/>
      <c r="J544" s="4"/>
      <c r="K544" s="4"/>
      <c r="L544" s="4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29"/>
      <c r="AJ544" s="29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</row>
    <row r="545">
      <c r="A545" s="4"/>
      <c r="B545" s="4"/>
      <c r="C545" s="4"/>
      <c r="D545" s="4"/>
      <c r="E545" s="5"/>
      <c r="F545" s="4"/>
      <c r="G545" s="4"/>
      <c r="H545" s="33"/>
      <c r="I545" s="4"/>
      <c r="J545" s="4"/>
      <c r="K545" s="4"/>
      <c r="L545" s="4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29"/>
      <c r="AJ545" s="29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</row>
    <row r="546">
      <c r="A546" s="4"/>
      <c r="B546" s="4"/>
      <c r="C546" s="4"/>
      <c r="D546" s="4"/>
      <c r="E546" s="5"/>
      <c r="F546" s="4"/>
      <c r="G546" s="4"/>
      <c r="H546" s="33"/>
      <c r="I546" s="4"/>
      <c r="J546" s="4"/>
      <c r="K546" s="4"/>
      <c r="L546" s="4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29"/>
      <c r="AJ546" s="29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</row>
    <row r="547">
      <c r="A547" s="4"/>
      <c r="B547" s="4"/>
      <c r="C547" s="4"/>
      <c r="D547" s="4"/>
      <c r="E547" s="5"/>
      <c r="F547" s="4"/>
      <c r="G547" s="4"/>
      <c r="H547" s="33"/>
      <c r="I547" s="4"/>
      <c r="J547" s="4"/>
      <c r="K547" s="4"/>
      <c r="L547" s="4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29"/>
      <c r="AJ547" s="29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</row>
    <row r="548">
      <c r="A548" s="4"/>
      <c r="B548" s="4"/>
      <c r="C548" s="4"/>
      <c r="D548" s="4"/>
      <c r="E548" s="5"/>
      <c r="F548" s="4"/>
      <c r="G548" s="4"/>
      <c r="H548" s="33"/>
      <c r="I548" s="4"/>
      <c r="J548" s="4"/>
      <c r="K548" s="4"/>
      <c r="L548" s="4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29"/>
      <c r="AJ548" s="29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</row>
    <row r="549">
      <c r="A549" s="4"/>
      <c r="B549" s="4"/>
      <c r="C549" s="4"/>
      <c r="D549" s="4"/>
      <c r="E549" s="5"/>
      <c r="F549" s="4"/>
      <c r="G549" s="4"/>
      <c r="H549" s="33"/>
      <c r="I549" s="4"/>
      <c r="J549" s="4"/>
      <c r="K549" s="4"/>
      <c r="L549" s="4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29"/>
      <c r="AJ549" s="29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</row>
    <row r="550">
      <c r="A550" s="4"/>
      <c r="B550" s="4"/>
      <c r="C550" s="4"/>
      <c r="D550" s="4"/>
      <c r="E550" s="5"/>
      <c r="F550" s="4"/>
      <c r="G550" s="4"/>
      <c r="H550" s="33"/>
      <c r="I550" s="4"/>
      <c r="J550" s="4"/>
      <c r="K550" s="4"/>
      <c r="L550" s="4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29"/>
      <c r="AJ550" s="29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</row>
    <row r="551">
      <c r="A551" s="4"/>
      <c r="B551" s="4"/>
      <c r="C551" s="4"/>
      <c r="D551" s="4"/>
      <c r="E551" s="5"/>
      <c r="F551" s="4"/>
      <c r="G551" s="4"/>
      <c r="H551" s="33"/>
      <c r="I551" s="4"/>
      <c r="J551" s="4"/>
      <c r="K551" s="4"/>
      <c r="L551" s="4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29"/>
      <c r="AJ551" s="29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</row>
    <row r="552">
      <c r="A552" s="4"/>
      <c r="B552" s="4"/>
      <c r="C552" s="4"/>
      <c r="D552" s="4"/>
      <c r="E552" s="5"/>
      <c r="F552" s="4"/>
      <c r="G552" s="4"/>
      <c r="H552" s="33"/>
      <c r="I552" s="4"/>
      <c r="J552" s="4"/>
      <c r="K552" s="4"/>
      <c r="L552" s="4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29"/>
      <c r="AJ552" s="29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</row>
    <row r="553">
      <c r="A553" s="4"/>
      <c r="B553" s="4"/>
      <c r="C553" s="4"/>
      <c r="D553" s="4"/>
      <c r="E553" s="5"/>
      <c r="F553" s="4"/>
      <c r="G553" s="4"/>
      <c r="H553" s="33"/>
      <c r="I553" s="4"/>
      <c r="J553" s="4"/>
      <c r="K553" s="4"/>
      <c r="L553" s="4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29"/>
      <c r="AJ553" s="29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</row>
    <row r="554">
      <c r="A554" s="4"/>
      <c r="B554" s="4"/>
      <c r="C554" s="4"/>
      <c r="D554" s="4"/>
      <c r="E554" s="5"/>
      <c r="F554" s="4"/>
      <c r="G554" s="4"/>
      <c r="H554" s="33"/>
      <c r="I554" s="4"/>
      <c r="J554" s="4"/>
      <c r="K554" s="4"/>
      <c r="L554" s="4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29"/>
      <c r="AJ554" s="29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</row>
    <row r="555">
      <c r="A555" s="4"/>
      <c r="B555" s="4"/>
      <c r="C555" s="4"/>
      <c r="D555" s="4"/>
      <c r="E555" s="5"/>
      <c r="F555" s="4"/>
      <c r="G555" s="4"/>
      <c r="H555" s="33"/>
      <c r="I555" s="4"/>
      <c r="J555" s="4"/>
      <c r="K555" s="4"/>
      <c r="L555" s="4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29"/>
      <c r="AJ555" s="29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</row>
    <row r="556">
      <c r="A556" s="4"/>
      <c r="B556" s="4"/>
      <c r="C556" s="4"/>
      <c r="D556" s="4"/>
      <c r="E556" s="5"/>
      <c r="F556" s="4"/>
      <c r="G556" s="4"/>
      <c r="H556" s="33"/>
      <c r="I556" s="4"/>
      <c r="J556" s="4"/>
      <c r="K556" s="4"/>
      <c r="L556" s="4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29"/>
      <c r="AJ556" s="29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</row>
    <row r="557">
      <c r="A557" s="4"/>
      <c r="B557" s="4"/>
      <c r="C557" s="4"/>
      <c r="D557" s="4"/>
      <c r="E557" s="5"/>
      <c r="F557" s="4"/>
      <c r="G557" s="4"/>
      <c r="H557" s="33"/>
      <c r="I557" s="4"/>
      <c r="J557" s="4"/>
      <c r="K557" s="4"/>
      <c r="L557" s="4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29"/>
      <c r="AJ557" s="29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</row>
    <row r="558">
      <c r="A558" s="4"/>
      <c r="B558" s="4"/>
      <c r="C558" s="4"/>
      <c r="D558" s="4"/>
      <c r="E558" s="5"/>
      <c r="F558" s="4"/>
      <c r="G558" s="4"/>
      <c r="H558" s="33"/>
      <c r="I558" s="4"/>
      <c r="J558" s="4"/>
      <c r="K558" s="4"/>
      <c r="L558" s="4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29"/>
      <c r="AJ558" s="29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</row>
    <row r="559">
      <c r="A559" s="4"/>
      <c r="B559" s="4"/>
      <c r="C559" s="4"/>
      <c r="D559" s="4"/>
      <c r="E559" s="5"/>
      <c r="F559" s="4"/>
      <c r="G559" s="4"/>
      <c r="H559" s="33"/>
      <c r="I559" s="4"/>
      <c r="J559" s="4"/>
      <c r="K559" s="4"/>
      <c r="L559" s="4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29"/>
      <c r="AJ559" s="29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</row>
    <row r="560">
      <c r="A560" s="4"/>
      <c r="B560" s="4"/>
      <c r="C560" s="4"/>
      <c r="D560" s="4"/>
      <c r="E560" s="5"/>
      <c r="F560" s="4"/>
      <c r="G560" s="4"/>
      <c r="H560" s="33"/>
      <c r="I560" s="4"/>
      <c r="J560" s="4"/>
      <c r="K560" s="4"/>
      <c r="L560" s="4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29"/>
      <c r="AJ560" s="29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</row>
    <row r="561">
      <c r="A561" s="4"/>
      <c r="B561" s="4"/>
      <c r="C561" s="4"/>
      <c r="D561" s="4"/>
      <c r="E561" s="5"/>
      <c r="F561" s="4"/>
      <c r="G561" s="4"/>
      <c r="H561" s="33"/>
      <c r="I561" s="4"/>
      <c r="J561" s="4"/>
      <c r="K561" s="4"/>
      <c r="L561" s="4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29"/>
      <c r="AJ561" s="29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</row>
    <row r="562">
      <c r="A562" s="4"/>
      <c r="B562" s="4"/>
      <c r="C562" s="4"/>
      <c r="D562" s="4"/>
      <c r="E562" s="5"/>
      <c r="F562" s="4"/>
      <c r="G562" s="4"/>
      <c r="H562" s="33"/>
      <c r="I562" s="4"/>
      <c r="J562" s="4"/>
      <c r="K562" s="4"/>
      <c r="L562" s="4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29"/>
      <c r="AJ562" s="29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</row>
    <row r="563">
      <c r="A563" s="4"/>
      <c r="B563" s="4"/>
      <c r="C563" s="4"/>
      <c r="D563" s="4"/>
      <c r="E563" s="5"/>
      <c r="F563" s="4"/>
      <c r="G563" s="4"/>
      <c r="H563" s="33"/>
      <c r="I563" s="4"/>
      <c r="J563" s="4"/>
      <c r="K563" s="4"/>
      <c r="L563" s="4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29"/>
      <c r="AJ563" s="29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</row>
    <row r="564">
      <c r="A564" s="4"/>
      <c r="B564" s="4"/>
      <c r="C564" s="4"/>
      <c r="D564" s="4"/>
      <c r="E564" s="5"/>
      <c r="F564" s="4"/>
      <c r="G564" s="4"/>
      <c r="H564" s="33"/>
      <c r="I564" s="4"/>
      <c r="J564" s="4"/>
      <c r="K564" s="4"/>
      <c r="L564" s="4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29"/>
      <c r="AJ564" s="29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</row>
    <row r="565">
      <c r="A565" s="4"/>
      <c r="B565" s="4"/>
      <c r="C565" s="4"/>
      <c r="D565" s="4"/>
      <c r="E565" s="5"/>
      <c r="F565" s="4"/>
      <c r="G565" s="4"/>
      <c r="H565" s="33"/>
      <c r="I565" s="4"/>
      <c r="J565" s="4"/>
      <c r="K565" s="4"/>
      <c r="L565" s="4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29"/>
      <c r="AJ565" s="29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</row>
    <row r="566">
      <c r="A566" s="4"/>
      <c r="B566" s="4"/>
      <c r="C566" s="4"/>
      <c r="D566" s="4"/>
      <c r="E566" s="5"/>
      <c r="F566" s="4"/>
      <c r="G566" s="4"/>
      <c r="H566" s="33"/>
      <c r="I566" s="4"/>
      <c r="J566" s="4"/>
      <c r="K566" s="4"/>
      <c r="L566" s="4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29"/>
      <c r="AJ566" s="29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</row>
    <row r="567">
      <c r="A567" s="4"/>
      <c r="B567" s="4"/>
      <c r="C567" s="4"/>
      <c r="D567" s="4"/>
      <c r="E567" s="5"/>
      <c r="F567" s="4"/>
      <c r="G567" s="4"/>
      <c r="H567" s="33"/>
      <c r="I567" s="4"/>
      <c r="J567" s="4"/>
      <c r="K567" s="4"/>
      <c r="L567" s="4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29"/>
      <c r="AJ567" s="29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</row>
    <row r="568">
      <c r="A568" s="4"/>
      <c r="B568" s="4"/>
      <c r="C568" s="4"/>
      <c r="D568" s="4"/>
      <c r="E568" s="5"/>
      <c r="F568" s="4"/>
      <c r="G568" s="4"/>
      <c r="H568" s="33"/>
      <c r="I568" s="4"/>
      <c r="J568" s="4"/>
      <c r="K568" s="4"/>
      <c r="L568" s="4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29"/>
      <c r="AJ568" s="29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</row>
    <row r="569">
      <c r="A569" s="4"/>
      <c r="B569" s="4"/>
      <c r="C569" s="4"/>
      <c r="D569" s="4"/>
      <c r="E569" s="5"/>
      <c r="F569" s="4"/>
      <c r="G569" s="4"/>
      <c r="H569" s="33"/>
      <c r="I569" s="4"/>
      <c r="J569" s="4"/>
      <c r="K569" s="4"/>
      <c r="L569" s="4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29"/>
      <c r="AJ569" s="29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</row>
    <row r="570">
      <c r="A570" s="4"/>
      <c r="B570" s="4"/>
      <c r="C570" s="4"/>
      <c r="D570" s="4"/>
      <c r="E570" s="5"/>
      <c r="F570" s="4"/>
      <c r="G570" s="4"/>
      <c r="H570" s="33"/>
      <c r="I570" s="4"/>
      <c r="J570" s="4"/>
      <c r="K570" s="4"/>
      <c r="L570" s="4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29"/>
      <c r="AJ570" s="29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</row>
    <row r="571">
      <c r="A571" s="4"/>
      <c r="B571" s="4"/>
      <c r="C571" s="4"/>
      <c r="D571" s="4"/>
      <c r="E571" s="5"/>
      <c r="F571" s="4"/>
      <c r="G571" s="4"/>
      <c r="H571" s="33"/>
      <c r="I571" s="4"/>
      <c r="J571" s="4"/>
      <c r="K571" s="4"/>
      <c r="L571" s="4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29"/>
      <c r="AJ571" s="29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</row>
    <row r="572">
      <c r="A572" s="4"/>
      <c r="B572" s="4"/>
      <c r="C572" s="4"/>
      <c r="D572" s="4"/>
      <c r="E572" s="5"/>
      <c r="F572" s="4"/>
      <c r="G572" s="4"/>
      <c r="H572" s="33"/>
      <c r="I572" s="4"/>
      <c r="J572" s="4"/>
      <c r="K572" s="4"/>
      <c r="L572" s="4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29"/>
      <c r="AJ572" s="29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</row>
    <row r="573">
      <c r="A573" s="4"/>
      <c r="B573" s="4"/>
      <c r="C573" s="4"/>
      <c r="D573" s="4"/>
      <c r="E573" s="5"/>
      <c r="F573" s="4"/>
      <c r="G573" s="4"/>
      <c r="H573" s="33"/>
      <c r="I573" s="4"/>
      <c r="J573" s="4"/>
      <c r="K573" s="4"/>
      <c r="L573" s="4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29"/>
      <c r="AJ573" s="29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</row>
    <row r="574">
      <c r="A574" s="4"/>
      <c r="B574" s="4"/>
      <c r="C574" s="4"/>
      <c r="D574" s="4"/>
      <c r="E574" s="5"/>
      <c r="F574" s="4"/>
      <c r="G574" s="4"/>
      <c r="H574" s="33"/>
      <c r="I574" s="4"/>
      <c r="J574" s="4"/>
      <c r="K574" s="4"/>
      <c r="L574" s="4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29"/>
      <c r="AJ574" s="29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</row>
    <row r="575">
      <c r="A575" s="4"/>
      <c r="B575" s="4"/>
      <c r="C575" s="4"/>
      <c r="D575" s="4"/>
      <c r="E575" s="5"/>
      <c r="F575" s="4"/>
      <c r="G575" s="4"/>
      <c r="H575" s="33"/>
      <c r="I575" s="4"/>
      <c r="J575" s="4"/>
      <c r="K575" s="4"/>
      <c r="L575" s="4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29"/>
      <c r="AJ575" s="29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</row>
    <row r="576">
      <c r="A576" s="4"/>
      <c r="B576" s="4"/>
      <c r="C576" s="4"/>
      <c r="D576" s="4"/>
      <c r="E576" s="5"/>
      <c r="F576" s="4"/>
      <c r="G576" s="4"/>
      <c r="H576" s="33"/>
      <c r="I576" s="4"/>
      <c r="J576" s="4"/>
      <c r="K576" s="4"/>
      <c r="L576" s="4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29"/>
      <c r="AJ576" s="29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</row>
    <row r="577">
      <c r="A577" s="4"/>
      <c r="B577" s="4"/>
      <c r="C577" s="4"/>
      <c r="D577" s="4"/>
      <c r="E577" s="5"/>
      <c r="F577" s="4"/>
      <c r="G577" s="4"/>
      <c r="H577" s="33"/>
      <c r="I577" s="4"/>
      <c r="J577" s="4"/>
      <c r="K577" s="4"/>
      <c r="L577" s="4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29"/>
      <c r="AJ577" s="29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</row>
    <row r="578">
      <c r="A578" s="4"/>
      <c r="B578" s="4"/>
      <c r="C578" s="4"/>
      <c r="D578" s="4"/>
      <c r="E578" s="5"/>
      <c r="F578" s="4"/>
      <c r="G578" s="4"/>
      <c r="H578" s="33"/>
      <c r="I578" s="4"/>
      <c r="J578" s="4"/>
      <c r="K578" s="4"/>
      <c r="L578" s="4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29"/>
      <c r="AJ578" s="29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</row>
    <row r="579">
      <c r="A579" s="4"/>
      <c r="B579" s="4"/>
      <c r="C579" s="4"/>
      <c r="D579" s="4"/>
      <c r="E579" s="5"/>
      <c r="F579" s="4"/>
      <c r="G579" s="4"/>
      <c r="H579" s="33"/>
      <c r="I579" s="4"/>
      <c r="J579" s="4"/>
      <c r="K579" s="4"/>
      <c r="L579" s="4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29"/>
      <c r="AJ579" s="29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</row>
    <row r="580">
      <c r="A580" s="4"/>
      <c r="B580" s="4"/>
      <c r="C580" s="4"/>
      <c r="D580" s="4"/>
      <c r="E580" s="5"/>
      <c r="F580" s="4"/>
      <c r="G580" s="4"/>
      <c r="H580" s="33"/>
      <c r="I580" s="4"/>
      <c r="J580" s="4"/>
      <c r="K580" s="4"/>
      <c r="L580" s="4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29"/>
      <c r="AJ580" s="29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</row>
    <row r="581">
      <c r="A581" s="4"/>
      <c r="B581" s="4"/>
      <c r="C581" s="4"/>
      <c r="D581" s="4"/>
      <c r="E581" s="5"/>
      <c r="F581" s="4"/>
      <c r="G581" s="4"/>
      <c r="H581" s="33"/>
      <c r="I581" s="4"/>
      <c r="J581" s="4"/>
      <c r="K581" s="4"/>
      <c r="L581" s="4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29"/>
      <c r="AJ581" s="29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</row>
    <row r="582">
      <c r="A582" s="4"/>
      <c r="B582" s="4"/>
      <c r="C582" s="4"/>
      <c r="D582" s="4"/>
      <c r="E582" s="5"/>
      <c r="F582" s="4"/>
      <c r="G582" s="4"/>
      <c r="H582" s="33"/>
      <c r="I582" s="4"/>
      <c r="J582" s="4"/>
      <c r="K582" s="4"/>
      <c r="L582" s="4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29"/>
      <c r="AJ582" s="29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</row>
    <row r="583">
      <c r="A583" s="4"/>
      <c r="B583" s="4"/>
      <c r="C583" s="4"/>
      <c r="D583" s="4"/>
      <c r="E583" s="5"/>
      <c r="F583" s="4"/>
      <c r="G583" s="4"/>
      <c r="H583" s="33"/>
      <c r="I583" s="4"/>
      <c r="J583" s="4"/>
      <c r="K583" s="4"/>
      <c r="L583" s="4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29"/>
      <c r="AJ583" s="29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</row>
    <row r="584">
      <c r="A584" s="4"/>
      <c r="B584" s="4"/>
      <c r="C584" s="4"/>
      <c r="D584" s="4"/>
      <c r="E584" s="5"/>
      <c r="F584" s="4"/>
      <c r="G584" s="4"/>
      <c r="H584" s="33"/>
      <c r="I584" s="4"/>
      <c r="J584" s="4"/>
      <c r="K584" s="4"/>
      <c r="L584" s="4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29"/>
      <c r="AJ584" s="29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</row>
    <row r="585">
      <c r="A585" s="4"/>
      <c r="B585" s="4"/>
      <c r="C585" s="4"/>
      <c r="D585" s="4"/>
      <c r="E585" s="5"/>
      <c r="F585" s="4"/>
      <c r="G585" s="4"/>
      <c r="H585" s="33"/>
      <c r="I585" s="4"/>
      <c r="J585" s="4"/>
      <c r="K585" s="4"/>
      <c r="L585" s="4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29"/>
      <c r="AJ585" s="29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</row>
    <row r="586">
      <c r="A586" s="4"/>
      <c r="B586" s="4"/>
      <c r="C586" s="4"/>
      <c r="D586" s="4"/>
      <c r="E586" s="5"/>
      <c r="F586" s="4"/>
      <c r="G586" s="4"/>
      <c r="H586" s="33"/>
      <c r="I586" s="4"/>
      <c r="J586" s="4"/>
      <c r="K586" s="4"/>
      <c r="L586" s="4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29"/>
      <c r="AJ586" s="29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</row>
    <row r="587">
      <c r="A587" s="4"/>
      <c r="B587" s="4"/>
      <c r="C587" s="4"/>
      <c r="D587" s="4"/>
      <c r="E587" s="5"/>
      <c r="F587" s="4"/>
      <c r="G587" s="4"/>
      <c r="H587" s="33"/>
      <c r="I587" s="4"/>
      <c r="J587" s="4"/>
      <c r="K587" s="4"/>
      <c r="L587" s="4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29"/>
      <c r="AJ587" s="29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</row>
    <row r="588">
      <c r="A588" s="4"/>
      <c r="B588" s="4"/>
      <c r="C588" s="4"/>
      <c r="D588" s="4"/>
      <c r="E588" s="5"/>
      <c r="F588" s="4"/>
      <c r="G588" s="4"/>
      <c r="H588" s="33"/>
      <c r="I588" s="4"/>
      <c r="J588" s="4"/>
      <c r="K588" s="4"/>
      <c r="L588" s="4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29"/>
      <c r="AJ588" s="29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</row>
    <row r="589">
      <c r="A589" s="4"/>
      <c r="B589" s="4"/>
      <c r="C589" s="4"/>
      <c r="D589" s="4"/>
      <c r="E589" s="5"/>
      <c r="F589" s="4"/>
      <c r="G589" s="4"/>
      <c r="H589" s="33"/>
      <c r="I589" s="4"/>
      <c r="J589" s="4"/>
      <c r="K589" s="4"/>
      <c r="L589" s="4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29"/>
      <c r="AJ589" s="29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</row>
    <row r="590">
      <c r="A590" s="4"/>
      <c r="B590" s="4"/>
      <c r="C590" s="4"/>
      <c r="D590" s="4"/>
      <c r="E590" s="5"/>
      <c r="F590" s="4"/>
      <c r="G590" s="4"/>
      <c r="H590" s="33"/>
      <c r="I590" s="4"/>
      <c r="J590" s="4"/>
      <c r="K590" s="4"/>
      <c r="L590" s="4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29"/>
      <c r="AJ590" s="29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</row>
    <row r="591">
      <c r="A591" s="4"/>
      <c r="B591" s="4"/>
      <c r="C591" s="4"/>
      <c r="D591" s="4"/>
      <c r="E591" s="5"/>
      <c r="F591" s="4"/>
      <c r="G591" s="4"/>
      <c r="H591" s="33"/>
      <c r="I591" s="4"/>
      <c r="J591" s="4"/>
      <c r="K591" s="4"/>
      <c r="L591" s="4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29"/>
      <c r="AJ591" s="29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</row>
    <row r="592">
      <c r="A592" s="4"/>
      <c r="B592" s="4"/>
      <c r="C592" s="4"/>
      <c r="D592" s="4"/>
      <c r="E592" s="5"/>
      <c r="F592" s="4"/>
      <c r="G592" s="4"/>
      <c r="H592" s="33"/>
      <c r="I592" s="4"/>
      <c r="J592" s="4"/>
      <c r="K592" s="4"/>
      <c r="L592" s="4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29"/>
      <c r="AJ592" s="29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</row>
    <row r="593">
      <c r="A593" s="4"/>
      <c r="B593" s="4"/>
      <c r="C593" s="4"/>
      <c r="D593" s="4"/>
      <c r="E593" s="5"/>
      <c r="F593" s="4"/>
      <c r="G593" s="4"/>
      <c r="H593" s="33"/>
      <c r="I593" s="4"/>
      <c r="J593" s="4"/>
      <c r="K593" s="4"/>
      <c r="L593" s="4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29"/>
      <c r="AJ593" s="29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</row>
    <row r="594">
      <c r="A594" s="4"/>
      <c r="B594" s="4"/>
      <c r="C594" s="4"/>
      <c r="D594" s="4"/>
      <c r="E594" s="5"/>
      <c r="F594" s="4"/>
      <c r="G594" s="4"/>
      <c r="H594" s="33"/>
      <c r="I594" s="4"/>
      <c r="J594" s="4"/>
      <c r="K594" s="4"/>
      <c r="L594" s="4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29"/>
      <c r="AJ594" s="29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</row>
    <row r="595">
      <c r="A595" s="4"/>
      <c r="B595" s="4"/>
      <c r="C595" s="4"/>
      <c r="D595" s="4"/>
      <c r="E595" s="5"/>
      <c r="F595" s="4"/>
      <c r="G595" s="4"/>
      <c r="H595" s="33"/>
      <c r="I595" s="4"/>
      <c r="J595" s="4"/>
      <c r="K595" s="4"/>
      <c r="L595" s="4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29"/>
      <c r="AJ595" s="29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</row>
    <row r="596">
      <c r="A596" s="4"/>
      <c r="B596" s="4"/>
      <c r="C596" s="4"/>
      <c r="D596" s="4"/>
      <c r="E596" s="5"/>
      <c r="F596" s="4"/>
      <c r="G596" s="4"/>
      <c r="H596" s="33"/>
      <c r="I596" s="4"/>
      <c r="J596" s="4"/>
      <c r="K596" s="4"/>
      <c r="L596" s="4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29"/>
      <c r="AJ596" s="29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</row>
    <row r="597">
      <c r="A597" s="4"/>
      <c r="B597" s="4"/>
      <c r="C597" s="4"/>
      <c r="D597" s="4"/>
      <c r="E597" s="5"/>
      <c r="F597" s="4"/>
      <c r="G597" s="4"/>
      <c r="H597" s="33"/>
      <c r="I597" s="4"/>
      <c r="J597" s="4"/>
      <c r="K597" s="4"/>
      <c r="L597" s="4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29"/>
      <c r="AJ597" s="29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</row>
    <row r="598">
      <c r="A598" s="4"/>
      <c r="B598" s="4"/>
      <c r="C598" s="4"/>
      <c r="D598" s="4"/>
      <c r="E598" s="5"/>
      <c r="F598" s="4"/>
      <c r="G598" s="4"/>
      <c r="H598" s="33"/>
      <c r="I598" s="4"/>
      <c r="J598" s="4"/>
      <c r="K598" s="4"/>
      <c r="L598" s="4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29"/>
      <c r="AJ598" s="29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</row>
    <row r="599">
      <c r="A599" s="4"/>
      <c r="B599" s="4"/>
      <c r="C599" s="4"/>
      <c r="D599" s="4"/>
      <c r="E599" s="5"/>
      <c r="F599" s="4"/>
      <c r="G599" s="4"/>
      <c r="H599" s="33"/>
      <c r="I599" s="4"/>
      <c r="J599" s="4"/>
      <c r="K599" s="4"/>
      <c r="L599" s="4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29"/>
      <c r="AJ599" s="29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</row>
    <row r="600">
      <c r="A600" s="4"/>
      <c r="B600" s="4"/>
      <c r="C600" s="4"/>
      <c r="D600" s="4"/>
      <c r="E600" s="5"/>
      <c r="F600" s="4"/>
      <c r="G600" s="4"/>
      <c r="H600" s="33"/>
      <c r="I600" s="4"/>
      <c r="J600" s="4"/>
      <c r="K600" s="4"/>
      <c r="L600" s="4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29"/>
      <c r="AJ600" s="29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</row>
    <row r="601">
      <c r="A601" s="4"/>
      <c r="B601" s="4"/>
      <c r="C601" s="4"/>
      <c r="D601" s="4"/>
      <c r="E601" s="5"/>
      <c r="F601" s="4"/>
      <c r="G601" s="4"/>
      <c r="H601" s="33"/>
      <c r="I601" s="4"/>
      <c r="J601" s="4"/>
      <c r="K601" s="4"/>
      <c r="L601" s="4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29"/>
      <c r="AJ601" s="29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</row>
    <row r="602">
      <c r="A602" s="4"/>
      <c r="B602" s="4"/>
      <c r="C602" s="4"/>
      <c r="D602" s="4"/>
      <c r="E602" s="5"/>
      <c r="F602" s="4"/>
      <c r="G602" s="4"/>
      <c r="H602" s="33"/>
      <c r="I602" s="4"/>
      <c r="J602" s="4"/>
      <c r="K602" s="4"/>
      <c r="L602" s="4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29"/>
      <c r="AJ602" s="29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</row>
    <row r="603">
      <c r="A603" s="4"/>
      <c r="B603" s="4"/>
      <c r="C603" s="4"/>
      <c r="D603" s="4"/>
      <c r="E603" s="5"/>
      <c r="F603" s="4"/>
      <c r="G603" s="4"/>
      <c r="H603" s="33"/>
      <c r="I603" s="4"/>
      <c r="J603" s="4"/>
      <c r="K603" s="4"/>
      <c r="L603" s="4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29"/>
      <c r="AJ603" s="29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</row>
    <row r="604">
      <c r="A604" s="4"/>
      <c r="B604" s="4"/>
      <c r="C604" s="4"/>
      <c r="D604" s="4"/>
      <c r="E604" s="5"/>
      <c r="F604" s="4"/>
      <c r="G604" s="4"/>
      <c r="H604" s="33"/>
      <c r="I604" s="4"/>
      <c r="J604" s="4"/>
      <c r="K604" s="4"/>
      <c r="L604" s="4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29"/>
      <c r="AJ604" s="29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</row>
    <row r="605">
      <c r="A605" s="4"/>
      <c r="B605" s="4"/>
      <c r="C605" s="4"/>
      <c r="D605" s="4"/>
      <c r="E605" s="5"/>
      <c r="F605" s="4"/>
      <c r="G605" s="4"/>
      <c r="H605" s="33"/>
      <c r="I605" s="4"/>
      <c r="J605" s="4"/>
      <c r="K605" s="4"/>
      <c r="L605" s="4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29"/>
      <c r="AJ605" s="29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</row>
    <row r="606">
      <c r="A606" s="4"/>
      <c r="B606" s="4"/>
      <c r="C606" s="4"/>
      <c r="D606" s="4"/>
      <c r="E606" s="5"/>
      <c r="F606" s="4"/>
      <c r="G606" s="4"/>
      <c r="H606" s="33"/>
      <c r="I606" s="4"/>
      <c r="J606" s="4"/>
      <c r="K606" s="4"/>
      <c r="L606" s="4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29"/>
      <c r="AJ606" s="29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</row>
    <row r="607">
      <c r="A607" s="4"/>
      <c r="B607" s="4"/>
      <c r="C607" s="4"/>
      <c r="D607" s="4"/>
      <c r="E607" s="5"/>
      <c r="F607" s="4"/>
      <c r="G607" s="4"/>
      <c r="H607" s="33"/>
      <c r="I607" s="4"/>
      <c r="J607" s="4"/>
      <c r="K607" s="4"/>
      <c r="L607" s="4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29"/>
      <c r="AJ607" s="29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</row>
    <row r="608">
      <c r="A608" s="4"/>
      <c r="B608" s="4"/>
      <c r="C608" s="4"/>
      <c r="D608" s="4"/>
      <c r="E608" s="5"/>
      <c r="F608" s="4"/>
      <c r="G608" s="4"/>
      <c r="H608" s="33"/>
      <c r="I608" s="4"/>
      <c r="J608" s="4"/>
      <c r="K608" s="4"/>
      <c r="L608" s="4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29"/>
      <c r="AJ608" s="29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</row>
    <row r="609">
      <c r="A609" s="4"/>
      <c r="B609" s="4"/>
      <c r="C609" s="4"/>
      <c r="D609" s="4"/>
      <c r="E609" s="5"/>
      <c r="F609" s="4"/>
      <c r="G609" s="4"/>
      <c r="H609" s="33"/>
      <c r="I609" s="4"/>
      <c r="J609" s="4"/>
      <c r="K609" s="4"/>
      <c r="L609" s="4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29"/>
      <c r="AJ609" s="29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</row>
    <row r="610">
      <c r="A610" s="4"/>
      <c r="B610" s="4"/>
      <c r="C610" s="4"/>
      <c r="D610" s="4"/>
      <c r="E610" s="5"/>
      <c r="F610" s="4"/>
      <c r="G610" s="4"/>
      <c r="H610" s="33"/>
      <c r="I610" s="4"/>
      <c r="J610" s="4"/>
      <c r="K610" s="4"/>
      <c r="L610" s="4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29"/>
      <c r="AJ610" s="29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</row>
    <row r="611">
      <c r="A611" s="4"/>
      <c r="B611" s="4"/>
      <c r="C611" s="4"/>
      <c r="D611" s="4"/>
      <c r="E611" s="5"/>
      <c r="F611" s="4"/>
      <c r="G611" s="4"/>
      <c r="H611" s="33"/>
      <c r="I611" s="4"/>
      <c r="J611" s="4"/>
      <c r="K611" s="4"/>
      <c r="L611" s="4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29"/>
      <c r="AJ611" s="29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</row>
    <row r="612">
      <c r="A612" s="4"/>
      <c r="B612" s="4"/>
      <c r="C612" s="4"/>
      <c r="D612" s="4"/>
      <c r="E612" s="5"/>
      <c r="F612" s="4"/>
      <c r="G612" s="4"/>
      <c r="H612" s="33"/>
      <c r="I612" s="4"/>
      <c r="J612" s="4"/>
      <c r="K612" s="4"/>
      <c r="L612" s="4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29"/>
      <c r="AJ612" s="29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</row>
    <row r="613">
      <c r="A613" s="4"/>
      <c r="B613" s="4"/>
      <c r="C613" s="4"/>
      <c r="D613" s="4"/>
      <c r="E613" s="5"/>
      <c r="F613" s="4"/>
      <c r="G613" s="4"/>
      <c r="H613" s="33"/>
      <c r="I613" s="4"/>
      <c r="J613" s="4"/>
      <c r="K613" s="4"/>
      <c r="L613" s="4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29"/>
      <c r="AJ613" s="29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</row>
    <row r="614">
      <c r="A614" s="4"/>
      <c r="B614" s="4"/>
      <c r="C614" s="4"/>
      <c r="D614" s="4"/>
      <c r="E614" s="5"/>
      <c r="F614" s="4"/>
      <c r="G614" s="4"/>
      <c r="H614" s="33"/>
      <c r="I614" s="4"/>
      <c r="J614" s="4"/>
      <c r="K614" s="4"/>
      <c r="L614" s="4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29"/>
      <c r="AJ614" s="29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</row>
    <row r="615">
      <c r="A615" s="4"/>
      <c r="B615" s="4"/>
      <c r="C615" s="4"/>
      <c r="D615" s="4"/>
      <c r="E615" s="5"/>
      <c r="F615" s="4"/>
      <c r="G615" s="4"/>
      <c r="H615" s="33"/>
      <c r="I615" s="4"/>
      <c r="J615" s="4"/>
      <c r="K615" s="4"/>
      <c r="L615" s="4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29"/>
      <c r="AJ615" s="29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</row>
    <row r="616">
      <c r="A616" s="4"/>
      <c r="B616" s="4"/>
      <c r="C616" s="4"/>
      <c r="D616" s="4"/>
      <c r="E616" s="5"/>
      <c r="F616" s="4"/>
      <c r="G616" s="4"/>
      <c r="H616" s="33"/>
      <c r="I616" s="4"/>
      <c r="J616" s="4"/>
      <c r="K616" s="4"/>
      <c r="L616" s="4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29"/>
      <c r="AJ616" s="29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</row>
    <row r="617">
      <c r="A617" s="4"/>
      <c r="B617" s="4"/>
      <c r="C617" s="4"/>
      <c r="D617" s="4"/>
      <c r="E617" s="5"/>
      <c r="F617" s="4"/>
      <c r="G617" s="4"/>
      <c r="H617" s="33"/>
      <c r="I617" s="4"/>
      <c r="J617" s="4"/>
      <c r="K617" s="4"/>
      <c r="L617" s="4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29"/>
      <c r="AJ617" s="29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</row>
    <row r="618">
      <c r="A618" s="4"/>
      <c r="B618" s="4"/>
      <c r="C618" s="4"/>
      <c r="D618" s="4"/>
      <c r="E618" s="5"/>
      <c r="F618" s="4"/>
      <c r="G618" s="4"/>
      <c r="H618" s="33"/>
      <c r="I618" s="4"/>
      <c r="J618" s="4"/>
      <c r="K618" s="4"/>
      <c r="L618" s="4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29"/>
      <c r="AJ618" s="29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</row>
    <row r="619">
      <c r="A619" s="4"/>
      <c r="B619" s="4"/>
      <c r="C619" s="4"/>
      <c r="D619" s="4"/>
      <c r="E619" s="5"/>
      <c r="F619" s="4"/>
      <c r="G619" s="4"/>
      <c r="H619" s="33"/>
      <c r="I619" s="4"/>
      <c r="J619" s="4"/>
      <c r="K619" s="4"/>
      <c r="L619" s="4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29"/>
      <c r="AJ619" s="29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</row>
    <row r="620">
      <c r="A620" s="4"/>
      <c r="B620" s="4"/>
      <c r="C620" s="4"/>
      <c r="D620" s="4"/>
      <c r="E620" s="5"/>
      <c r="F620" s="4"/>
      <c r="G620" s="4"/>
      <c r="H620" s="33"/>
      <c r="I620" s="4"/>
      <c r="J620" s="4"/>
      <c r="K620" s="4"/>
      <c r="L620" s="4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29"/>
      <c r="AJ620" s="29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</row>
    <row r="621">
      <c r="A621" s="4"/>
      <c r="B621" s="4"/>
      <c r="C621" s="4"/>
      <c r="D621" s="4"/>
      <c r="E621" s="5"/>
      <c r="F621" s="4"/>
      <c r="G621" s="4"/>
      <c r="H621" s="33"/>
      <c r="I621" s="4"/>
      <c r="J621" s="4"/>
      <c r="K621" s="4"/>
      <c r="L621" s="4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29"/>
      <c r="AJ621" s="29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</row>
    <row r="622">
      <c r="A622" s="4"/>
      <c r="B622" s="4"/>
      <c r="C622" s="4"/>
      <c r="D622" s="4"/>
      <c r="E622" s="5"/>
      <c r="F622" s="4"/>
      <c r="G622" s="4"/>
      <c r="H622" s="33"/>
      <c r="I622" s="4"/>
      <c r="J622" s="4"/>
      <c r="K622" s="4"/>
      <c r="L622" s="4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29"/>
      <c r="AJ622" s="29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</row>
    <row r="623">
      <c r="A623" s="4"/>
      <c r="B623" s="4"/>
      <c r="C623" s="4"/>
      <c r="D623" s="4"/>
      <c r="E623" s="5"/>
      <c r="F623" s="4"/>
      <c r="G623" s="4"/>
      <c r="H623" s="33"/>
      <c r="I623" s="4"/>
      <c r="J623" s="4"/>
      <c r="K623" s="4"/>
      <c r="L623" s="4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29"/>
      <c r="AJ623" s="29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</row>
    <row r="624">
      <c r="A624" s="4"/>
      <c r="B624" s="4"/>
      <c r="C624" s="4"/>
      <c r="D624" s="4"/>
      <c r="E624" s="5"/>
      <c r="F624" s="4"/>
      <c r="G624" s="4"/>
      <c r="H624" s="33"/>
      <c r="I624" s="4"/>
      <c r="J624" s="4"/>
      <c r="K624" s="4"/>
      <c r="L624" s="4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29"/>
      <c r="AJ624" s="29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</row>
    <row r="625">
      <c r="A625" s="4"/>
      <c r="B625" s="4"/>
      <c r="C625" s="4"/>
      <c r="D625" s="4"/>
      <c r="E625" s="5"/>
      <c r="F625" s="4"/>
      <c r="G625" s="4"/>
      <c r="H625" s="33"/>
      <c r="I625" s="4"/>
      <c r="J625" s="4"/>
      <c r="K625" s="4"/>
      <c r="L625" s="4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29"/>
      <c r="AJ625" s="29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</row>
    <row r="626">
      <c r="A626" s="4"/>
      <c r="B626" s="4"/>
      <c r="C626" s="4"/>
      <c r="D626" s="4"/>
      <c r="E626" s="5"/>
      <c r="F626" s="4"/>
      <c r="G626" s="4"/>
      <c r="H626" s="33"/>
      <c r="I626" s="4"/>
      <c r="J626" s="4"/>
      <c r="K626" s="4"/>
      <c r="L626" s="4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29"/>
      <c r="AJ626" s="29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</row>
    <row r="627">
      <c r="A627" s="4"/>
      <c r="B627" s="4"/>
      <c r="C627" s="4"/>
      <c r="D627" s="4"/>
      <c r="E627" s="5"/>
      <c r="F627" s="4"/>
      <c r="G627" s="4"/>
      <c r="H627" s="33"/>
      <c r="I627" s="4"/>
      <c r="J627" s="4"/>
      <c r="K627" s="4"/>
      <c r="L627" s="4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29"/>
      <c r="AJ627" s="29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</row>
    <row r="628">
      <c r="A628" s="4"/>
      <c r="B628" s="4"/>
      <c r="C628" s="4"/>
      <c r="D628" s="4"/>
      <c r="E628" s="5"/>
      <c r="F628" s="4"/>
      <c r="G628" s="4"/>
      <c r="H628" s="33"/>
      <c r="I628" s="4"/>
      <c r="J628" s="4"/>
      <c r="K628" s="4"/>
      <c r="L628" s="4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29"/>
      <c r="AJ628" s="29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</row>
    <row r="629">
      <c r="A629" s="4"/>
      <c r="B629" s="4"/>
      <c r="C629" s="4"/>
      <c r="D629" s="4"/>
      <c r="E629" s="5"/>
      <c r="F629" s="4"/>
      <c r="G629" s="4"/>
      <c r="H629" s="33"/>
      <c r="I629" s="4"/>
      <c r="J629" s="4"/>
      <c r="K629" s="4"/>
      <c r="L629" s="4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29"/>
      <c r="AJ629" s="29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</row>
    <row r="630">
      <c r="A630" s="4"/>
      <c r="B630" s="4"/>
      <c r="C630" s="4"/>
      <c r="D630" s="4"/>
      <c r="E630" s="5"/>
      <c r="F630" s="4"/>
      <c r="G630" s="4"/>
      <c r="H630" s="33"/>
      <c r="I630" s="4"/>
      <c r="J630" s="4"/>
      <c r="K630" s="4"/>
      <c r="L630" s="4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29"/>
      <c r="AJ630" s="29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</row>
    <row r="631">
      <c r="A631" s="4"/>
      <c r="B631" s="4"/>
      <c r="C631" s="4"/>
      <c r="D631" s="4"/>
      <c r="E631" s="5"/>
      <c r="F631" s="4"/>
      <c r="G631" s="4"/>
      <c r="H631" s="33"/>
      <c r="I631" s="4"/>
      <c r="J631" s="4"/>
      <c r="K631" s="4"/>
      <c r="L631" s="4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29"/>
      <c r="AJ631" s="29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</row>
    <row r="632">
      <c r="A632" s="4"/>
      <c r="B632" s="4"/>
      <c r="C632" s="4"/>
      <c r="D632" s="4"/>
      <c r="E632" s="5"/>
      <c r="F632" s="4"/>
      <c r="G632" s="4"/>
      <c r="H632" s="33"/>
      <c r="I632" s="4"/>
      <c r="J632" s="4"/>
      <c r="K632" s="4"/>
      <c r="L632" s="4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29"/>
      <c r="AJ632" s="29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</row>
    <row r="633">
      <c r="A633" s="4"/>
      <c r="B633" s="4"/>
      <c r="C633" s="4"/>
      <c r="D633" s="4"/>
      <c r="E633" s="5"/>
      <c r="F633" s="4"/>
      <c r="G633" s="4"/>
      <c r="H633" s="33"/>
      <c r="I633" s="4"/>
      <c r="J633" s="4"/>
      <c r="K633" s="4"/>
      <c r="L633" s="4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29"/>
      <c r="AJ633" s="29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</row>
    <row r="634">
      <c r="A634" s="4"/>
      <c r="B634" s="4"/>
      <c r="C634" s="4"/>
      <c r="D634" s="4"/>
      <c r="E634" s="5"/>
      <c r="F634" s="4"/>
      <c r="G634" s="4"/>
      <c r="H634" s="33"/>
      <c r="I634" s="4"/>
      <c r="J634" s="4"/>
      <c r="K634" s="4"/>
      <c r="L634" s="4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29"/>
      <c r="AJ634" s="29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</row>
    <row r="635">
      <c r="A635" s="4"/>
      <c r="B635" s="4"/>
      <c r="C635" s="4"/>
      <c r="D635" s="4"/>
      <c r="E635" s="5"/>
      <c r="F635" s="4"/>
      <c r="G635" s="4"/>
      <c r="H635" s="33"/>
      <c r="I635" s="4"/>
      <c r="J635" s="4"/>
      <c r="K635" s="4"/>
      <c r="L635" s="4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29"/>
      <c r="AJ635" s="29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</row>
    <row r="636">
      <c r="A636" s="4"/>
      <c r="B636" s="4"/>
      <c r="C636" s="4"/>
      <c r="D636" s="4"/>
      <c r="E636" s="5"/>
      <c r="F636" s="4"/>
      <c r="G636" s="4"/>
      <c r="H636" s="33"/>
      <c r="I636" s="4"/>
      <c r="J636" s="4"/>
      <c r="K636" s="4"/>
      <c r="L636" s="4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29"/>
      <c r="AJ636" s="29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</row>
    <row r="637">
      <c r="A637" s="4"/>
      <c r="B637" s="4"/>
      <c r="C637" s="4"/>
      <c r="D637" s="4"/>
      <c r="E637" s="5"/>
      <c r="F637" s="4"/>
      <c r="G637" s="4"/>
      <c r="H637" s="33"/>
      <c r="I637" s="4"/>
      <c r="J637" s="4"/>
      <c r="K637" s="4"/>
      <c r="L637" s="4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29"/>
      <c r="AJ637" s="29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</row>
    <row r="638">
      <c r="A638" s="4"/>
      <c r="B638" s="4"/>
      <c r="C638" s="4"/>
      <c r="D638" s="4"/>
      <c r="E638" s="5"/>
      <c r="F638" s="4"/>
      <c r="G638" s="4"/>
      <c r="H638" s="33"/>
      <c r="I638" s="4"/>
      <c r="J638" s="4"/>
      <c r="K638" s="4"/>
      <c r="L638" s="4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29"/>
      <c r="AJ638" s="29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</row>
    <row r="639">
      <c r="A639" s="4"/>
      <c r="B639" s="4"/>
      <c r="C639" s="4"/>
      <c r="D639" s="4"/>
      <c r="E639" s="5"/>
      <c r="F639" s="4"/>
      <c r="G639" s="4"/>
      <c r="H639" s="33"/>
      <c r="I639" s="4"/>
      <c r="J639" s="4"/>
      <c r="K639" s="4"/>
      <c r="L639" s="4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29"/>
      <c r="AJ639" s="29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</row>
    <row r="640">
      <c r="A640" s="4"/>
      <c r="B640" s="4"/>
      <c r="C640" s="4"/>
      <c r="D640" s="4"/>
      <c r="E640" s="5"/>
      <c r="F640" s="4"/>
      <c r="G640" s="4"/>
      <c r="H640" s="33"/>
      <c r="I640" s="4"/>
      <c r="J640" s="4"/>
      <c r="K640" s="4"/>
      <c r="L640" s="4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29"/>
      <c r="AJ640" s="29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</row>
    <row r="641">
      <c r="A641" s="4"/>
      <c r="B641" s="4"/>
      <c r="C641" s="4"/>
      <c r="D641" s="4"/>
      <c r="E641" s="5"/>
      <c r="F641" s="4"/>
      <c r="G641" s="4"/>
      <c r="H641" s="33"/>
      <c r="I641" s="4"/>
      <c r="J641" s="4"/>
      <c r="K641" s="4"/>
      <c r="L641" s="4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29"/>
      <c r="AJ641" s="29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</row>
    <row r="642">
      <c r="A642" s="4"/>
      <c r="B642" s="4"/>
      <c r="C642" s="4"/>
      <c r="D642" s="4"/>
      <c r="E642" s="5"/>
      <c r="F642" s="4"/>
      <c r="G642" s="4"/>
      <c r="H642" s="33"/>
      <c r="I642" s="4"/>
      <c r="J642" s="4"/>
      <c r="K642" s="4"/>
      <c r="L642" s="4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29"/>
      <c r="AJ642" s="29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</row>
    <row r="643">
      <c r="A643" s="4"/>
      <c r="B643" s="4"/>
      <c r="C643" s="4"/>
      <c r="D643" s="4"/>
      <c r="E643" s="5"/>
      <c r="F643" s="4"/>
      <c r="G643" s="4"/>
      <c r="H643" s="33"/>
      <c r="I643" s="4"/>
      <c r="J643" s="4"/>
      <c r="K643" s="4"/>
      <c r="L643" s="4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29"/>
      <c r="AJ643" s="29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</row>
    <row r="644">
      <c r="A644" s="4"/>
      <c r="B644" s="4"/>
      <c r="C644" s="4"/>
      <c r="D644" s="4"/>
      <c r="E644" s="5"/>
      <c r="F644" s="4"/>
      <c r="G644" s="4"/>
      <c r="H644" s="33"/>
      <c r="I644" s="4"/>
      <c r="J644" s="4"/>
      <c r="K644" s="4"/>
      <c r="L644" s="4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29"/>
      <c r="AJ644" s="29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</row>
    <row r="645">
      <c r="A645" s="4"/>
      <c r="B645" s="4"/>
      <c r="C645" s="4"/>
      <c r="D645" s="4"/>
      <c r="E645" s="5"/>
      <c r="F645" s="4"/>
      <c r="G645" s="4"/>
      <c r="H645" s="33"/>
      <c r="I645" s="4"/>
      <c r="J645" s="4"/>
      <c r="K645" s="4"/>
      <c r="L645" s="4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29"/>
      <c r="AJ645" s="29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</row>
    <row r="646">
      <c r="A646" s="4"/>
      <c r="B646" s="4"/>
      <c r="C646" s="4"/>
      <c r="D646" s="4"/>
      <c r="E646" s="5"/>
      <c r="F646" s="4"/>
      <c r="G646" s="4"/>
      <c r="H646" s="33"/>
      <c r="I646" s="4"/>
      <c r="J646" s="4"/>
      <c r="K646" s="4"/>
      <c r="L646" s="4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29"/>
      <c r="AJ646" s="29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</row>
    <row r="647">
      <c r="A647" s="4"/>
      <c r="B647" s="4"/>
      <c r="C647" s="4"/>
      <c r="D647" s="4"/>
      <c r="E647" s="5"/>
      <c r="F647" s="4"/>
      <c r="G647" s="4"/>
      <c r="H647" s="33"/>
      <c r="I647" s="4"/>
      <c r="J647" s="4"/>
      <c r="K647" s="4"/>
      <c r="L647" s="4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29"/>
      <c r="AJ647" s="29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</row>
    <row r="648">
      <c r="A648" s="4"/>
      <c r="B648" s="4"/>
      <c r="C648" s="4"/>
      <c r="D648" s="4"/>
      <c r="E648" s="5"/>
      <c r="F648" s="4"/>
      <c r="G648" s="4"/>
      <c r="H648" s="33"/>
      <c r="I648" s="4"/>
      <c r="J648" s="4"/>
      <c r="K648" s="4"/>
      <c r="L648" s="4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29"/>
      <c r="AJ648" s="29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</row>
    <row r="649">
      <c r="A649" s="4"/>
      <c r="B649" s="4"/>
      <c r="C649" s="4"/>
      <c r="D649" s="4"/>
      <c r="E649" s="5"/>
      <c r="F649" s="4"/>
      <c r="G649" s="4"/>
      <c r="H649" s="33"/>
      <c r="I649" s="4"/>
      <c r="J649" s="4"/>
      <c r="K649" s="4"/>
      <c r="L649" s="4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29"/>
      <c r="AJ649" s="29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</row>
    <row r="650">
      <c r="A650" s="4"/>
      <c r="B650" s="4"/>
      <c r="C650" s="4"/>
      <c r="D650" s="4"/>
      <c r="E650" s="5"/>
      <c r="F650" s="4"/>
      <c r="G650" s="4"/>
      <c r="H650" s="33"/>
      <c r="I650" s="4"/>
      <c r="J650" s="4"/>
      <c r="K650" s="4"/>
      <c r="L650" s="4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29"/>
      <c r="AJ650" s="29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</row>
    <row r="651">
      <c r="A651" s="4"/>
      <c r="B651" s="4"/>
      <c r="C651" s="4"/>
      <c r="D651" s="4"/>
      <c r="E651" s="5"/>
      <c r="F651" s="4"/>
      <c r="G651" s="4"/>
      <c r="H651" s="33"/>
      <c r="I651" s="4"/>
      <c r="J651" s="4"/>
      <c r="K651" s="4"/>
      <c r="L651" s="4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29"/>
      <c r="AJ651" s="29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</row>
    <row r="652">
      <c r="A652" s="4"/>
      <c r="B652" s="4"/>
      <c r="C652" s="4"/>
      <c r="D652" s="4"/>
      <c r="E652" s="5"/>
      <c r="F652" s="4"/>
      <c r="G652" s="4"/>
      <c r="H652" s="33"/>
      <c r="I652" s="4"/>
      <c r="J652" s="4"/>
      <c r="K652" s="4"/>
      <c r="L652" s="4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29"/>
      <c r="AJ652" s="29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</row>
    <row r="653">
      <c r="A653" s="4"/>
      <c r="B653" s="4"/>
      <c r="C653" s="4"/>
      <c r="D653" s="4"/>
      <c r="E653" s="5"/>
      <c r="F653" s="4"/>
      <c r="G653" s="4"/>
      <c r="H653" s="33"/>
      <c r="I653" s="4"/>
      <c r="J653" s="4"/>
      <c r="K653" s="4"/>
      <c r="L653" s="4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29"/>
      <c r="AJ653" s="29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</row>
    <row r="654">
      <c r="A654" s="4"/>
      <c r="B654" s="4"/>
      <c r="C654" s="4"/>
      <c r="D654" s="4"/>
      <c r="E654" s="5"/>
      <c r="F654" s="4"/>
      <c r="G654" s="4"/>
      <c r="H654" s="33"/>
      <c r="I654" s="4"/>
      <c r="J654" s="4"/>
      <c r="K654" s="4"/>
      <c r="L654" s="4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29"/>
      <c r="AJ654" s="29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</row>
    <row r="655">
      <c r="A655" s="4"/>
      <c r="B655" s="4"/>
      <c r="C655" s="4"/>
      <c r="D655" s="4"/>
      <c r="E655" s="5"/>
      <c r="F655" s="4"/>
      <c r="G655" s="4"/>
      <c r="H655" s="33"/>
      <c r="I655" s="4"/>
      <c r="J655" s="4"/>
      <c r="K655" s="4"/>
      <c r="L655" s="4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29"/>
      <c r="AJ655" s="29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</row>
    <row r="656">
      <c r="A656" s="4"/>
      <c r="B656" s="4"/>
      <c r="C656" s="4"/>
      <c r="D656" s="4"/>
      <c r="E656" s="5"/>
      <c r="F656" s="4"/>
      <c r="G656" s="4"/>
      <c r="H656" s="33"/>
      <c r="I656" s="4"/>
      <c r="J656" s="4"/>
      <c r="K656" s="4"/>
      <c r="L656" s="4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29"/>
      <c r="AJ656" s="29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</row>
    <row r="657">
      <c r="A657" s="4"/>
      <c r="B657" s="4"/>
      <c r="C657" s="4"/>
      <c r="D657" s="4"/>
      <c r="E657" s="5"/>
      <c r="F657" s="4"/>
      <c r="G657" s="4"/>
      <c r="H657" s="33"/>
      <c r="I657" s="4"/>
      <c r="J657" s="4"/>
      <c r="K657" s="4"/>
      <c r="L657" s="4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29"/>
      <c r="AJ657" s="29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</row>
    <row r="658">
      <c r="A658" s="4"/>
      <c r="B658" s="4"/>
      <c r="C658" s="4"/>
      <c r="D658" s="4"/>
      <c r="E658" s="5"/>
      <c r="F658" s="4"/>
      <c r="G658" s="4"/>
      <c r="H658" s="33"/>
      <c r="I658" s="4"/>
      <c r="J658" s="4"/>
      <c r="K658" s="4"/>
      <c r="L658" s="4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29"/>
      <c r="AJ658" s="29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</row>
    <row r="659">
      <c r="A659" s="4"/>
      <c r="B659" s="4"/>
      <c r="C659" s="4"/>
      <c r="D659" s="4"/>
      <c r="E659" s="5"/>
      <c r="F659" s="4"/>
      <c r="G659" s="4"/>
      <c r="H659" s="33"/>
      <c r="I659" s="4"/>
      <c r="J659" s="4"/>
      <c r="K659" s="4"/>
      <c r="L659" s="4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29"/>
      <c r="AJ659" s="29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</row>
    <row r="660">
      <c r="A660" s="4"/>
      <c r="B660" s="4"/>
      <c r="C660" s="4"/>
      <c r="D660" s="4"/>
      <c r="E660" s="5"/>
      <c r="F660" s="4"/>
      <c r="G660" s="4"/>
      <c r="H660" s="33"/>
      <c r="I660" s="4"/>
      <c r="J660" s="4"/>
      <c r="K660" s="4"/>
      <c r="L660" s="4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29"/>
      <c r="AJ660" s="29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</row>
    <row r="661">
      <c r="A661" s="4"/>
      <c r="B661" s="4"/>
      <c r="C661" s="4"/>
      <c r="D661" s="4"/>
      <c r="E661" s="5"/>
      <c r="F661" s="4"/>
      <c r="G661" s="4"/>
      <c r="H661" s="33"/>
      <c r="I661" s="4"/>
      <c r="J661" s="4"/>
      <c r="K661" s="4"/>
      <c r="L661" s="4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29"/>
      <c r="AJ661" s="29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</row>
    <row r="662">
      <c r="A662" s="4"/>
      <c r="B662" s="4"/>
      <c r="C662" s="4"/>
      <c r="D662" s="4"/>
      <c r="E662" s="5"/>
      <c r="F662" s="4"/>
      <c r="G662" s="4"/>
      <c r="H662" s="33"/>
      <c r="I662" s="4"/>
      <c r="J662" s="4"/>
      <c r="K662" s="4"/>
      <c r="L662" s="4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29"/>
      <c r="AJ662" s="29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</row>
    <row r="663">
      <c r="A663" s="4"/>
      <c r="B663" s="4"/>
      <c r="C663" s="4"/>
      <c r="D663" s="4"/>
      <c r="E663" s="5"/>
      <c r="F663" s="4"/>
      <c r="G663" s="4"/>
      <c r="H663" s="33"/>
      <c r="I663" s="4"/>
      <c r="J663" s="4"/>
      <c r="K663" s="4"/>
      <c r="L663" s="4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29"/>
      <c r="AJ663" s="29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</row>
    <row r="664">
      <c r="A664" s="4"/>
      <c r="B664" s="4"/>
      <c r="C664" s="4"/>
      <c r="D664" s="4"/>
      <c r="E664" s="5"/>
      <c r="F664" s="4"/>
      <c r="G664" s="4"/>
      <c r="H664" s="33"/>
      <c r="I664" s="4"/>
      <c r="J664" s="4"/>
      <c r="K664" s="4"/>
      <c r="L664" s="4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29"/>
      <c r="AJ664" s="29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</row>
    <row r="665">
      <c r="A665" s="4"/>
      <c r="B665" s="4"/>
      <c r="C665" s="4"/>
      <c r="D665" s="4"/>
      <c r="E665" s="5"/>
      <c r="F665" s="4"/>
      <c r="G665" s="4"/>
      <c r="H665" s="33"/>
      <c r="I665" s="4"/>
      <c r="J665" s="4"/>
      <c r="K665" s="4"/>
      <c r="L665" s="4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29"/>
      <c r="AJ665" s="29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</row>
    <row r="666">
      <c r="A666" s="4"/>
      <c r="B666" s="4"/>
      <c r="C666" s="4"/>
      <c r="D666" s="4"/>
      <c r="E666" s="5"/>
      <c r="F666" s="4"/>
      <c r="G666" s="4"/>
      <c r="H666" s="33"/>
      <c r="I666" s="4"/>
      <c r="J666" s="4"/>
      <c r="K666" s="4"/>
      <c r="L666" s="4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29"/>
      <c r="AJ666" s="29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</row>
    <row r="667">
      <c r="A667" s="4"/>
      <c r="B667" s="4"/>
      <c r="C667" s="4"/>
      <c r="D667" s="4"/>
      <c r="E667" s="5"/>
      <c r="F667" s="4"/>
      <c r="G667" s="4"/>
      <c r="H667" s="33"/>
      <c r="I667" s="4"/>
      <c r="J667" s="4"/>
      <c r="K667" s="4"/>
      <c r="L667" s="4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29"/>
      <c r="AJ667" s="29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</row>
    <row r="668">
      <c r="A668" s="4"/>
      <c r="B668" s="4"/>
      <c r="C668" s="4"/>
      <c r="D668" s="4"/>
      <c r="E668" s="5"/>
      <c r="F668" s="4"/>
      <c r="G668" s="4"/>
      <c r="H668" s="33"/>
      <c r="I668" s="4"/>
      <c r="J668" s="4"/>
      <c r="K668" s="4"/>
      <c r="L668" s="4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29"/>
      <c r="AJ668" s="29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</row>
    <row r="669">
      <c r="A669" s="4"/>
      <c r="B669" s="4"/>
      <c r="C669" s="4"/>
      <c r="D669" s="4"/>
      <c r="E669" s="5"/>
      <c r="F669" s="4"/>
      <c r="G669" s="4"/>
      <c r="H669" s="33"/>
      <c r="I669" s="4"/>
      <c r="J669" s="4"/>
      <c r="K669" s="4"/>
      <c r="L669" s="4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29"/>
      <c r="AJ669" s="29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</row>
    <row r="670">
      <c r="A670" s="4"/>
      <c r="B670" s="4"/>
      <c r="C670" s="4"/>
      <c r="D670" s="4"/>
      <c r="E670" s="5"/>
      <c r="F670" s="4"/>
      <c r="G670" s="4"/>
      <c r="H670" s="33"/>
      <c r="I670" s="4"/>
      <c r="J670" s="4"/>
      <c r="K670" s="4"/>
      <c r="L670" s="4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29"/>
      <c r="AJ670" s="29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</row>
    <row r="671">
      <c r="A671" s="4"/>
      <c r="B671" s="4"/>
      <c r="C671" s="4"/>
      <c r="D671" s="4"/>
      <c r="E671" s="5"/>
      <c r="F671" s="4"/>
      <c r="G671" s="4"/>
      <c r="H671" s="33"/>
      <c r="I671" s="4"/>
      <c r="J671" s="4"/>
      <c r="K671" s="4"/>
      <c r="L671" s="4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29"/>
      <c r="AJ671" s="29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</row>
    <row r="672">
      <c r="A672" s="4"/>
      <c r="B672" s="4"/>
      <c r="C672" s="4"/>
      <c r="D672" s="4"/>
      <c r="E672" s="5"/>
      <c r="F672" s="4"/>
      <c r="G672" s="4"/>
      <c r="H672" s="33"/>
      <c r="I672" s="4"/>
      <c r="J672" s="4"/>
      <c r="K672" s="4"/>
      <c r="L672" s="4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29"/>
      <c r="AJ672" s="29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</row>
    <row r="673">
      <c r="A673" s="4"/>
      <c r="B673" s="4"/>
      <c r="C673" s="4"/>
      <c r="D673" s="4"/>
      <c r="E673" s="5"/>
      <c r="F673" s="4"/>
      <c r="G673" s="4"/>
      <c r="H673" s="33"/>
      <c r="I673" s="4"/>
      <c r="J673" s="4"/>
      <c r="K673" s="4"/>
      <c r="L673" s="4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29"/>
      <c r="AJ673" s="29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</row>
    <row r="674">
      <c r="A674" s="4"/>
      <c r="B674" s="4"/>
      <c r="C674" s="4"/>
      <c r="D674" s="4"/>
      <c r="E674" s="5"/>
      <c r="F674" s="4"/>
      <c r="G674" s="4"/>
      <c r="H674" s="33"/>
      <c r="I674" s="4"/>
      <c r="J674" s="4"/>
      <c r="K674" s="4"/>
      <c r="L674" s="4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29"/>
      <c r="AJ674" s="29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</row>
    <row r="675">
      <c r="A675" s="4"/>
      <c r="B675" s="4"/>
      <c r="C675" s="4"/>
      <c r="D675" s="4"/>
      <c r="E675" s="5"/>
      <c r="F675" s="4"/>
      <c r="G675" s="4"/>
      <c r="H675" s="33"/>
      <c r="I675" s="4"/>
      <c r="J675" s="4"/>
      <c r="K675" s="4"/>
      <c r="L675" s="4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29"/>
      <c r="AJ675" s="29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</row>
    <row r="676">
      <c r="A676" s="4"/>
      <c r="B676" s="4"/>
      <c r="C676" s="4"/>
      <c r="D676" s="4"/>
      <c r="E676" s="5"/>
      <c r="F676" s="4"/>
      <c r="G676" s="4"/>
      <c r="H676" s="33"/>
      <c r="I676" s="4"/>
      <c r="J676" s="4"/>
      <c r="K676" s="4"/>
      <c r="L676" s="4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29"/>
      <c r="AJ676" s="29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</row>
    <row r="677">
      <c r="A677" s="4"/>
      <c r="B677" s="4"/>
      <c r="C677" s="4"/>
      <c r="D677" s="4"/>
      <c r="E677" s="5"/>
      <c r="F677" s="4"/>
      <c r="G677" s="4"/>
      <c r="H677" s="33"/>
      <c r="I677" s="4"/>
      <c r="J677" s="4"/>
      <c r="K677" s="4"/>
      <c r="L677" s="4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29"/>
      <c r="AJ677" s="29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</row>
    <row r="678">
      <c r="A678" s="4"/>
      <c r="B678" s="4"/>
      <c r="C678" s="4"/>
      <c r="D678" s="4"/>
      <c r="E678" s="5"/>
      <c r="F678" s="4"/>
      <c r="G678" s="4"/>
      <c r="H678" s="33"/>
      <c r="I678" s="4"/>
      <c r="J678" s="4"/>
      <c r="K678" s="4"/>
      <c r="L678" s="4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29"/>
      <c r="AJ678" s="29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</row>
    <row r="679">
      <c r="A679" s="4"/>
      <c r="B679" s="4"/>
      <c r="C679" s="4"/>
      <c r="D679" s="4"/>
      <c r="E679" s="5"/>
      <c r="F679" s="4"/>
      <c r="G679" s="4"/>
      <c r="H679" s="33"/>
      <c r="I679" s="4"/>
      <c r="J679" s="4"/>
      <c r="K679" s="4"/>
      <c r="L679" s="4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29"/>
      <c r="AJ679" s="29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</row>
    <row r="680">
      <c r="A680" s="4"/>
      <c r="B680" s="4"/>
      <c r="C680" s="4"/>
      <c r="D680" s="4"/>
      <c r="E680" s="5"/>
      <c r="F680" s="4"/>
      <c r="G680" s="4"/>
      <c r="H680" s="33"/>
      <c r="I680" s="4"/>
      <c r="J680" s="4"/>
      <c r="K680" s="4"/>
      <c r="L680" s="4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29"/>
      <c r="AJ680" s="29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</row>
    <row r="681">
      <c r="A681" s="4"/>
      <c r="B681" s="4"/>
      <c r="C681" s="4"/>
      <c r="D681" s="4"/>
      <c r="E681" s="5"/>
      <c r="F681" s="4"/>
      <c r="G681" s="4"/>
      <c r="H681" s="33"/>
      <c r="I681" s="4"/>
      <c r="J681" s="4"/>
      <c r="K681" s="4"/>
      <c r="L681" s="4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29"/>
      <c r="AJ681" s="29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</row>
    <row r="682">
      <c r="A682" s="4"/>
      <c r="B682" s="4"/>
      <c r="C682" s="4"/>
      <c r="D682" s="4"/>
      <c r="E682" s="5"/>
      <c r="F682" s="4"/>
      <c r="G682" s="4"/>
      <c r="H682" s="33"/>
      <c r="I682" s="4"/>
      <c r="J682" s="4"/>
      <c r="K682" s="4"/>
      <c r="L682" s="4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29"/>
      <c r="AJ682" s="29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</row>
    <row r="683">
      <c r="A683" s="4"/>
      <c r="B683" s="4"/>
      <c r="C683" s="4"/>
      <c r="D683" s="4"/>
      <c r="E683" s="5"/>
      <c r="F683" s="4"/>
      <c r="G683" s="4"/>
      <c r="H683" s="33"/>
      <c r="I683" s="4"/>
      <c r="J683" s="4"/>
      <c r="K683" s="4"/>
      <c r="L683" s="4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29"/>
      <c r="AJ683" s="29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</row>
    <row r="684">
      <c r="A684" s="4"/>
      <c r="B684" s="4"/>
      <c r="C684" s="4"/>
      <c r="D684" s="4"/>
      <c r="E684" s="5"/>
      <c r="F684" s="4"/>
      <c r="G684" s="4"/>
      <c r="H684" s="33"/>
      <c r="I684" s="4"/>
      <c r="J684" s="4"/>
      <c r="K684" s="4"/>
      <c r="L684" s="4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29"/>
      <c r="AJ684" s="29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</row>
    <row r="685">
      <c r="A685" s="4"/>
      <c r="B685" s="4"/>
      <c r="C685" s="4"/>
      <c r="D685" s="4"/>
      <c r="E685" s="5"/>
      <c r="F685" s="4"/>
      <c r="G685" s="4"/>
      <c r="H685" s="33"/>
      <c r="I685" s="4"/>
      <c r="J685" s="4"/>
      <c r="K685" s="4"/>
      <c r="L685" s="4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29"/>
      <c r="AJ685" s="29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</row>
    <row r="686">
      <c r="A686" s="4"/>
      <c r="B686" s="4"/>
      <c r="C686" s="4"/>
      <c r="D686" s="4"/>
      <c r="E686" s="5"/>
      <c r="F686" s="4"/>
      <c r="G686" s="4"/>
      <c r="H686" s="33"/>
      <c r="I686" s="4"/>
      <c r="J686" s="4"/>
      <c r="K686" s="4"/>
      <c r="L686" s="4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29"/>
      <c r="AJ686" s="29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</row>
    <row r="687">
      <c r="A687" s="4"/>
      <c r="B687" s="4"/>
      <c r="C687" s="4"/>
      <c r="D687" s="4"/>
      <c r="E687" s="5"/>
      <c r="F687" s="4"/>
      <c r="G687" s="4"/>
      <c r="H687" s="33"/>
      <c r="I687" s="4"/>
      <c r="J687" s="4"/>
      <c r="K687" s="4"/>
      <c r="L687" s="4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29"/>
      <c r="AJ687" s="29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</row>
    <row r="688">
      <c r="A688" s="4"/>
      <c r="B688" s="4"/>
      <c r="C688" s="4"/>
      <c r="D688" s="4"/>
      <c r="E688" s="5"/>
      <c r="F688" s="4"/>
      <c r="G688" s="4"/>
      <c r="H688" s="33"/>
      <c r="I688" s="4"/>
      <c r="J688" s="4"/>
      <c r="K688" s="4"/>
      <c r="L688" s="4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29"/>
      <c r="AJ688" s="29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</row>
    <row r="689">
      <c r="A689" s="4"/>
      <c r="B689" s="4"/>
      <c r="C689" s="4"/>
      <c r="D689" s="4"/>
      <c r="E689" s="5"/>
      <c r="F689" s="4"/>
      <c r="G689" s="4"/>
      <c r="H689" s="33"/>
      <c r="I689" s="4"/>
      <c r="J689" s="4"/>
      <c r="K689" s="4"/>
      <c r="L689" s="4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29"/>
      <c r="AJ689" s="29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</row>
    <row r="690">
      <c r="A690" s="4"/>
      <c r="B690" s="4"/>
      <c r="C690" s="4"/>
      <c r="D690" s="4"/>
      <c r="E690" s="5"/>
      <c r="F690" s="4"/>
      <c r="G690" s="4"/>
      <c r="H690" s="33"/>
      <c r="I690" s="4"/>
      <c r="J690" s="4"/>
      <c r="K690" s="4"/>
      <c r="L690" s="4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29"/>
      <c r="AJ690" s="29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</row>
    <row r="691">
      <c r="A691" s="4"/>
      <c r="B691" s="4"/>
      <c r="C691" s="4"/>
      <c r="D691" s="4"/>
      <c r="E691" s="5"/>
      <c r="F691" s="4"/>
      <c r="G691" s="4"/>
      <c r="H691" s="33"/>
      <c r="I691" s="4"/>
      <c r="J691" s="4"/>
      <c r="K691" s="4"/>
      <c r="L691" s="4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29"/>
      <c r="AJ691" s="29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</row>
    <row r="692">
      <c r="A692" s="4"/>
      <c r="B692" s="4"/>
      <c r="C692" s="4"/>
      <c r="D692" s="4"/>
      <c r="E692" s="5"/>
      <c r="F692" s="4"/>
      <c r="G692" s="4"/>
      <c r="H692" s="33"/>
      <c r="I692" s="4"/>
      <c r="J692" s="4"/>
      <c r="K692" s="4"/>
      <c r="L692" s="4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29"/>
      <c r="AJ692" s="29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</row>
    <row r="693">
      <c r="A693" s="4"/>
      <c r="B693" s="4"/>
      <c r="C693" s="4"/>
      <c r="D693" s="4"/>
      <c r="E693" s="5"/>
      <c r="F693" s="4"/>
      <c r="G693" s="4"/>
      <c r="H693" s="33"/>
      <c r="I693" s="4"/>
      <c r="J693" s="4"/>
      <c r="K693" s="4"/>
      <c r="L693" s="4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29"/>
      <c r="AJ693" s="29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</row>
    <row r="694">
      <c r="A694" s="4"/>
      <c r="B694" s="4"/>
      <c r="C694" s="4"/>
      <c r="D694" s="4"/>
      <c r="E694" s="5"/>
      <c r="F694" s="4"/>
      <c r="G694" s="4"/>
      <c r="H694" s="33"/>
      <c r="I694" s="4"/>
      <c r="J694" s="4"/>
      <c r="K694" s="4"/>
      <c r="L694" s="4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29"/>
      <c r="AJ694" s="29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</row>
    <row r="695">
      <c r="A695" s="4"/>
      <c r="B695" s="4"/>
      <c r="C695" s="4"/>
      <c r="D695" s="4"/>
      <c r="E695" s="5"/>
      <c r="F695" s="4"/>
      <c r="G695" s="4"/>
      <c r="H695" s="33"/>
      <c r="I695" s="4"/>
      <c r="J695" s="4"/>
      <c r="K695" s="4"/>
      <c r="L695" s="4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29"/>
      <c r="AJ695" s="29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</row>
    <row r="696">
      <c r="A696" s="4"/>
      <c r="B696" s="4"/>
      <c r="C696" s="4"/>
      <c r="D696" s="4"/>
      <c r="E696" s="5"/>
      <c r="F696" s="4"/>
      <c r="G696" s="4"/>
      <c r="H696" s="33"/>
      <c r="I696" s="4"/>
      <c r="J696" s="4"/>
      <c r="K696" s="4"/>
      <c r="L696" s="4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29"/>
      <c r="AJ696" s="29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</row>
    <row r="697">
      <c r="A697" s="4"/>
      <c r="B697" s="4"/>
      <c r="C697" s="4"/>
      <c r="D697" s="4"/>
      <c r="E697" s="5"/>
      <c r="F697" s="4"/>
      <c r="G697" s="4"/>
      <c r="H697" s="33"/>
      <c r="I697" s="4"/>
      <c r="J697" s="4"/>
      <c r="K697" s="4"/>
      <c r="L697" s="4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29"/>
      <c r="AJ697" s="29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</row>
    <row r="698">
      <c r="A698" s="4"/>
      <c r="B698" s="4"/>
      <c r="C698" s="4"/>
      <c r="D698" s="4"/>
      <c r="E698" s="5"/>
      <c r="F698" s="4"/>
      <c r="G698" s="4"/>
      <c r="H698" s="33"/>
      <c r="I698" s="4"/>
      <c r="J698" s="4"/>
      <c r="K698" s="4"/>
      <c r="L698" s="4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29"/>
      <c r="AJ698" s="29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</row>
    <row r="699">
      <c r="A699" s="4"/>
      <c r="B699" s="4"/>
      <c r="C699" s="4"/>
      <c r="D699" s="4"/>
      <c r="E699" s="5"/>
      <c r="F699" s="4"/>
      <c r="G699" s="4"/>
      <c r="H699" s="33"/>
      <c r="I699" s="4"/>
      <c r="J699" s="4"/>
      <c r="K699" s="4"/>
      <c r="L699" s="4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29"/>
      <c r="AJ699" s="29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</row>
    <row r="700">
      <c r="A700" s="4"/>
      <c r="B700" s="4"/>
      <c r="C700" s="4"/>
      <c r="D700" s="4"/>
      <c r="E700" s="5"/>
      <c r="F700" s="4"/>
      <c r="G700" s="4"/>
      <c r="H700" s="33"/>
      <c r="I700" s="4"/>
      <c r="J700" s="4"/>
      <c r="K700" s="4"/>
      <c r="L700" s="4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29"/>
      <c r="AJ700" s="29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</row>
    <row r="701">
      <c r="A701" s="4"/>
      <c r="B701" s="4"/>
      <c r="C701" s="4"/>
      <c r="D701" s="4"/>
      <c r="E701" s="5"/>
      <c r="F701" s="4"/>
      <c r="G701" s="4"/>
      <c r="H701" s="33"/>
      <c r="I701" s="4"/>
      <c r="J701" s="4"/>
      <c r="K701" s="4"/>
      <c r="L701" s="4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29"/>
      <c r="AJ701" s="29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</row>
    <row r="702">
      <c r="A702" s="4"/>
      <c r="B702" s="4"/>
      <c r="C702" s="4"/>
      <c r="D702" s="4"/>
      <c r="E702" s="5"/>
      <c r="F702" s="4"/>
      <c r="G702" s="4"/>
      <c r="H702" s="33"/>
      <c r="I702" s="4"/>
      <c r="J702" s="4"/>
      <c r="K702" s="4"/>
      <c r="L702" s="4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29"/>
      <c r="AJ702" s="29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</row>
    <row r="703">
      <c r="A703" s="4"/>
      <c r="B703" s="4"/>
      <c r="C703" s="4"/>
      <c r="D703" s="4"/>
      <c r="E703" s="5"/>
      <c r="F703" s="4"/>
      <c r="G703" s="4"/>
      <c r="H703" s="33"/>
      <c r="I703" s="4"/>
      <c r="J703" s="4"/>
      <c r="K703" s="4"/>
      <c r="L703" s="4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29"/>
      <c r="AJ703" s="29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</row>
    <row r="704">
      <c r="A704" s="4"/>
      <c r="B704" s="4"/>
      <c r="C704" s="4"/>
      <c r="D704" s="4"/>
      <c r="E704" s="5"/>
      <c r="F704" s="4"/>
      <c r="G704" s="4"/>
      <c r="H704" s="33"/>
      <c r="I704" s="4"/>
      <c r="J704" s="4"/>
      <c r="K704" s="4"/>
      <c r="L704" s="4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29"/>
      <c r="AJ704" s="29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</row>
    <row r="705">
      <c r="A705" s="4"/>
      <c r="B705" s="4"/>
      <c r="C705" s="4"/>
      <c r="D705" s="4"/>
      <c r="E705" s="5"/>
      <c r="F705" s="4"/>
      <c r="G705" s="4"/>
      <c r="H705" s="33"/>
      <c r="I705" s="4"/>
      <c r="J705" s="4"/>
      <c r="K705" s="4"/>
      <c r="L705" s="4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29"/>
      <c r="AJ705" s="29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</row>
    <row r="706">
      <c r="A706" s="4"/>
      <c r="B706" s="4"/>
      <c r="C706" s="4"/>
      <c r="D706" s="4"/>
      <c r="E706" s="5"/>
      <c r="F706" s="4"/>
      <c r="G706" s="4"/>
      <c r="H706" s="33"/>
      <c r="I706" s="4"/>
      <c r="J706" s="4"/>
      <c r="K706" s="4"/>
      <c r="L706" s="4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29"/>
      <c r="AJ706" s="29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</row>
    <row r="707">
      <c r="A707" s="4"/>
      <c r="B707" s="4"/>
      <c r="C707" s="4"/>
      <c r="D707" s="4"/>
      <c r="E707" s="5"/>
      <c r="F707" s="4"/>
      <c r="G707" s="4"/>
      <c r="H707" s="33"/>
      <c r="I707" s="4"/>
      <c r="J707" s="4"/>
      <c r="K707" s="4"/>
      <c r="L707" s="4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29"/>
      <c r="AJ707" s="29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</row>
    <row r="708">
      <c r="A708" s="4"/>
      <c r="B708" s="4"/>
      <c r="C708" s="4"/>
      <c r="D708" s="4"/>
      <c r="E708" s="5"/>
      <c r="F708" s="4"/>
      <c r="G708" s="4"/>
      <c r="H708" s="33"/>
      <c r="I708" s="4"/>
      <c r="J708" s="4"/>
      <c r="K708" s="4"/>
      <c r="L708" s="4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29"/>
      <c r="AJ708" s="29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</row>
    <row r="709">
      <c r="A709" s="4"/>
      <c r="B709" s="4"/>
      <c r="C709" s="4"/>
      <c r="D709" s="4"/>
      <c r="E709" s="5"/>
      <c r="F709" s="4"/>
      <c r="G709" s="4"/>
      <c r="H709" s="33"/>
      <c r="I709" s="4"/>
      <c r="J709" s="4"/>
      <c r="K709" s="4"/>
      <c r="L709" s="4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29"/>
      <c r="AJ709" s="29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</row>
    <row r="710">
      <c r="A710" s="4"/>
      <c r="B710" s="4"/>
      <c r="C710" s="4"/>
      <c r="D710" s="4"/>
      <c r="E710" s="5"/>
      <c r="F710" s="4"/>
      <c r="G710" s="4"/>
      <c r="H710" s="33"/>
      <c r="I710" s="4"/>
      <c r="J710" s="4"/>
      <c r="K710" s="4"/>
      <c r="L710" s="4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29"/>
      <c r="AJ710" s="29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</row>
    <row r="711">
      <c r="A711" s="4"/>
      <c r="B711" s="4"/>
      <c r="C711" s="4"/>
      <c r="D711" s="4"/>
      <c r="E711" s="5"/>
      <c r="F711" s="4"/>
      <c r="G711" s="4"/>
      <c r="H711" s="33"/>
      <c r="I711" s="4"/>
      <c r="J711" s="4"/>
      <c r="K711" s="4"/>
      <c r="L711" s="4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29"/>
      <c r="AJ711" s="29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</row>
    <row r="712">
      <c r="A712" s="4"/>
      <c r="B712" s="4"/>
      <c r="C712" s="4"/>
      <c r="D712" s="4"/>
      <c r="E712" s="5"/>
      <c r="F712" s="4"/>
      <c r="G712" s="4"/>
      <c r="H712" s="33"/>
      <c r="I712" s="4"/>
      <c r="J712" s="4"/>
      <c r="K712" s="4"/>
      <c r="L712" s="4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29"/>
      <c r="AJ712" s="29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</row>
    <row r="713">
      <c r="A713" s="4"/>
      <c r="B713" s="4"/>
      <c r="C713" s="4"/>
      <c r="D713" s="4"/>
      <c r="E713" s="5"/>
      <c r="F713" s="4"/>
      <c r="G713" s="4"/>
      <c r="H713" s="33"/>
      <c r="I713" s="4"/>
      <c r="J713" s="4"/>
      <c r="K713" s="4"/>
      <c r="L713" s="4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29"/>
      <c r="AJ713" s="29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</row>
    <row r="714">
      <c r="A714" s="4"/>
      <c r="B714" s="4"/>
      <c r="C714" s="4"/>
      <c r="D714" s="4"/>
      <c r="E714" s="5"/>
      <c r="F714" s="4"/>
      <c r="G714" s="4"/>
      <c r="H714" s="33"/>
      <c r="I714" s="4"/>
      <c r="J714" s="4"/>
      <c r="K714" s="4"/>
      <c r="L714" s="4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29"/>
      <c r="AJ714" s="29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</row>
    <row r="715">
      <c r="A715" s="4"/>
      <c r="B715" s="4"/>
      <c r="C715" s="4"/>
      <c r="D715" s="4"/>
      <c r="E715" s="5"/>
      <c r="F715" s="4"/>
      <c r="G715" s="4"/>
      <c r="H715" s="33"/>
      <c r="I715" s="4"/>
      <c r="J715" s="4"/>
      <c r="K715" s="4"/>
      <c r="L715" s="4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29"/>
      <c r="AJ715" s="29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</row>
    <row r="716">
      <c r="A716" s="4"/>
      <c r="B716" s="4"/>
      <c r="C716" s="4"/>
      <c r="D716" s="4"/>
      <c r="E716" s="5"/>
      <c r="F716" s="4"/>
      <c r="G716" s="4"/>
      <c r="H716" s="33"/>
      <c r="I716" s="4"/>
      <c r="J716" s="4"/>
      <c r="K716" s="4"/>
      <c r="L716" s="4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29"/>
      <c r="AJ716" s="29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</row>
    <row r="717">
      <c r="A717" s="4"/>
      <c r="B717" s="4"/>
      <c r="C717" s="4"/>
      <c r="D717" s="4"/>
      <c r="E717" s="5"/>
      <c r="F717" s="4"/>
      <c r="G717" s="4"/>
      <c r="H717" s="33"/>
      <c r="I717" s="4"/>
      <c r="J717" s="4"/>
      <c r="K717" s="4"/>
      <c r="L717" s="4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29"/>
      <c r="AJ717" s="29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</row>
    <row r="718">
      <c r="A718" s="4"/>
      <c r="B718" s="4"/>
      <c r="C718" s="4"/>
      <c r="D718" s="4"/>
      <c r="E718" s="5"/>
      <c r="F718" s="4"/>
      <c r="G718" s="4"/>
      <c r="H718" s="33"/>
      <c r="I718" s="4"/>
      <c r="J718" s="4"/>
      <c r="K718" s="4"/>
      <c r="L718" s="4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29"/>
      <c r="AJ718" s="29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</row>
    <row r="719">
      <c r="A719" s="4"/>
      <c r="B719" s="4"/>
      <c r="C719" s="4"/>
      <c r="D719" s="4"/>
      <c r="E719" s="5"/>
      <c r="F719" s="4"/>
      <c r="G719" s="4"/>
      <c r="H719" s="33"/>
      <c r="I719" s="4"/>
      <c r="J719" s="4"/>
      <c r="K719" s="4"/>
      <c r="L719" s="4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29"/>
      <c r="AJ719" s="29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</row>
    <row r="720">
      <c r="A720" s="4"/>
      <c r="B720" s="4"/>
      <c r="C720" s="4"/>
      <c r="D720" s="4"/>
      <c r="E720" s="5"/>
      <c r="F720" s="4"/>
      <c r="G720" s="4"/>
      <c r="H720" s="33"/>
      <c r="I720" s="4"/>
      <c r="J720" s="4"/>
      <c r="K720" s="4"/>
      <c r="L720" s="4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29"/>
      <c r="AJ720" s="29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</row>
    <row r="721">
      <c r="A721" s="4"/>
      <c r="B721" s="4"/>
      <c r="C721" s="4"/>
      <c r="D721" s="4"/>
      <c r="E721" s="5"/>
      <c r="F721" s="4"/>
      <c r="G721" s="4"/>
      <c r="H721" s="33"/>
      <c r="I721" s="4"/>
      <c r="J721" s="4"/>
      <c r="K721" s="4"/>
      <c r="L721" s="4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29"/>
      <c r="AJ721" s="29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</row>
    <row r="722">
      <c r="A722" s="4"/>
      <c r="B722" s="4"/>
      <c r="C722" s="4"/>
      <c r="D722" s="4"/>
      <c r="E722" s="5"/>
      <c r="F722" s="4"/>
      <c r="G722" s="4"/>
      <c r="H722" s="33"/>
      <c r="I722" s="4"/>
      <c r="J722" s="4"/>
      <c r="K722" s="4"/>
      <c r="L722" s="4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29"/>
      <c r="AJ722" s="29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</row>
    <row r="723">
      <c r="A723" s="4"/>
      <c r="B723" s="4"/>
      <c r="C723" s="4"/>
      <c r="D723" s="4"/>
      <c r="E723" s="5"/>
      <c r="F723" s="4"/>
      <c r="G723" s="4"/>
      <c r="H723" s="33"/>
      <c r="I723" s="4"/>
      <c r="J723" s="4"/>
      <c r="K723" s="4"/>
      <c r="L723" s="4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29"/>
      <c r="AJ723" s="29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</row>
    <row r="724">
      <c r="A724" s="4"/>
      <c r="B724" s="4"/>
      <c r="C724" s="4"/>
      <c r="D724" s="4"/>
      <c r="E724" s="5"/>
      <c r="F724" s="4"/>
      <c r="G724" s="4"/>
      <c r="H724" s="33"/>
      <c r="I724" s="4"/>
      <c r="J724" s="4"/>
      <c r="K724" s="4"/>
      <c r="L724" s="4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29"/>
      <c r="AJ724" s="29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</row>
    <row r="725">
      <c r="A725" s="4"/>
      <c r="B725" s="4"/>
      <c r="C725" s="4"/>
      <c r="D725" s="4"/>
      <c r="E725" s="5"/>
      <c r="F725" s="4"/>
      <c r="G725" s="4"/>
      <c r="H725" s="33"/>
      <c r="I725" s="4"/>
      <c r="J725" s="4"/>
      <c r="K725" s="4"/>
      <c r="L725" s="4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29"/>
      <c r="AJ725" s="29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</row>
    <row r="726">
      <c r="A726" s="4"/>
      <c r="B726" s="4"/>
      <c r="C726" s="4"/>
      <c r="D726" s="4"/>
      <c r="E726" s="5"/>
      <c r="F726" s="4"/>
      <c r="G726" s="4"/>
      <c r="H726" s="33"/>
      <c r="I726" s="4"/>
      <c r="J726" s="4"/>
      <c r="K726" s="4"/>
      <c r="L726" s="4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29"/>
      <c r="AJ726" s="29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</row>
    <row r="727">
      <c r="A727" s="4"/>
      <c r="B727" s="4"/>
      <c r="C727" s="4"/>
      <c r="D727" s="4"/>
      <c r="E727" s="5"/>
      <c r="F727" s="4"/>
      <c r="G727" s="4"/>
      <c r="H727" s="33"/>
      <c r="I727" s="4"/>
      <c r="J727" s="4"/>
      <c r="K727" s="4"/>
      <c r="L727" s="4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29"/>
      <c r="AJ727" s="29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</row>
    <row r="728">
      <c r="A728" s="4"/>
      <c r="B728" s="4"/>
      <c r="C728" s="4"/>
      <c r="D728" s="4"/>
      <c r="E728" s="5"/>
      <c r="F728" s="4"/>
      <c r="G728" s="4"/>
      <c r="H728" s="33"/>
      <c r="I728" s="4"/>
      <c r="J728" s="4"/>
      <c r="K728" s="4"/>
      <c r="L728" s="4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29"/>
      <c r="AJ728" s="29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</row>
    <row r="729">
      <c r="A729" s="4"/>
      <c r="B729" s="4"/>
      <c r="C729" s="4"/>
      <c r="D729" s="4"/>
      <c r="E729" s="5"/>
      <c r="F729" s="4"/>
      <c r="G729" s="4"/>
      <c r="H729" s="33"/>
      <c r="I729" s="4"/>
      <c r="J729" s="4"/>
      <c r="K729" s="4"/>
      <c r="L729" s="4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29"/>
      <c r="AJ729" s="29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</row>
    <row r="730">
      <c r="A730" s="4"/>
      <c r="B730" s="4"/>
      <c r="C730" s="4"/>
      <c r="D730" s="4"/>
      <c r="E730" s="5"/>
      <c r="F730" s="4"/>
      <c r="G730" s="4"/>
      <c r="H730" s="33"/>
      <c r="I730" s="4"/>
      <c r="J730" s="4"/>
      <c r="K730" s="4"/>
      <c r="L730" s="4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29"/>
      <c r="AJ730" s="29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</row>
    <row r="731">
      <c r="A731" s="4"/>
      <c r="B731" s="4"/>
      <c r="C731" s="4"/>
      <c r="D731" s="4"/>
      <c r="E731" s="5"/>
      <c r="F731" s="4"/>
      <c r="G731" s="4"/>
      <c r="H731" s="33"/>
      <c r="I731" s="4"/>
      <c r="J731" s="4"/>
      <c r="K731" s="4"/>
      <c r="L731" s="4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29"/>
      <c r="AJ731" s="29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</row>
    <row r="732">
      <c r="A732" s="4"/>
      <c r="B732" s="4"/>
      <c r="C732" s="4"/>
      <c r="D732" s="4"/>
      <c r="E732" s="5"/>
      <c r="F732" s="4"/>
      <c r="G732" s="4"/>
      <c r="H732" s="33"/>
      <c r="I732" s="4"/>
      <c r="J732" s="4"/>
      <c r="K732" s="4"/>
      <c r="L732" s="4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29"/>
      <c r="AJ732" s="29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</row>
    <row r="733">
      <c r="A733" s="4"/>
      <c r="B733" s="4"/>
      <c r="C733" s="4"/>
      <c r="D733" s="4"/>
      <c r="E733" s="5"/>
      <c r="F733" s="4"/>
      <c r="G733" s="4"/>
      <c r="H733" s="33"/>
      <c r="I733" s="4"/>
      <c r="J733" s="4"/>
      <c r="K733" s="4"/>
      <c r="L733" s="4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29"/>
      <c r="AJ733" s="29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</row>
    <row r="734">
      <c r="A734" s="4"/>
      <c r="B734" s="4"/>
      <c r="C734" s="4"/>
      <c r="D734" s="4"/>
      <c r="E734" s="5"/>
      <c r="F734" s="4"/>
      <c r="G734" s="4"/>
      <c r="H734" s="33"/>
      <c r="I734" s="4"/>
      <c r="J734" s="4"/>
      <c r="K734" s="4"/>
      <c r="L734" s="4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29"/>
      <c r="AJ734" s="29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</row>
    <row r="735">
      <c r="A735" s="4"/>
      <c r="B735" s="4"/>
      <c r="C735" s="4"/>
      <c r="D735" s="4"/>
      <c r="E735" s="5"/>
      <c r="F735" s="4"/>
      <c r="G735" s="4"/>
      <c r="H735" s="33"/>
      <c r="I735" s="4"/>
      <c r="J735" s="4"/>
      <c r="K735" s="4"/>
      <c r="L735" s="4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29"/>
      <c r="AJ735" s="29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</row>
    <row r="736">
      <c r="A736" s="4"/>
      <c r="B736" s="4"/>
      <c r="C736" s="4"/>
      <c r="D736" s="4"/>
      <c r="E736" s="5"/>
      <c r="F736" s="4"/>
      <c r="G736" s="4"/>
      <c r="H736" s="33"/>
      <c r="I736" s="4"/>
      <c r="J736" s="4"/>
      <c r="K736" s="4"/>
      <c r="L736" s="4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29"/>
      <c r="AJ736" s="29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</row>
    <row r="737">
      <c r="A737" s="4"/>
      <c r="B737" s="4"/>
      <c r="C737" s="4"/>
      <c r="D737" s="4"/>
      <c r="E737" s="5"/>
      <c r="F737" s="4"/>
      <c r="G737" s="4"/>
      <c r="H737" s="33"/>
      <c r="I737" s="4"/>
      <c r="J737" s="4"/>
      <c r="K737" s="4"/>
      <c r="L737" s="4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29"/>
      <c r="AJ737" s="29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</row>
    <row r="738">
      <c r="A738" s="4"/>
      <c r="B738" s="4"/>
      <c r="C738" s="4"/>
      <c r="D738" s="4"/>
      <c r="E738" s="5"/>
      <c r="F738" s="4"/>
      <c r="G738" s="4"/>
      <c r="H738" s="33"/>
      <c r="I738" s="4"/>
      <c r="J738" s="4"/>
      <c r="K738" s="4"/>
      <c r="L738" s="4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29"/>
      <c r="AJ738" s="29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</row>
    <row r="739">
      <c r="A739" s="4"/>
      <c r="B739" s="4"/>
      <c r="C739" s="4"/>
      <c r="D739" s="4"/>
      <c r="E739" s="5"/>
      <c r="F739" s="4"/>
      <c r="G739" s="4"/>
      <c r="H739" s="33"/>
      <c r="I739" s="4"/>
      <c r="J739" s="4"/>
      <c r="K739" s="4"/>
      <c r="L739" s="4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29"/>
      <c r="AJ739" s="29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</row>
    <row r="740">
      <c r="A740" s="4"/>
      <c r="B740" s="4"/>
      <c r="C740" s="4"/>
      <c r="D740" s="4"/>
      <c r="E740" s="5"/>
      <c r="F740" s="4"/>
      <c r="G740" s="4"/>
      <c r="H740" s="33"/>
      <c r="I740" s="4"/>
      <c r="J740" s="4"/>
      <c r="K740" s="4"/>
      <c r="L740" s="4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29"/>
      <c r="AJ740" s="29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</row>
    <row r="741">
      <c r="A741" s="4"/>
      <c r="B741" s="4"/>
      <c r="C741" s="4"/>
      <c r="D741" s="4"/>
      <c r="E741" s="5"/>
      <c r="F741" s="4"/>
      <c r="G741" s="4"/>
      <c r="H741" s="33"/>
      <c r="I741" s="4"/>
      <c r="J741" s="4"/>
      <c r="K741" s="4"/>
      <c r="L741" s="4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29"/>
      <c r="AJ741" s="29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</row>
    <row r="742">
      <c r="A742" s="4"/>
      <c r="B742" s="4"/>
      <c r="C742" s="4"/>
      <c r="D742" s="4"/>
      <c r="E742" s="5"/>
      <c r="F742" s="4"/>
      <c r="G742" s="4"/>
      <c r="H742" s="33"/>
      <c r="I742" s="4"/>
      <c r="J742" s="4"/>
      <c r="K742" s="4"/>
      <c r="L742" s="4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29"/>
      <c r="AJ742" s="29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</row>
    <row r="743">
      <c r="A743" s="4"/>
      <c r="B743" s="4"/>
      <c r="C743" s="4"/>
      <c r="D743" s="4"/>
      <c r="E743" s="5"/>
      <c r="F743" s="4"/>
      <c r="G743" s="4"/>
      <c r="H743" s="33"/>
      <c r="I743" s="4"/>
      <c r="J743" s="4"/>
      <c r="K743" s="4"/>
      <c r="L743" s="4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29"/>
      <c r="AJ743" s="29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</row>
    <row r="744">
      <c r="A744" s="4"/>
      <c r="B744" s="4"/>
      <c r="C744" s="4"/>
      <c r="D744" s="4"/>
      <c r="E744" s="5"/>
      <c r="F744" s="4"/>
      <c r="G744" s="4"/>
      <c r="H744" s="33"/>
      <c r="I744" s="4"/>
      <c r="J744" s="4"/>
      <c r="K744" s="4"/>
      <c r="L744" s="4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29"/>
      <c r="AJ744" s="29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</row>
    <row r="745">
      <c r="A745" s="4"/>
      <c r="B745" s="4"/>
      <c r="C745" s="4"/>
      <c r="D745" s="4"/>
      <c r="E745" s="5"/>
      <c r="F745" s="4"/>
      <c r="G745" s="4"/>
      <c r="H745" s="33"/>
      <c r="I745" s="4"/>
      <c r="J745" s="4"/>
      <c r="K745" s="4"/>
      <c r="L745" s="4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29"/>
      <c r="AJ745" s="29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</row>
    <row r="746">
      <c r="A746" s="4"/>
      <c r="B746" s="4"/>
      <c r="C746" s="4"/>
      <c r="D746" s="4"/>
      <c r="E746" s="5"/>
      <c r="F746" s="4"/>
      <c r="G746" s="4"/>
      <c r="H746" s="33"/>
      <c r="I746" s="4"/>
      <c r="J746" s="4"/>
      <c r="K746" s="4"/>
      <c r="L746" s="4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29"/>
      <c r="AJ746" s="29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</row>
    <row r="747">
      <c r="A747" s="4"/>
      <c r="B747" s="4"/>
      <c r="C747" s="4"/>
      <c r="D747" s="4"/>
      <c r="E747" s="5"/>
      <c r="F747" s="4"/>
      <c r="G747" s="4"/>
      <c r="H747" s="33"/>
      <c r="I747" s="4"/>
      <c r="J747" s="4"/>
      <c r="K747" s="4"/>
      <c r="L747" s="4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29"/>
      <c r="AJ747" s="29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</row>
    <row r="748">
      <c r="A748" s="4"/>
      <c r="B748" s="4"/>
      <c r="C748" s="4"/>
      <c r="D748" s="4"/>
      <c r="E748" s="5"/>
      <c r="F748" s="4"/>
      <c r="G748" s="4"/>
      <c r="H748" s="33"/>
      <c r="I748" s="4"/>
      <c r="J748" s="4"/>
      <c r="K748" s="4"/>
      <c r="L748" s="4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29"/>
      <c r="AJ748" s="29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</row>
    <row r="749">
      <c r="A749" s="4"/>
      <c r="B749" s="4"/>
      <c r="C749" s="4"/>
      <c r="D749" s="4"/>
      <c r="E749" s="5"/>
      <c r="F749" s="4"/>
      <c r="G749" s="4"/>
      <c r="H749" s="33"/>
      <c r="I749" s="4"/>
      <c r="J749" s="4"/>
      <c r="K749" s="4"/>
      <c r="L749" s="4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29"/>
      <c r="AJ749" s="29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</row>
    <row r="750">
      <c r="A750" s="4"/>
      <c r="B750" s="4"/>
      <c r="C750" s="4"/>
      <c r="D750" s="4"/>
      <c r="E750" s="5"/>
      <c r="F750" s="4"/>
      <c r="G750" s="4"/>
      <c r="H750" s="33"/>
      <c r="I750" s="4"/>
      <c r="J750" s="4"/>
      <c r="K750" s="4"/>
      <c r="L750" s="4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29"/>
      <c r="AJ750" s="29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</row>
    <row r="751">
      <c r="A751" s="4"/>
      <c r="B751" s="4"/>
      <c r="C751" s="4"/>
      <c r="D751" s="4"/>
      <c r="E751" s="5"/>
      <c r="F751" s="4"/>
      <c r="G751" s="4"/>
      <c r="H751" s="33"/>
      <c r="I751" s="4"/>
      <c r="J751" s="4"/>
      <c r="K751" s="4"/>
      <c r="L751" s="4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29"/>
      <c r="AJ751" s="29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</row>
    <row r="752">
      <c r="A752" s="4"/>
      <c r="B752" s="4"/>
      <c r="C752" s="4"/>
      <c r="D752" s="4"/>
      <c r="E752" s="5"/>
      <c r="F752" s="4"/>
      <c r="G752" s="4"/>
      <c r="H752" s="33"/>
      <c r="I752" s="4"/>
      <c r="J752" s="4"/>
      <c r="K752" s="4"/>
      <c r="L752" s="4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29"/>
      <c r="AJ752" s="29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</row>
    <row r="753">
      <c r="A753" s="4"/>
      <c r="B753" s="4"/>
      <c r="C753" s="4"/>
      <c r="D753" s="4"/>
      <c r="E753" s="5"/>
      <c r="F753" s="4"/>
      <c r="G753" s="4"/>
      <c r="H753" s="33"/>
      <c r="I753" s="4"/>
      <c r="J753" s="4"/>
      <c r="K753" s="4"/>
      <c r="L753" s="4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29"/>
      <c r="AJ753" s="29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</row>
    <row r="754">
      <c r="A754" s="4"/>
      <c r="B754" s="4"/>
      <c r="C754" s="4"/>
      <c r="D754" s="4"/>
      <c r="E754" s="5"/>
      <c r="F754" s="4"/>
      <c r="G754" s="4"/>
      <c r="H754" s="33"/>
      <c r="I754" s="4"/>
      <c r="J754" s="4"/>
      <c r="K754" s="4"/>
      <c r="L754" s="4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29"/>
      <c r="AJ754" s="29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</row>
    <row r="755">
      <c r="A755" s="4"/>
      <c r="B755" s="4"/>
      <c r="C755" s="4"/>
      <c r="D755" s="4"/>
      <c r="E755" s="5"/>
      <c r="F755" s="4"/>
      <c r="G755" s="4"/>
      <c r="H755" s="33"/>
      <c r="I755" s="4"/>
      <c r="J755" s="4"/>
      <c r="K755" s="4"/>
      <c r="L755" s="4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29"/>
      <c r="AJ755" s="29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</row>
    <row r="756">
      <c r="A756" s="4"/>
      <c r="B756" s="4"/>
      <c r="C756" s="4"/>
      <c r="D756" s="4"/>
      <c r="E756" s="5"/>
      <c r="F756" s="4"/>
      <c r="G756" s="4"/>
      <c r="H756" s="33"/>
      <c r="I756" s="4"/>
      <c r="J756" s="4"/>
      <c r="K756" s="4"/>
      <c r="L756" s="4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29"/>
      <c r="AJ756" s="29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</row>
    <row r="757">
      <c r="A757" s="4"/>
      <c r="B757" s="4"/>
      <c r="C757" s="4"/>
      <c r="D757" s="4"/>
      <c r="E757" s="5"/>
      <c r="F757" s="4"/>
      <c r="G757" s="4"/>
      <c r="H757" s="33"/>
      <c r="I757" s="4"/>
      <c r="J757" s="4"/>
      <c r="K757" s="4"/>
      <c r="L757" s="4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29"/>
      <c r="AJ757" s="29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</row>
    <row r="758">
      <c r="A758" s="4"/>
      <c r="B758" s="4"/>
      <c r="C758" s="4"/>
      <c r="D758" s="4"/>
      <c r="E758" s="5"/>
      <c r="F758" s="4"/>
      <c r="G758" s="4"/>
      <c r="H758" s="33"/>
      <c r="I758" s="4"/>
      <c r="J758" s="4"/>
      <c r="K758" s="4"/>
      <c r="L758" s="4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29"/>
      <c r="AJ758" s="29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</row>
    <row r="759">
      <c r="A759" s="4"/>
      <c r="B759" s="4"/>
      <c r="C759" s="4"/>
      <c r="D759" s="4"/>
      <c r="E759" s="5"/>
      <c r="F759" s="4"/>
      <c r="G759" s="4"/>
      <c r="H759" s="33"/>
      <c r="I759" s="4"/>
      <c r="J759" s="4"/>
      <c r="K759" s="4"/>
      <c r="L759" s="4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29"/>
      <c r="AJ759" s="29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</row>
    <row r="760">
      <c r="A760" s="4"/>
      <c r="B760" s="4"/>
      <c r="C760" s="4"/>
      <c r="D760" s="4"/>
      <c r="E760" s="5"/>
      <c r="F760" s="4"/>
      <c r="G760" s="4"/>
      <c r="H760" s="33"/>
      <c r="I760" s="4"/>
      <c r="J760" s="4"/>
      <c r="K760" s="4"/>
      <c r="L760" s="4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29"/>
      <c r="AJ760" s="29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</row>
    <row r="761">
      <c r="A761" s="4"/>
      <c r="B761" s="4"/>
      <c r="C761" s="4"/>
      <c r="D761" s="4"/>
      <c r="E761" s="5"/>
      <c r="F761" s="4"/>
      <c r="G761" s="4"/>
      <c r="H761" s="33"/>
      <c r="I761" s="4"/>
      <c r="J761" s="4"/>
      <c r="K761" s="4"/>
      <c r="L761" s="4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29"/>
      <c r="AJ761" s="29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</row>
    <row r="762">
      <c r="A762" s="4"/>
      <c r="B762" s="4"/>
      <c r="C762" s="4"/>
      <c r="D762" s="4"/>
      <c r="E762" s="5"/>
      <c r="F762" s="4"/>
      <c r="G762" s="4"/>
      <c r="H762" s="33"/>
      <c r="I762" s="4"/>
      <c r="J762" s="4"/>
      <c r="K762" s="4"/>
      <c r="L762" s="4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29"/>
      <c r="AJ762" s="29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</row>
    <row r="763">
      <c r="A763" s="4"/>
      <c r="B763" s="4"/>
      <c r="C763" s="4"/>
      <c r="D763" s="4"/>
      <c r="E763" s="5"/>
      <c r="F763" s="4"/>
      <c r="G763" s="4"/>
      <c r="H763" s="33"/>
      <c r="I763" s="4"/>
      <c r="J763" s="4"/>
      <c r="K763" s="4"/>
      <c r="L763" s="4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29"/>
      <c r="AJ763" s="29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</row>
    <row r="764">
      <c r="A764" s="4"/>
      <c r="B764" s="4"/>
      <c r="C764" s="4"/>
      <c r="D764" s="4"/>
      <c r="E764" s="5"/>
      <c r="F764" s="4"/>
      <c r="G764" s="4"/>
      <c r="H764" s="33"/>
      <c r="I764" s="4"/>
      <c r="J764" s="4"/>
      <c r="K764" s="4"/>
      <c r="L764" s="4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29"/>
      <c r="AJ764" s="29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</row>
    <row r="765">
      <c r="A765" s="4"/>
      <c r="B765" s="4"/>
      <c r="C765" s="4"/>
      <c r="D765" s="4"/>
      <c r="E765" s="5"/>
      <c r="F765" s="4"/>
      <c r="G765" s="4"/>
      <c r="H765" s="33"/>
      <c r="I765" s="4"/>
      <c r="J765" s="4"/>
      <c r="K765" s="4"/>
      <c r="L765" s="4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29"/>
      <c r="AJ765" s="29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</row>
    <row r="766">
      <c r="A766" s="4"/>
      <c r="B766" s="4"/>
      <c r="C766" s="4"/>
      <c r="D766" s="4"/>
      <c r="E766" s="5"/>
      <c r="F766" s="4"/>
      <c r="G766" s="4"/>
      <c r="H766" s="33"/>
      <c r="I766" s="4"/>
      <c r="J766" s="4"/>
      <c r="K766" s="4"/>
      <c r="L766" s="4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29"/>
      <c r="AJ766" s="29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</row>
    <row r="767">
      <c r="A767" s="4"/>
      <c r="B767" s="4"/>
      <c r="C767" s="4"/>
      <c r="D767" s="4"/>
      <c r="E767" s="5"/>
      <c r="F767" s="4"/>
      <c r="G767" s="4"/>
      <c r="H767" s="33"/>
      <c r="I767" s="4"/>
      <c r="J767" s="4"/>
      <c r="K767" s="4"/>
      <c r="L767" s="4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29"/>
      <c r="AJ767" s="29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</row>
    <row r="768">
      <c r="A768" s="4"/>
      <c r="B768" s="4"/>
      <c r="C768" s="4"/>
      <c r="D768" s="4"/>
      <c r="E768" s="5"/>
      <c r="F768" s="4"/>
      <c r="G768" s="4"/>
      <c r="H768" s="33"/>
      <c r="I768" s="4"/>
      <c r="J768" s="4"/>
      <c r="K768" s="4"/>
      <c r="L768" s="4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29"/>
      <c r="AJ768" s="29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</row>
    <row r="769">
      <c r="A769" s="4"/>
      <c r="B769" s="4"/>
      <c r="C769" s="4"/>
      <c r="D769" s="4"/>
      <c r="E769" s="5"/>
      <c r="F769" s="4"/>
      <c r="G769" s="4"/>
      <c r="H769" s="33"/>
      <c r="I769" s="4"/>
      <c r="J769" s="4"/>
      <c r="K769" s="4"/>
      <c r="L769" s="4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29"/>
      <c r="AJ769" s="29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</row>
    <row r="770">
      <c r="A770" s="4"/>
      <c r="B770" s="4"/>
      <c r="C770" s="4"/>
      <c r="D770" s="4"/>
      <c r="E770" s="5"/>
      <c r="F770" s="4"/>
      <c r="G770" s="4"/>
      <c r="H770" s="33"/>
      <c r="I770" s="4"/>
      <c r="J770" s="4"/>
      <c r="K770" s="4"/>
      <c r="L770" s="4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29"/>
      <c r="AJ770" s="29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</row>
    <row r="771">
      <c r="A771" s="4"/>
      <c r="B771" s="4"/>
      <c r="C771" s="4"/>
      <c r="D771" s="4"/>
      <c r="E771" s="5"/>
      <c r="F771" s="4"/>
      <c r="G771" s="4"/>
      <c r="H771" s="33"/>
      <c r="I771" s="4"/>
      <c r="J771" s="4"/>
      <c r="K771" s="4"/>
      <c r="L771" s="4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29"/>
      <c r="AJ771" s="29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</row>
    <row r="772">
      <c r="A772" s="4"/>
      <c r="B772" s="4"/>
      <c r="C772" s="4"/>
      <c r="D772" s="4"/>
      <c r="E772" s="5"/>
      <c r="F772" s="4"/>
      <c r="G772" s="4"/>
      <c r="H772" s="33"/>
      <c r="I772" s="4"/>
      <c r="J772" s="4"/>
      <c r="K772" s="4"/>
      <c r="L772" s="4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29"/>
      <c r="AJ772" s="29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</row>
    <row r="773">
      <c r="A773" s="4"/>
      <c r="B773" s="4"/>
      <c r="C773" s="4"/>
      <c r="D773" s="4"/>
      <c r="E773" s="5"/>
      <c r="F773" s="4"/>
      <c r="G773" s="4"/>
      <c r="H773" s="33"/>
      <c r="I773" s="4"/>
      <c r="J773" s="4"/>
      <c r="K773" s="4"/>
      <c r="L773" s="4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29"/>
      <c r="AJ773" s="29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</row>
    <row r="774">
      <c r="A774" s="4"/>
      <c r="B774" s="4"/>
      <c r="C774" s="4"/>
      <c r="D774" s="4"/>
      <c r="E774" s="5"/>
      <c r="F774" s="4"/>
      <c r="G774" s="4"/>
      <c r="H774" s="33"/>
      <c r="I774" s="4"/>
      <c r="J774" s="4"/>
      <c r="K774" s="4"/>
      <c r="L774" s="4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29"/>
      <c r="AJ774" s="29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</row>
    <row r="775">
      <c r="A775" s="4"/>
      <c r="B775" s="4"/>
      <c r="C775" s="4"/>
      <c r="D775" s="4"/>
      <c r="E775" s="5"/>
      <c r="F775" s="4"/>
      <c r="G775" s="4"/>
      <c r="H775" s="33"/>
      <c r="I775" s="4"/>
      <c r="J775" s="4"/>
      <c r="K775" s="4"/>
      <c r="L775" s="4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29"/>
      <c r="AJ775" s="29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</row>
    <row r="776">
      <c r="A776" s="4"/>
      <c r="B776" s="4"/>
      <c r="C776" s="4"/>
      <c r="D776" s="4"/>
      <c r="E776" s="5"/>
      <c r="F776" s="4"/>
      <c r="G776" s="4"/>
      <c r="H776" s="33"/>
      <c r="I776" s="4"/>
      <c r="J776" s="4"/>
      <c r="K776" s="4"/>
      <c r="L776" s="4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29"/>
      <c r="AJ776" s="29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</row>
    <row r="777">
      <c r="A777" s="4"/>
      <c r="B777" s="4"/>
      <c r="C777" s="4"/>
      <c r="D777" s="4"/>
      <c r="E777" s="5"/>
      <c r="F777" s="4"/>
      <c r="G777" s="4"/>
      <c r="H777" s="33"/>
      <c r="I777" s="4"/>
      <c r="J777" s="4"/>
      <c r="K777" s="4"/>
      <c r="L777" s="4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29"/>
      <c r="AJ777" s="29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</row>
    <row r="778">
      <c r="A778" s="4"/>
      <c r="B778" s="4"/>
      <c r="C778" s="4"/>
      <c r="D778" s="4"/>
      <c r="E778" s="5"/>
      <c r="F778" s="4"/>
      <c r="G778" s="4"/>
      <c r="H778" s="33"/>
      <c r="I778" s="4"/>
      <c r="J778" s="4"/>
      <c r="K778" s="4"/>
      <c r="L778" s="4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29"/>
      <c r="AJ778" s="29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</row>
    <row r="779">
      <c r="A779" s="4"/>
      <c r="B779" s="4"/>
      <c r="C779" s="4"/>
      <c r="D779" s="4"/>
      <c r="E779" s="5"/>
      <c r="F779" s="4"/>
      <c r="G779" s="4"/>
      <c r="H779" s="33"/>
      <c r="I779" s="4"/>
      <c r="J779" s="4"/>
      <c r="K779" s="4"/>
      <c r="L779" s="4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29"/>
      <c r="AJ779" s="29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</row>
    <row r="780">
      <c r="A780" s="4"/>
      <c r="B780" s="4"/>
      <c r="C780" s="4"/>
      <c r="D780" s="4"/>
      <c r="E780" s="5"/>
      <c r="F780" s="4"/>
      <c r="G780" s="4"/>
      <c r="H780" s="33"/>
      <c r="I780" s="4"/>
      <c r="J780" s="4"/>
      <c r="K780" s="4"/>
      <c r="L780" s="4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29"/>
      <c r="AJ780" s="29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</row>
    <row r="781">
      <c r="A781" s="4"/>
      <c r="B781" s="4"/>
      <c r="C781" s="4"/>
      <c r="D781" s="4"/>
      <c r="E781" s="5"/>
      <c r="F781" s="4"/>
      <c r="G781" s="4"/>
      <c r="H781" s="33"/>
      <c r="I781" s="4"/>
      <c r="J781" s="4"/>
      <c r="K781" s="4"/>
      <c r="L781" s="4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29"/>
      <c r="AJ781" s="29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</row>
    <row r="782">
      <c r="A782" s="4"/>
      <c r="B782" s="4"/>
      <c r="C782" s="4"/>
      <c r="D782" s="4"/>
      <c r="E782" s="5"/>
      <c r="F782" s="4"/>
      <c r="G782" s="4"/>
      <c r="H782" s="33"/>
      <c r="I782" s="4"/>
      <c r="J782" s="4"/>
      <c r="K782" s="4"/>
      <c r="L782" s="4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29"/>
      <c r="AJ782" s="29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</row>
    <row r="783">
      <c r="A783" s="4"/>
      <c r="B783" s="4"/>
      <c r="C783" s="4"/>
      <c r="D783" s="4"/>
      <c r="E783" s="5"/>
      <c r="F783" s="4"/>
      <c r="G783" s="4"/>
      <c r="H783" s="33"/>
      <c r="I783" s="4"/>
      <c r="J783" s="4"/>
      <c r="K783" s="4"/>
      <c r="L783" s="4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29"/>
      <c r="AJ783" s="29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</row>
    <row r="784">
      <c r="A784" s="4"/>
      <c r="B784" s="4"/>
      <c r="C784" s="4"/>
      <c r="D784" s="4"/>
      <c r="E784" s="5"/>
      <c r="F784" s="4"/>
      <c r="G784" s="4"/>
      <c r="H784" s="33"/>
      <c r="I784" s="4"/>
      <c r="J784" s="4"/>
      <c r="K784" s="4"/>
      <c r="L784" s="4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29"/>
      <c r="AJ784" s="29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</row>
    <row r="785">
      <c r="A785" s="4"/>
      <c r="B785" s="4"/>
      <c r="C785" s="4"/>
      <c r="D785" s="4"/>
      <c r="E785" s="5"/>
      <c r="F785" s="4"/>
      <c r="G785" s="4"/>
      <c r="H785" s="33"/>
      <c r="I785" s="4"/>
      <c r="J785" s="4"/>
      <c r="K785" s="4"/>
      <c r="L785" s="4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29"/>
      <c r="AJ785" s="29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</row>
    <row r="786">
      <c r="A786" s="4"/>
      <c r="B786" s="4"/>
      <c r="C786" s="4"/>
      <c r="D786" s="4"/>
      <c r="E786" s="5"/>
      <c r="F786" s="4"/>
      <c r="G786" s="4"/>
      <c r="H786" s="33"/>
      <c r="I786" s="4"/>
      <c r="J786" s="4"/>
      <c r="K786" s="4"/>
      <c r="L786" s="4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29"/>
      <c r="AJ786" s="29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</row>
    <row r="787">
      <c r="A787" s="4"/>
      <c r="B787" s="4"/>
      <c r="C787" s="4"/>
      <c r="D787" s="4"/>
      <c r="E787" s="5"/>
      <c r="F787" s="4"/>
      <c r="G787" s="4"/>
      <c r="H787" s="33"/>
      <c r="I787" s="4"/>
      <c r="J787" s="4"/>
      <c r="K787" s="4"/>
      <c r="L787" s="4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29"/>
      <c r="AJ787" s="29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</row>
    <row r="788">
      <c r="A788" s="4"/>
      <c r="B788" s="4"/>
      <c r="C788" s="4"/>
      <c r="D788" s="4"/>
      <c r="E788" s="5"/>
      <c r="F788" s="4"/>
      <c r="G788" s="4"/>
      <c r="H788" s="33"/>
      <c r="I788" s="4"/>
      <c r="J788" s="4"/>
      <c r="K788" s="4"/>
      <c r="L788" s="4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29"/>
      <c r="AJ788" s="29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</row>
    <row r="789">
      <c r="A789" s="4"/>
      <c r="B789" s="4"/>
      <c r="C789" s="4"/>
      <c r="D789" s="4"/>
      <c r="E789" s="5"/>
      <c r="F789" s="4"/>
      <c r="G789" s="4"/>
      <c r="H789" s="33"/>
      <c r="I789" s="4"/>
      <c r="J789" s="4"/>
      <c r="K789" s="4"/>
      <c r="L789" s="4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29"/>
      <c r="AJ789" s="29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</row>
    <row r="790">
      <c r="A790" s="4"/>
      <c r="B790" s="4"/>
      <c r="C790" s="4"/>
      <c r="D790" s="4"/>
      <c r="E790" s="5"/>
      <c r="F790" s="4"/>
      <c r="G790" s="4"/>
      <c r="H790" s="33"/>
      <c r="I790" s="4"/>
      <c r="J790" s="4"/>
      <c r="K790" s="4"/>
      <c r="L790" s="4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29"/>
      <c r="AJ790" s="29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</row>
    <row r="791">
      <c r="A791" s="4"/>
      <c r="B791" s="4"/>
      <c r="C791" s="4"/>
      <c r="D791" s="4"/>
      <c r="E791" s="5"/>
      <c r="F791" s="4"/>
      <c r="G791" s="4"/>
      <c r="H791" s="33"/>
      <c r="I791" s="4"/>
      <c r="J791" s="4"/>
      <c r="K791" s="4"/>
      <c r="L791" s="4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29"/>
      <c r="AJ791" s="29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</row>
    <row r="792">
      <c r="A792" s="4"/>
      <c r="B792" s="4"/>
      <c r="C792" s="4"/>
      <c r="D792" s="4"/>
      <c r="E792" s="5"/>
      <c r="F792" s="4"/>
      <c r="G792" s="4"/>
      <c r="H792" s="33"/>
      <c r="I792" s="4"/>
      <c r="J792" s="4"/>
      <c r="K792" s="4"/>
      <c r="L792" s="4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29"/>
      <c r="AJ792" s="29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</row>
    <row r="793">
      <c r="A793" s="4"/>
      <c r="B793" s="4"/>
      <c r="C793" s="4"/>
      <c r="D793" s="4"/>
      <c r="E793" s="5"/>
      <c r="F793" s="4"/>
      <c r="G793" s="4"/>
      <c r="H793" s="33"/>
      <c r="I793" s="4"/>
      <c r="J793" s="4"/>
      <c r="K793" s="4"/>
      <c r="L793" s="4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29"/>
      <c r="AJ793" s="29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</row>
    <row r="794">
      <c r="A794" s="4"/>
      <c r="B794" s="4"/>
      <c r="C794" s="4"/>
      <c r="D794" s="4"/>
      <c r="E794" s="5"/>
      <c r="F794" s="4"/>
      <c r="G794" s="4"/>
      <c r="H794" s="33"/>
      <c r="I794" s="4"/>
      <c r="J794" s="4"/>
      <c r="K794" s="4"/>
      <c r="L794" s="4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29"/>
      <c r="AJ794" s="29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</row>
    <row r="795">
      <c r="A795" s="4"/>
      <c r="B795" s="4"/>
      <c r="C795" s="4"/>
      <c r="D795" s="4"/>
      <c r="E795" s="5"/>
      <c r="F795" s="4"/>
      <c r="G795" s="4"/>
      <c r="H795" s="33"/>
      <c r="I795" s="4"/>
      <c r="J795" s="4"/>
      <c r="K795" s="4"/>
      <c r="L795" s="4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29"/>
      <c r="AJ795" s="29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</row>
    <row r="796">
      <c r="A796" s="4"/>
      <c r="B796" s="4"/>
      <c r="C796" s="4"/>
      <c r="D796" s="4"/>
      <c r="E796" s="5"/>
      <c r="F796" s="4"/>
      <c r="G796" s="4"/>
      <c r="H796" s="33"/>
      <c r="I796" s="4"/>
      <c r="J796" s="4"/>
      <c r="K796" s="4"/>
      <c r="L796" s="4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29"/>
      <c r="AJ796" s="29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</row>
    <row r="797">
      <c r="A797" s="4"/>
      <c r="B797" s="4"/>
      <c r="C797" s="4"/>
      <c r="D797" s="4"/>
      <c r="E797" s="5"/>
      <c r="F797" s="4"/>
      <c r="G797" s="4"/>
      <c r="H797" s="33"/>
      <c r="I797" s="4"/>
      <c r="J797" s="4"/>
      <c r="K797" s="4"/>
      <c r="L797" s="4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29"/>
      <c r="AJ797" s="29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</row>
    <row r="798">
      <c r="A798" s="4"/>
      <c r="B798" s="4"/>
      <c r="C798" s="4"/>
      <c r="D798" s="4"/>
      <c r="E798" s="5"/>
      <c r="F798" s="4"/>
      <c r="G798" s="4"/>
      <c r="H798" s="33"/>
      <c r="I798" s="4"/>
      <c r="J798" s="4"/>
      <c r="K798" s="4"/>
      <c r="L798" s="4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29"/>
      <c r="AJ798" s="29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</row>
    <row r="799">
      <c r="A799" s="4"/>
      <c r="B799" s="4"/>
      <c r="C799" s="4"/>
      <c r="D799" s="4"/>
      <c r="E799" s="5"/>
      <c r="F799" s="4"/>
      <c r="G799" s="4"/>
      <c r="H799" s="33"/>
      <c r="I799" s="4"/>
      <c r="J799" s="4"/>
      <c r="K799" s="4"/>
      <c r="L799" s="4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29"/>
      <c r="AJ799" s="29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</row>
    <row r="800">
      <c r="A800" s="4"/>
      <c r="B800" s="4"/>
      <c r="C800" s="4"/>
      <c r="D800" s="4"/>
      <c r="E800" s="5"/>
      <c r="F800" s="4"/>
      <c r="G800" s="4"/>
      <c r="H800" s="33"/>
      <c r="I800" s="4"/>
      <c r="J800" s="4"/>
      <c r="K800" s="4"/>
      <c r="L800" s="4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29"/>
      <c r="AJ800" s="29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</row>
    <row r="801">
      <c r="A801" s="4"/>
      <c r="B801" s="4"/>
      <c r="C801" s="4"/>
      <c r="D801" s="4"/>
      <c r="E801" s="5"/>
      <c r="F801" s="4"/>
      <c r="G801" s="4"/>
      <c r="H801" s="33"/>
      <c r="I801" s="4"/>
      <c r="J801" s="4"/>
      <c r="K801" s="4"/>
      <c r="L801" s="4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29"/>
      <c r="AJ801" s="29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</row>
    <row r="802">
      <c r="A802" s="4"/>
      <c r="B802" s="4"/>
      <c r="C802" s="4"/>
      <c r="D802" s="4"/>
      <c r="E802" s="5"/>
      <c r="F802" s="4"/>
      <c r="G802" s="4"/>
      <c r="H802" s="33"/>
      <c r="I802" s="4"/>
      <c r="J802" s="4"/>
      <c r="K802" s="4"/>
      <c r="L802" s="4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29"/>
      <c r="AJ802" s="29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</row>
    <row r="803">
      <c r="A803" s="4"/>
      <c r="B803" s="4"/>
      <c r="C803" s="4"/>
      <c r="D803" s="4"/>
      <c r="E803" s="5"/>
      <c r="F803" s="4"/>
      <c r="G803" s="4"/>
      <c r="H803" s="33"/>
      <c r="I803" s="4"/>
      <c r="J803" s="4"/>
      <c r="K803" s="4"/>
      <c r="L803" s="4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29"/>
      <c r="AJ803" s="29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</row>
    <row r="804">
      <c r="A804" s="4"/>
      <c r="B804" s="4"/>
      <c r="C804" s="4"/>
      <c r="D804" s="4"/>
      <c r="E804" s="5"/>
      <c r="F804" s="4"/>
      <c r="G804" s="4"/>
      <c r="H804" s="33"/>
      <c r="I804" s="4"/>
      <c r="J804" s="4"/>
      <c r="K804" s="4"/>
      <c r="L804" s="4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29"/>
      <c r="AJ804" s="29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</row>
    <row r="805">
      <c r="A805" s="4"/>
      <c r="B805" s="4"/>
      <c r="C805" s="4"/>
      <c r="D805" s="4"/>
      <c r="E805" s="5"/>
      <c r="F805" s="4"/>
      <c r="G805" s="4"/>
      <c r="H805" s="33"/>
      <c r="I805" s="4"/>
      <c r="J805" s="4"/>
      <c r="K805" s="4"/>
      <c r="L805" s="4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29"/>
      <c r="AJ805" s="29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</row>
    <row r="806">
      <c r="A806" s="4"/>
      <c r="B806" s="4"/>
      <c r="C806" s="4"/>
      <c r="D806" s="4"/>
      <c r="E806" s="5"/>
      <c r="F806" s="4"/>
      <c r="G806" s="4"/>
      <c r="H806" s="33"/>
      <c r="I806" s="4"/>
      <c r="J806" s="4"/>
      <c r="K806" s="4"/>
      <c r="L806" s="4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29"/>
      <c r="AJ806" s="29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</row>
    <row r="807">
      <c r="A807" s="4"/>
      <c r="B807" s="4"/>
      <c r="C807" s="4"/>
      <c r="D807" s="4"/>
      <c r="E807" s="5"/>
      <c r="F807" s="4"/>
      <c r="G807" s="4"/>
      <c r="H807" s="33"/>
      <c r="I807" s="4"/>
      <c r="J807" s="4"/>
      <c r="K807" s="4"/>
      <c r="L807" s="4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29"/>
      <c r="AJ807" s="29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</row>
    <row r="808">
      <c r="A808" s="4"/>
      <c r="B808" s="4"/>
      <c r="C808" s="4"/>
      <c r="D808" s="4"/>
      <c r="E808" s="5"/>
      <c r="F808" s="4"/>
      <c r="G808" s="4"/>
      <c r="H808" s="33"/>
      <c r="I808" s="4"/>
      <c r="J808" s="4"/>
      <c r="K808" s="4"/>
      <c r="L808" s="4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29"/>
      <c r="AJ808" s="29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</row>
    <row r="809">
      <c r="A809" s="4"/>
      <c r="B809" s="4"/>
      <c r="C809" s="4"/>
      <c r="D809" s="4"/>
      <c r="E809" s="5"/>
      <c r="F809" s="4"/>
      <c r="G809" s="4"/>
      <c r="H809" s="33"/>
      <c r="I809" s="4"/>
      <c r="J809" s="4"/>
      <c r="K809" s="4"/>
      <c r="L809" s="4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29"/>
      <c r="AJ809" s="29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</row>
    <row r="810">
      <c r="A810" s="4"/>
      <c r="B810" s="4"/>
      <c r="C810" s="4"/>
      <c r="D810" s="4"/>
      <c r="E810" s="5"/>
      <c r="F810" s="4"/>
      <c r="G810" s="4"/>
      <c r="H810" s="33"/>
      <c r="I810" s="4"/>
      <c r="J810" s="4"/>
      <c r="K810" s="4"/>
      <c r="L810" s="4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29"/>
      <c r="AJ810" s="29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</row>
    <row r="811">
      <c r="A811" s="4"/>
      <c r="B811" s="4"/>
      <c r="C811" s="4"/>
      <c r="D811" s="4"/>
      <c r="E811" s="5"/>
      <c r="F811" s="4"/>
      <c r="G811" s="4"/>
      <c r="H811" s="33"/>
      <c r="I811" s="4"/>
      <c r="J811" s="4"/>
      <c r="K811" s="4"/>
      <c r="L811" s="4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29"/>
      <c r="AJ811" s="29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</row>
    <row r="812">
      <c r="A812" s="4"/>
      <c r="B812" s="4"/>
      <c r="C812" s="4"/>
      <c r="D812" s="4"/>
      <c r="E812" s="5"/>
      <c r="F812" s="4"/>
      <c r="G812" s="4"/>
      <c r="H812" s="33"/>
      <c r="I812" s="4"/>
      <c r="J812" s="4"/>
      <c r="K812" s="4"/>
      <c r="L812" s="4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29"/>
      <c r="AJ812" s="29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</row>
    <row r="813">
      <c r="A813" s="4"/>
      <c r="B813" s="4"/>
      <c r="C813" s="4"/>
      <c r="D813" s="4"/>
      <c r="E813" s="5"/>
      <c r="F813" s="4"/>
      <c r="G813" s="4"/>
      <c r="H813" s="33"/>
      <c r="I813" s="4"/>
      <c r="J813" s="4"/>
      <c r="K813" s="4"/>
      <c r="L813" s="4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29"/>
      <c r="AJ813" s="29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</row>
    <row r="814">
      <c r="A814" s="4"/>
      <c r="B814" s="4"/>
      <c r="C814" s="4"/>
      <c r="D814" s="4"/>
      <c r="E814" s="5"/>
      <c r="F814" s="4"/>
      <c r="G814" s="4"/>
      <c r="H814" s="33"/>
      <c r="I814" s="4"/>
      <c r="J814" s="4"/>
      <c r="K814" s="4"/>
      <c r="L814" s="4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29"/>
      <c r="AJ814" s="29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</row>
    <row r="815">
      <c r="A815" s="4"/>
      <c r="B815" s="4"/>
      <c r="C815" s="4"/>
      <c r="D815" s="4"/>
      <c r="E815" s="5"/>
      <c r="F815" s="4"/>
      <c r="G815" s="4"/>
      <c r="H815" s="33"/>
      <c r="I815" s="4"/>
      <c r="J815" s="4"/>
      <c r="K815" s="4"/>
      <c r="L815" s="4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29"/>
      <c r="AJ815" s="29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</row>
    <row r="816">
      <c r="A816" s="4"/>
      <c r="B816" s="4"/>
      <c r="C816" s="4"/>
      <c r="D816" s="4"/>
      <c r="E816" s="5"/>
      <c r="F816" s="4"/>
      <c r="G816" s="4"/>
      <c r="H816" s="33"/>
      <c r="I816" s="4"/>
      <c r="J816" s="4"/>
      <c r="K816" s="4"/>
      <c r="L816" s="4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29"/>
      <c r="AJ816" s="29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</row>
    <row r="817">
      <c r="A817" s="4"/>
      <c r="B817" s="4"/>
      <c r="C817" s="4"/>
      <c r="D817" s="4"/>
      <c r="E817" s="5"/>
      <c r="F817" s="4"/>
      <c r="G817" s="4"/>
      <c r="H817" s="33"/>
      <c r="I817" s="4"/>
      <c r="J817" s="4"/>
      <c r="K817" s="4"/>
      <c r="L817" s="4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29"/>
      <c r="AJ817" s="29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</row>
    <row r="818">
      <c r="A818" s="4"/>
      <c r="B818" s="4"/>
      <c r="C818" s="4"/>
      <c r="D818" s="4"/>
      <c r="E818" s="5"/>
      <c r="F818" s="4"/>
      <c r="G818" s="4"/>
      <c r="H818" s="33"/>
      <c r="I818" s="4"/>
      <c r="J818" s="4"/>
      <c r="K818" s="4"/>
      <c r="L818" s="4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29"/>
      <c r="AJ818" s="29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</row>
    <row r="819">
      <c r="A819" s="4"/>
      <c r="B819" s="4"/>
      <c r="C819" s="4"/>
      <c r="D819" s="4"/>
      <c r="E819" s="5"/>
      <c r="F819" s="4"/>
      <c r="G819" s="4"/>
      <c r="H819" s="33"/>
      <c r="I819" s="4"/>
      <c r="J819" s="4"/>
      <c r="K819" s="4"/>
      <c r="L819" s="4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29"/>
      <c r="AJ819" s="29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</row>
    <row r="820">
      <c r="A820" s="4"/>
      <c r="B820" s="4"/>
      <c r="C820" s="4"/>
      <c r="D820" s="4"/>
      <c r="E820" s="5"/>
      <c r="F820" s="4"/>
      <c r="G820" s="4"/>
      <c r="H820" s="33"/>
      <c r="I820" s="4"/>
      <c r="J820" s="4"/>
      <c r="K820" s="4"/>
      <c r="L820" s="4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29"/>
      <c r="AJ820" s="29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</row>
    <row r="821">
      <c r="A821" s="4"/>
      <c r="B821" s="4"/>
      <c r="C821" s="4"/>
      <c r="D821" s="4"/>
      <c r="E821" s="5"/>
      <c r="F821" s="4"/>
      <c r="G821" s="4"/>
      <c r="H821" s="33"/>
      <c r="I821" s="4"/>
      <c r="J821" s="4"/>
      <c r="K821" s="4"/>
      <c r="L821" s="4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29"/>
      <c r="AJ821" s="29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</row>
    <row r="822">
      <c r="A822" s="4"/>
      <c r="B822" s="4"/>
      <c r="C822" s="4"/>
      <c r="D822" s="4"/>
      <c r="E822" s="5"/>
      <c r="F822" s="4"/>
      <c r="G822" s="4"/>
      <c r="H822" s="33"/>
      <c r="I822" s="4"/>
      <c r="J822" s="4"/>
      <c r="K822" s="4"/>
      <c r="L822" s="4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29"/>
      <c r="AJ822" s="29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</row>
    <row r="823">
      <c r="A823" s="4"/>
      <c r="B823" s="4"/>
      <c r="C823" s="4"/>
      <c r="D823" s="4"/>
      <c r="E823" s="5"/>
      <c r="F823" s="4"/>
      <c r="G823" s="4"/>
      <c r="H823" s="33"/>
      <c r="I823" s="4"/>
      <c r="J823" s="4"/>
      <c r="K823" s="4"/>
      <c r="L823" s="4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29"/>
      <c r="AJ823" s="29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</row>
    <row r="824">
      <c r="A824" s="4"/>
      <c r="B824" s="4"/>
      <c r="C824" s="4"/>
      <c r="D824" s="4"/>
      <c r="E824" s="5"/>
      <c r="F824" s="4"/>
      <c r="G824" s="4"/>
      <c r="H824" s="33"/>
      <c r="I824" s="4"/>
      <c r="J824" s="4"/>
      <c r="K824" s="4"/>
      <c r="L824" s="4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29"/>
      <c r="AJ824" s="29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</row>
    <row r="825">
      <c r="A825" s="4"/>
      <c r="B825" s="4"/>
      <c r="C825" s="4"/>
      <c r="D825" s="4"/>
      <c r="E825" s="5"/>
      <c r="F825" s="4"/>
      <c r="G825" s="4"/>
      <c r="H825" s="33"/>
      <c r="I825" s="4"/>
      <c r="J825" s="4"/>
      <c r="K825" s="4"/>
      <c r="L825" s="4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29"/>
      <c r="AJ825" s="29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</row>
    <row r="826">
      <c r="A826" s="4"/>
      <c r="B826" s="4"/>
      <c r="C826" s="4"/>
      <c r="D826" s="4"/>
      <c r="E826" s="5"/>
      <c r="F826" s="4"/>
      <c r="G826" s="4"/>
      <c r="H826" s="33"/>
      <c r="I826" s="4"/>
      <c r="J826" s="4"/>
      <c r="K826" s="4"/>
      <c r="L826" s="4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29"/>
      <c r="AJ826" s="29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</row>
    <row r="827">
      <c r="A827" s="4"/>
      <c r="B827" s="4"/>
      <c r="C827" s="4"/>
      <c r="D827" s="4"/>
      <c r="E827" s="5"/>
      <c r="F827" s="4"/>
      <c r="G827" s="4"/>
      <c r="H827" s="33"/>
      <c r="I827" s="4"/>
      <c r="J827" s="4"/>
      <c r="K827" s="4"/>
      <c r="L827" s="4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29"/>
      <c r="AJ827" s="29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</row>
    <row r="828">
      <c r="A828" s="4"/>
      <c r="B828" s="4"/>
      <c r="C828" s="4"/>
      <c r="D828" s="4"/>
      <c r="E828" s="5"/>
      <c r="F828" s="4"/>
      <c r="G828" s="4"/>
      <c r="H828" s="33"/>
      <c r="I828" s="4"/>
      <c r="J828" s="4"/>
      <c r="K828" s="4"/>
      <c r="L828" s="4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29"/>
      <c r="AJ828" s="29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</row>
    <row r="829">
      <c r="A829" s="4"/>
      <c r="B829" s="4"/>
      <c r="C829" s="4"/>
      <c r="D829" s="4"/>
      <c r="E829" s="5"/>
      <c r="F829" s="4"/>
      <c r="G829" s="4"/>
      <c r="H829" s="33"/>
      <c r="I829" s="4"/>
      <c r="J829" s="4"/>
      <c r="K829" s="4"/>
      <c r="L829" s="4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29"/>
      <c r="AJ829" s="29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</row>
    <row r="830">
      <c r="A830" s="4"/>
      <c r="B830" s="4"/>
      <c r="C830" s="4"/>
      <c r="D830" s="4"/>
      <c r="E830" s="5"/>
      <c r="F830" s="4"/>
      <c r="G830" s="4"/>
      <c r="H830" s="33"/>
      <c r="I830" s="4"/>
      <c r="J830" s="4"/>
      <c r="K830" s="4"/>
      <c r="L830" s="4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29"/>
      <c r="AJ830" s="29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</row>
    <row r="831">
      <c r="A831" s="4"/>
      <c r="B831" s="4"/>
      <c r="C831" s="4"/>
      <c r="D831" s="4"/>
      <c r="E831" s="5"/>
      <c r="F831" s="4"/>
      <c r="G831" s="4"/>
      <c r="H831" s="33"/>
      <c r="I831" s="4"/>
      <c r="J831" s="4"/>
      <c r="K831" s="4"/>
      <c r="L831" s="4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29"/>
      <c r="AJ831" s="29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</row>
    <row r="832">
      <c r="A832" s="4"/>
      <c r="B832" s="4"/>
      <c r="C832" s="4"/>
      <c r="D832" s="4"/>
      <c r="E832" s="5"/>
      <c r="F832" s="4"/>
      <c r="G832" s="4"/>
      <c r="H832" s="33"/>
      <c r="I832" s="4"/>
      <c r="J832" s="4"/>
      <c r="K832" s="4"/>
      <c r="L832" s="4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29"/>
      <c r="AJ832" s="29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</row>
    <row r="833">
      <c r="A833" s="4"/>
      <c r="B833" s="4"/>
      <c r="C833" s="4"/>
      <c r="D833" s="4"/>
      <c r="E833" s="5"/>
      <c r="F833" s="4"/>
      <c r="G833" s="4"/>
      <c r="H833" s="33"/>
      <c r="I833" s="4"/>
      <c r="J833" s="4"/>
      <c r="K833" s="4"/>
      <c r="L833" s="4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29"/>
      <c r="AJ833" s="29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</row>
    <row r="834">
      <c r="A834" s="4"/>
      <c r="B834" s="4"/>
      <c r="C834" s="4"/>
      <c r="D834" s="4"/>
      <c r="E834" s="5"/>
      <c r="F834" s="4"/>
      <c r="G834" s="4"/>
      <c r="H834" s="33"/>
      <c r="I834" s="4"/>
      <c r="J834" s="4"/>
      <c r="K834" s="4"/>
      <c r="L834" s="4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29"/>
      <c r="AJ834" s="29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</row>
    <row r="835">
      <c r="A835" s="4"/>
      <c r="B835" s="4"/>
      <c r="C835" s="4"/>
      <c r="D835" s="4"/>
      <c r="E835" s="5"/>
      <c r="F835" s="4"/>
      <c r="G835" s="4"/>
      <c r="H835" s="33"/>
      <c r="I835" s="4"/>
      <c r="J835" s="4"/>
      <c r="K835" s="4"/>
      <c r="L835" s="4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29"/>
      <c r="AJ835" s="29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</row>
    <row r="836">
      <c r="A836" s="4"/>
      <c r="B836" s="4"/>
      <c r="C836" s="4"/>
      <c r="D836" s="4"/>
      <c r="E836" s="5"/>
      <c r="F836" s="4"/>
      <c r="G836" s="4"/>
      <c r="H836" s="33"/>
      <c r="I836" s="4"/>
      <c r="J836" s="4"/>
      <c r="K836" s="4"/>
      <c r="L836" s="4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29"/>
      <c r="AJ836" s="29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</row>
    <row r="837">
      <c r="A837" s="4"/>
      <c r="B837" s="4"/>
      <c r="C837" s="4"/>
      <c r="D837" s="4"/>
      <c r="E837" s="5"/>
      <c r="F837" s="4"/>
      <c r="G837" s="4"/>
      <c r="H837" s="33"/>
      <c r="I837" s="4"/>
      <c r="J837" s="4"/>
      <c r="K837" s="4"/>
      <c r="L837" s="4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29"/>
      <c r="AJ837" s="29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</row>
    <row r="838">
      <c r="A838" s="4"/>
      <c r="B838" s="4"/>
      <c r="C838" s="4"/>
      <c r="D838" s="4"/>
      <c r="E838" s="5"/>
      <c r="F838" s="4"/>
      <c r="G838" s="4"/>
      <c r="H838" s="33"/>
      <c r="I838" s="4"/>
      <c r="J838" s="4"/>
      <c r="K838" s="4"/>
      <c r="L838" s="4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29"/>
      <c r="AJ838" s="29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</row>
    <row r="839">
      <c r="A839" s="4"/>
      <c r="B839" s="4"/>
      <c r="C839" s="4"/>
      <c r="D839" s="4"/>
      <c r="E839" s="5"/>
      <c r="F839" s="4"/>
      <c r="G839" s="4"/>
      <c r="H839" s="33"/>
      <c r="I839" s="4"/>
      <c r="J839" s="4"/>
      <c r="K839" s="4"/>
      <c r="L839" s="4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29"/>
      <c r="AJ839" s="29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</row>
    <row r="840">
      <c r="A840" s="4"/>
      <c r="B840" s="4"/>
      <c r="C840" s="4"/>
      <c r="D840" s="4"/>
      <c r="E840" s="5"/>
      <c r="F840" s="4"/>
      <c r="G840" s="4"/>
      <c r="H840" s="33"/>
      <c r="I840" s="4"/>
      <c r="J840" s="4"/>
      <c r="K840" s="4"/>
      <c r="L840" s="4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29"/>
      <c r="AJ840" s="29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</row>
    <row r="841">
      <c r="A841" s="4"/>
      <c r="B841" s="4"/>
      <c r="C841" s="4"/>
      <c r="D841" s="4"/>
      <c r="E841" s="5"/>
      <c r="F841" s="4"/>
      <c r="G841" s="4"/>
      <c r="H841" s="33"/>
      <c r="I841" s="4"/>
      <c r="J841" s="4"/>
      <c r="K841" s="4"/>
      <c r="L841" s="4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29"/>
      <c r="AJ841" s="29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</row>
    <row r="842">
      <c r="A842" s="4"/>
      <c r="B842" s="4"/>
      <c r="C842" s="4"/>
      <c r="D842" s="4"/>
      <c r="E842" s="5"/>
      <c r="F842" s="4"/>
      <c r="G842" s="4"/>
      <c r="H842" s="33"/>
      <c r="I842" s="4"/>
      <c r="J842" s="4"/>
      <c r="K842" s="4"/>
      <c r="L842" s="4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29"/>
      <c r="AJ842" s="29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</row>
    <row r="843">
      <c r="A843" s="4"/>
      <c r="B843" s="4"/>
      <c r="C843" s="4"/>
      <c r="D843" s="4"/>
      <c r="E843" s="5"/>
      <c r="F843" s="4"/>
      <c r="G843" s="4"/>
      <c r="H843" s="33"/>
      <c r="I843" s="4"/>
      <c r="J843" s="4"/>
      <c r="K843" s="4"/>
      <c r="L843" s="4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29"/>
      <c r="AJ843" s="29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</row>
    <row r="844">
      <c r="A844" s="4"/>
      <c r="B844" s="4"/>
      <c r="C844" s="4"/>
      <c r="D844" s="4"/>
      <c r="E844" s="5"/>
      <c r="F844" s="4"/>
      <c r="G844" s="4"/>
      <c r="H844" s="33"/>
      <c r="I844" s="4"/>
      <c r="J844" s="4"/>
      <c r="K844" s="4"/>
      <c r="L844" s="4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29"/>
      <c r="AJ844" s="29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</row>
    <row r="845">
      <c r="A845" s="4"/>
      <c r="B845" s="4"/>
      <c r="C845" s="4"/>
      <c r="D845" s="4"/>
      <c r="E845" s="5"/>
      <c r="F845" s="4"/>
      <c r="G845" s="4"/>
      <c r="H845" s="33"/>
      <c r="I845" s="4"/>
      <c r="J845" s="4"/>
      <c r="K845" s="4"/>
      <c r="L845" s="4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29"/>
      <c r="AJ845" s="29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</row>
    <row r="846">
      <c r="A846" s="4"/>
      <c r="B846" s="4"/>
      <c r="C846" s="4"/>
      <c r="D846" s="4"/>
      <c r="E846" s="5"/>
      <c r="F846" s="4"/>
      <c r="G846" s="4"/>
      <c r="H846" s="33"/>
      <c r="I846" s="4"/>
      <c r="J846" s="4"/>
      <c r="K846" s="4"/>
      <c r="L846" s="4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29"/>
      <c r="AJ846" s="29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</row>
    <row r="847">
      <c r="A847" s="4"/>
      <c r="B847" s="4"/>
      <c r="C847" s="4"/>
      <c r="D847" s="4"/>
      <c r="E847" s="5"/>
      <c r="F847" s="4"/>
      <c r="G847" s="4"/>
      <c r="H847" s="33"/>
      <c r="I847" s="4"/>
      <c r="J847" s="4"/>
      <c r="K847" s="4"/>
      <c r="L847" s="4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29"/>
      <c r="AJ847" s="29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</row>
    <row r="848">
      <c r="A848" s="4"/>
      <c r="B848" s="4"/>
      <c r="C848" s="4"/>
      <c r="D848" s="4"/>
      <c r="E848" s="5"/>
      <c r="F848" s="4"/>
      <c r="G848" s="4"/>
      <c r="H848" s="33"/>
      <c r="I848" s="4"/>
      <c r="J848" s="4"/>
      <c r="K848" s="4"/>
      <c r="L848" s="4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29"/>
      <c r="AJ848" s="29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</row>
    <row r="849">
      <c r="A849" s="4"/>
      <c r="B849" s="4"/>
      <c r="C849" s="4"/>
      <c r="D849" s="4"/>
      <c r="E849" s="5"/>
      <c r="F849" s="4"/>
      <c r="G849" s="4"/>
      <c r="H849" s="33"/>
      <c r="I849" s="4"/>
      <c r="J849" s="4"/>
      <c r="K849" s="4"/>
      <c r="L849" s="4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29"/>
      <c r="AJ849" s="29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</row>
    <row r="850">
      <c r="A850" s="4"/>
      <c r="B850" s="4"/>
      <c r="C850" s="4"/>
      <c r="D850" s="4"/>
      <c r="E850" s="5"/>
      <c r="F850" s="4"/>
      <c r="G850" s="4"/>
      <c r="H850" s="33"/>
      <c r="I850" s="4"/>
      <c r="J850" s="4"/>
      <c r="K850" s="4"/>
      <c r="L850" s="4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29"/>
      <c r="AJ850" s="29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</row>
    <row r="851">
      <c r="A851" s="4"/>
      <c r="B851" s="4"/>
      <c r="C851" s="4"/>
      <c r="D851" s="4"/>
      <c r="E851" s="5"/>
      <c r="F851" s="4"/>
      <c r="G851" s="4"/>
      <c r="H851" s="33"/>
      <c r="I851" s="4"/>
      <c r="J851" s="4"/>
      <c r="K851" s="4"/>
      <c r="L851" s="4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29"/>
      <c r="AJ851" s="29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</row>
    <row r="852">
      <c r="A852" s="4"/>
      <c r="B852" s="4"/>
      <c r="C852" s="4"/>
      <c r="D852" s="4"/>
      <c r="E852" s="5"/>
      <c r="F852" s="4"/>
      <c r="G852" s="4"/>
      <c r="H852" s="33"/>
      <c r="I852" s="4"/>
      <c r="J852" s="4"/>
      <c r="K852" s="4"/>
      <c r="L852" s="4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29"/>
      <c r="AJ852" s="29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</row>
    <row r="853">
      <c r="A853" s="4"/>
      <c r="B853" s="4"/>
      <c r="C853" s="4"/>
      <c r="D853" s="4"/>
      <c r="E853" s="5"/>
      <c r="F853" s="4"/>
      <c r="G853" s="4"/>
      <c r="H853" s="33"/>
      <c r="I853" s="4"/>
      <c r="J853" s="4"/>
      <c r="K853" s="4"/>
      <c r="L853" s="4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29"/>
      <c r="AJ853" s="29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</row>
    <row r="854">
      <c r="A854" s="4"/>
      <c r="B854" s="4"/>
      <c r="C854" s="4"/>
      <c r="D854" s="4"/>
      <c r="E854" s="5"/>
      <c r="F854" s="4"/>
      <c r="G854" s="4"/>
      <c r="H854" s="33"/>
      <c r="I854" s="4"/>
      <c r="J854" s="4"/>
      <c r="K854" s="4"/>
      <c r="L854" s="4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29"/>
      <c r="AJ854" s="29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</row>
    <row r="855">
      <c r="A855" s="4"/>
      <c r="B855" s="4"/>
      <c r="C855" s="4"/>
      <c r="D855" s="4"/>
      <c r="E855" s="5"/>
      <c r="F855" s="4"/>
      <c r="G855" s="4"/>
      <c r="H855" s="33"/>
      <c r="I855" s="4"/>
      <c r="J855" s="4"/>
      <c r="K855" s="4"/>
      <c r="L855" s="4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29"/>
      <c r="AJ855" s="29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</row>
    <row r="856">
      <c r="A856" s="4"/>
      <c r="B856" s="4"/>
      <c r="C856" s="4"/>
      <c r="D856" s="4"/>
      <c r="E856" s="5"/>
      <c r="F856" s="4"/>
      <c r="G856" s="4"/>
      <c r="H856" s="33"/>
      <c r="I856" s="4"/>
      <c r="J856" s="4"/>
      <c r="K856" s="4"/>
      <c r="L856" s="4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29"/>
      <c r="AJ856" s="29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</row>
    <row r="857">
      <c r="A857" s="4"/>
      <c r="B857" s="4"/>
      <c r="C857" s="4"/>
      <c r="D857" s="4"/>
      <c r="E857" s="5"/>
      <c r="F857" s="4"/>
      <c r="G857" s="4"/>
      <c r="H857" s="33"/>
      <c r="I857" s="4"/>
      <c r="J857" s="4"/>
      <c r="K857" s="4"/>
      <c r="L857" s="4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29"/>
      <c r="AJ857" s="29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</row>
    <row r="858">
      <c r="A858" s="4"/>
      <c r="B858" s="4"/>
      <c r="C858" s="4"/>
      <c r="D858" s="4"/>
      <c r="E858" s="5"/>
      <c r="F858" s="4"/>
      <c r="G858" s="4"/>
      <c r="H858" s="33"/>
      <c r="I858" s="4"/>
      <c r="J858" s="4"/>
      <c r="K858" s="4"/>
      <c r="L858" s="4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29"/>
      <c r="AJ858" s="29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</row>
    <row r="859">
      <c r="A859" s="4"/>
      <c r="B859" s="4"/>
      <c r="C859" s="4"/>
      <c r="D859" s="4"/>
      <c r="E859" s="5"/>
      <c r="F859" s="4"/>
      <c r="G859" s="4"/>
      <c r="H859" s="33"/>
      <c r="I859" s="4"/>
      <c r="J859" s="4"/>
      <c r="K859" s="4"/>
      <c r="L859" s="4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29"/>
      <c r="AJ859" s="29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</row>
    <row r="860">
      <c r="A860" s="4"/>
      <c r="B860" s="4"/>
      <c r="C860" s="4"/>
      <c r="D860" s="4"/>
      <c r="E860" s="5"/>
      <c r="F860" s="4"/>
      <c r="G860" s="4"/>
      <c r="H860" s="33"/>
      <c r="I860" s="4"/>
      <c r="J860" s="4"/>
      <c r="K860" s="4"/>
      <c r="L860" s="4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29"/>
      <c r="AJ860" s="29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</row>
    <row r="861">
      <c r="A861" s="4"/>
      <c r="B861" s="4"/>
      <c r="C861" s="4"/>
      <c r="D861" s="4"/>
      <c r="E861" s="5"/>
      <c r="F861" s="4"/>
      <c r="G861" s="4"/>
      <c r="H861" s="33"/>
      <c r="I861" s="4"/>
      <c r="J861" s="4"/>
      <c r="K861" s="4"/>
      <c r="L861" s="4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29"/>
      <c r="AJ861" s="29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</row>
    <row r="862">
      <c r="A862" s="4"/>
      <c r="B862" s="4"/>
      <c r="C862" s="4"/>
      <c r="D862" s="4"/>
      <c r="E862" s="5"/>
      <c r="F862" s="4"/>
      <c r="G862" s="4"/>
      <c r="H862" s="33"/>
      <c r="I862" s="4"/>
      <c r="J862" s="4"/>
      <c r="K862" s="4"/>
      <c r="L862" s="4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29"/>
      <c r="AJ862" s="29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</row>
    <row r="863">
      <c r="A863" s="4"/>
      <c r="B863" s="4"/>
      <c r="C863" s="4"/>
      <c r="D863" s="4"/>
      <c r="E863" s="5"/>
      <c r="F863" s="4"/>
      <c r="G863" s="4"/>
      <c r="H863" s="33"/>
      <c r="I863" s="4"/>
      <c r="J863" s="4"/>
      <c r="K863" s="4"/>
      <c r="L863" s="4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29"/>
      <c r="AJ863" s="29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</row>
    <row r="864">
      <c r="A864" s="4"/>
      <c r="B864" s="4"/>
      <c r="C864" s="4"/>
      <c r="D864" s="4"/>
      <c r="E864" s="5"/>
      <c r="F864" s="4"/>
      <c r="G864" s="4"/>
      <c r="H864" s="33"/>
      <c r="I864" s="4"/>
      <c r="J864" s="4"/>
      <c r="K864" s="4"/>
      <c r="L864" s="4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29"/>
      <c r="AJ864" s="29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</row>
    <row r="865">
      <c r="A865" s="4"/>
      <c r="B865" s="4"/>
      <c r="C865" s="4"/>
      <c r="D865" s="4"/>
      <c r="E865" s="5"/>
      <c r="F865" s="4"/>
      <c r="G865" s="4"/>
      <c r="H865" s="33"/>
      <c r="I865" s="4"/>
      <c r="J865" s="4"/>
      <c r="K865" s="4"/>
      <c r="L865" s="4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29"/>
      <c r="AJ865" s="29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</row>
    <row r="866">
      <c r="A866" s="4"/>
      <c r="B866" s="4"/>
      <c r="C866" s="4"/>
      <c r="D866" s="4"/>
      <c r="E866" s="5"/>
      <c r="F866" s="4"/>
      <c r="G866" s="4"/>
      <c r="H866" s="33"/>
      <c r="I866" s="4"/>
      <c r="J866" s="4"/>
      <c r="K866" s="4"/>
      <c r="L866" s="4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29"/>
      <c r="AJ866" s="29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</row>
    <row r="867">
      <c r="A867" s="4"/>
      <c r="B867" s="4"/>
      <c r="C867" s="4"/>
      <c r="D867" s="4"/>
      <c r="E867" s="5"/>
      <c r="F867" s="4"/>
      <c r="G867" s="4"/>
      <c r="H867" s="33"/>
      <c r="I867" s="4"/>
      <c r="J867" s="4"/>
      <c r="K867" s="4"/>
      <c r="L867" s="4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29"/>
      <c r="AJ867" s="29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</row>
    <row r="868">
      <c r="A868" s="4"/>
      <c r="B868" s="4"/>
      <c r="C868" s="4"/>
      <c r="D868" s="4"/>
      <c r="E868" s="5"/>
      <c r="F868" s="4"/>
      <c r="G868" s="4"/>
      <c r="H868" s="33"/>
      <c r="I868" s="4"/>
      <c r="J868" s="4"/>
      <c r="K868" s="4"/>
      <c r="L868" s="4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29"/>
      <c r="AJ868" s="29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</row>
    <row r="869">
      <c r="A869" s="4"/>
      <c r="B869" s="4"/>
      <c r="C869" s="4"/>
      <c r="D869" s="4"/>
      <c r="E869" s="5"/>
      <c r="F869" s="4"/>
      <c r="G869" s="4"/>
      <c r="H869" s="33"/>
      <c r="I869" s="4"/>
      <c r="J869" s="4"/>
      <c r="K869" s="4"/>
      <c r="L869" s="4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29"/>
      <c r="AJ869" s="29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</row>
    <row r="870">
      <c r="A870" s="4"/>
      <c r="B870" s="4"/>
      <c r="C870" s="4"/>
      <c r="D870" s="4"/>
      <c r="E870" s="5"/>
      <c r="F870" s="4"/>
      <c r="G870" s="4"/>
      <c r="H870" s="33"/>
      <c r="I870" s="4"/>
      <c r="J870" s="4"/>
      <c r="K870" s="4"/>
      <c r="L870" s="4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29"/>
      <c r="AJ870" s="29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</row>
    <row r="871">
      <c r="A871" s="4"/>
      <c r="B871" s="4"/>
      <c r="C871" s="4"/>
      <c r="D871" s="4"/>
      <c r="E871" s="5"/>
      <c r="F871" s="4"/>
      <c r="G871" s="4"/>
      <c r="H871" s="33"/>
      <c r="I871" s="4"/>
      <c r="J871" s="4"/>
      <c r="K871" s="4"/>
      <c r="L871" s="4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29"/>
      <c r="AJ871" s="29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</row>
    <row r="872">
      <c r="A872" s="4"/>
      <c r="B872" s="4"/>
      <c r="C872" s="4"/>
      <c r="D872" s="4"/>
      <c r="E872" s="5"/>
      <c r="F872" s="4"/>
      <c r="G872" s="4"/>
      <c r="H872" s="33"/>
      <c r="I872" s="4"/>
      <c r="J872" s="4"/>
      <c r="K872" s="4"/>
      <c r="L872" s="4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29"/>
      <c r="AJ872" s="29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</row>
    <row r="873">
      <c r="A873" s="4"/>
      <c r="B873" s="4"/>
      <c r="C873" s="4"/>
      <c r="D873" s="4"/>
      <c r="E873" s="5"/>
      <c r="F873" s="4"/>
      <c r="G873" s="4"/>
      <c r="H873" s="33"/>
      <c r="I873" s="4"/>
      <c r="J873" s="4"/>
      <c r="K873" s="4"/>
      <c r="L873" s="4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29"/>
      <c r="AJ873" s="29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</row>
    <row r="874">
      <c r="A874" s="4"/>
      <c r="B874" s="4"/>
      <c r="C874" s="4"/>
      <c r="D874" s="4"/>
      <c r="E874" s="5"/>
      <c r="F874" s="4"/>
      <c r="G874" s="4"/>
      <c r="H874" s="33"/>
      <c r="I874" s="4"/>
      <c r="J874" s="4"/>
      <c r="K874" s="4"/>
      <c r="L874" s="4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29"/>
      <c r="AJ874" s="29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</row>
    <row r="875">
      <c r="A875" s="4"/>
      <c r="B875" s="4"/>
      <c r="C875" s="4"/>
      <c r="D875" s="4"/>
      <c r="E875" s="5"/>
      <c r="F875" s="4"/>
      <c r="G875" s="4"/>
      <c r="H875" s="33"/>
      <c r="I875" s="4"/>
      <c r="J875" s="4"/>
      <c r="K875" s="4"/>
      <c r="L875" s="4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29"/>
      <c r="AJ875" s="29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</row>
    <row r="876">
      <c r="A876" s="4"/>
      <c r="B876" s="4"/>
      <c r="C876" s="4"/>
      <c r="D876" s="4"/>
      <c r="E876" s="5"/>
      <c r="F876" s="4"/>
      <c r="G876" s="4"/>
      <c r="H876" s="33"/>
      <c r="I876" s="4"/>
      <c r="J876" s="4"/>
      <c r="K876" s="4"/>
      <c r="L876" s="4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29"/>
      <c r="AJ876" s="29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</row>
    <row r="877">
      <c r="A877" s="4"/>
      <c r="B877" s="4"/>
      <c r="C877" s="4"/>
      <c r="D877" s="4"/>
      <c r="E877" s="5"/>
      <c r="F877" s="4"/>
      <c r="G877" s="4"/>
      <c r="H877" s="33"/>
      <c r="I877" s="4"/>
      <c r="J877" s="4"/>
      <c r="K877" s="4"/>
      <c r="L877" s="4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29"/>
      <c r="AJ877" s="29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</row>
    <row r="878">
      <c r="A878" s="4"/>
      <c r="B878" s="4"/>
      <c r="C878" s="4"/>
      <c r="D878" s="4"/>
      <c r="E878" s="5"/>
      <c r="F878" s="4"/>
      <c r="G878" s="4"/>
      <c r="H878" s="33"/>
      <c r="I878" s="4"/>
      <c r="J878" s="4"/>
      <c r="K878" s="4"/>
      <c r="L878" s="4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29"/>
      <c r="AJ878" s="29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</row>
    <row r="879">
      <c r="A879" s="4"/>
      <c r="B879" s="4"/>
      <c r="C879" s="4"/>
      <c r="D879" s="4"/>
      <c r="E879" s="5"/>
      <c r="F879" s="4"/>
      <c r="G879" s="4"/>
      <c r="H879" s="33"/>
      <c r="I879" s="4"/>
      <c r="J879" s="4"/>
      <c r="K879" s="4"/>
      <c r="L879" s="4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29"/>
      <c r="AJ879" s="29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</row>
    <row r="880">
      <c r="A880" s="4"/>
      <c r="B880" s="4"/>
      <c r="C880" s="4"/>
      <c r="D880" s="4"/>
      <c r="E880" s="5"/>
      <c r="F880" s="4"/>
      <c r="G880" s="4"/>
      <c r="H880" s="33"/>
      <c r="I880" s="4"/>
      <c r="J880" s="4"/>
      <c r="K880" s="4"/>
      <c r="L880" s="4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29"/>
      <c r="AJ880" s="29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</row>
    <row r="881">
      <c r="A881" s="4"/>
      <c r="B881" s="4"/>
      <c r="C881" s="4"/>
      <c r="D881" s="4"/>
      <c r="E881" s="5"/>
      <c r="F881" s="4"/>
      <c r="G881" s="4"/>
      <c r="H881" s="33"/>
      <c r="I881" s="4"/>
      <c r="J881" s="4"/>
      <c r="K881" s="4"/>
      <c r="L881" s="4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29"/>
      <c r="AJ881" s="29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</row>
    <row r="882">
      <c r="A882" s="4"/>
      <c r="B882" s="4"/>
      <c r="C882" s="4"/>
      <c r="D882" s="4"/>
      <c r="E882" s="5"/>
      <c r="F882" s="4"/>
      <c r="G882" s="4"/>
      <c r="H882" s="33"/>
      <c r="I882" s="4"/>
      <c r="J882" s="4"/>
      <c r="K882" s="4"/>
      <c r="L882" s="4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29"/>
      <c r="AJ882" s="29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</row>
    <row r="883">
      <c r="A883" s="4"/>
      <c r="B883" s="4"/>
      <c r="C883" s="4"/>
      <c r="D883" s="4"/>
      <c r="E883" s="5"/>
      <c r="F883" s="4"/>
      <c r="G883" s="4"/>
      <c r="H883" s="33"/>
      <c r="I883" s="4"/>
      <c r="J883" s="4"/>
      <c r="K883" s="4"/>
      <c r="L883" s="4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29"/>
      <c r="AJ883" s="29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</row>
    <row r="884">
      <c r="A884" s="4"/>
      <c r="B884" s="4"/>
      <c r="C884" s="4"/>
      <c r="D884" s="4"/>
      <c r="E884" s="5"/>
      <c r="F884" s="4"/>
      <c r="G884" s="4"/>
      <c r="H884" s="33"/>
      <c r="I884" s="4"/>
      <c r="J884" s="4"/>
      <c r="K884" s="4"/>
      <c r="L884" s="4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29"/>
      <c r="AJ884" s="29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</row>
    <row r="885">
      <c r="A885" s="4"/>
      <c r="B885" s="4"/>
      <c r="C885" s="4"/>
      <c r="D885" s="4"/>
      <c r="E885" s="5"/>
      <c r="F885" s="4"/>
      <c r="G885" s="4"/>
      <c r="H885" s="33"/>
      <c r="I885" s="4"/>
      <c r="J885" s="4"/>
      <c r="K885" s="4"/>
      <c r="L885" s="4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29"/>
      <c r="AJ885" s="29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</row>
    <row r="886">
      <c r="A886" s="4"/>
      <c r="B886" s="4"/>
      <c r="C886" s="4"/>
      <c r="D886" s="4"/>
      <c r="E886" s="5"/>
      <c r="F886" s="4"/>
      <c r="G886" s="4"/>
      <c r="H886" s="33"/>
      <c r="I886" s="4"/>
      <c r="J886" s="4"/>
      <c r="K886" s="4"/>
      <c r="L886" s="4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29"/>
      <c r="AJ886" s="29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</row>
    <row r="887">
      <c r="A887" s="4"/>
      <c r="B887" s="4"/>
      <c r="C887" s="4"/>
      <c r="D887" s="4"/>
      <c r="E887" s="5"/>
      <c r="F887" s="4"/>
      <c r="G887" s="4"/>
      <c r="H887" s="33"/>
      <c r="I887" s="4"/>
      <c r="J887" s="4"/>
      <c r="K887" s="4"/>
      <c r="L887" s="4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29"/>
      <c r="AJ887" s="29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</row>
    <row r="888">
      <c r="A888" s="4"/>
      <c r="B888" s="4"/>
      <c r="C888" s="4"/>
      <c r="D888" s="4"/>
      <c r="E888" s="5"/>
      <c r="F888" s="4"/>
      <c r="G888" s="4"/>
      <c r="H888" s="33"/>
      <c r="I888" s="4"/>
      <c r="J888" s="4"/>
      <c r="K888" s="4"/>
      <c r="L888" s="4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29"/>
      <c r="AJ888" s="29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</row>
    <row r="889">
      <c r="A889" s="4"/>
      <c r="B889" s="4"/>
      <c r="C889" s="4"/>
      <c r="D889" s="4"/>
      <c r="E889" s="5"/>
      <c r="F889" s="4"/>
      <c r="G889" s="4"/>
      <c r="H889" s="33"/>
      <c r="I889" s="4"/>
      <c r="J889" s="4"/>
      <c r="K889" s="4"/>
      <c r="L889" s="4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29"/>
      <c r="AJ889" s="29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</row>
    <row r="890">
      <c r="A890" s="4"/>
      <c r="B890" s="4"/>
      <c r="C890" s="4"/>
      <c r="D890" s="4"/>
      <c r="E890" s="5"/>
      <c r="F890" s="4"/>
      <c r="G890" s="4"/>
      <c r="H890" s="33"/>
      <c r="I890" s="4"/>
      <c r="J890" s="4"/>
      <c r="K890" s="4"/>
      <c r="L890" s="4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29"/>
      <c r="AJ890" s="29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</row>
    <row r="891">
      <c r="A891" s="4"/>
      <c r="B891" s="4"/>
      <c r="C891" s="4"/>
      <c r="D891" s="4"/>
      <c r="E891" s="5"/>
      <c r="F891" s="4"/>
      <c r="G891" s="4"/>
      <c r="H891" s="33"/>
      <c r="I891" s="4"/>
      <c r="J891" s="4"/>
      <c r="K891" s="4"/>
      <c r="L891" s="4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29"/>
      <c r="AJ891" s="29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</row>
    <row r="892">
      <c r="A892" s="4"/>
      <c r="B892" s="4"/>
      <c r="C892" s="4"/>
      <c r="D892" s="4"/>
      <c r="E892" s="5"/>
      <c r="F892" s="4"/>
      <c r="G892" s="4"/>
      <c r="H892" s="33"/>
      <c r="I892" s="4"/>
      <c r="J892" s="4"/>
      <c r="K892" s="4"/>
      <c r="L892" s="4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29"/>
      <c r="AJ892" s="29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</row>
    <row r="893">
      <c r="A893" s="4"/>
      <c r="B893" s="4"/>
      <c r="C893" s="4"/>
      <c r="D893" s="4"/>
      <c r="E893" s="5"/>
      <c r="F893" s="4"/>
      <c r="G893" s="4"/>
      <c r="H893" s="33"/>
      <c r="I893" s="4"/>
      <c r="J893" s="4"/>
      <c r="K893" s="4"/>
      <c r="L893" s="4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29"/>
      <c r="AJ893" s="29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</row>
    <row r="894">
      <c r="A894" s="4"/>
      <c r="B894" s="4"/>
      <c r="C894" s="4"/>
      <c r="D894" s="4"/>
      <c r="E894" s="5"/>
      <c r="F894" s="4"/>
      <c r="G894" s="4"/>
      <c r="H894" s="33"/>
      <c r="I894" s="4"/>
      <c r="J894" s="4"/>
      <c r="K894" s="4"/>
      <c r="L894" s="4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29"/>
      <c r="AJ894" s="29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</row>
    <row r="895">
      <c r="A895" s="4"/>
      <c r="B895" s="4"/>
      <c r="C895" s="4"/>
      <c r="D895" s="4"/>
      <c r="E895" s="5"/>
      <c r="F895" s="4"/>
      <c r="G895" s="4"/>
      <c r="H895" s="33"/>
      <c r="I895" s="4"/>
      <c r="J895" s="4"/>
      <c r="K895" s="4"/>
      <c r="L895" s="4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29"/>
      <c r="AJ895" s="29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</row>
    <row r="896">
      <c r="A896" s="4"/>
      <c r="B896" s="4"/>
      <c r="C896" s="4"/>
      <c r="D896" s="4"/>
      <c r="E896" s="5"/>
      <c r="F896" s="4"/>
      <c r="G896" s="4"/>
      <c r="H896" s="33"/>
      <c r="I896" s="4"/>
      <c r="J896" s="4"/>
      <c r="K896" s="4"/>
      <c r="L896" s="4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29"/>
      <c r="AJ896" s="29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</row>
    <row r="897">
      <c r="A897" s="4"/>
      <c r="B897" s="4"/>
      <c r="C897" s="4"/>
      <c r="D897" s="4"/>
      <c r="E897" s="5"/>
      <c r="F897" s="4"/>
      <c r="G897" s="4"/>
      <c r="H897" s="33"/>
      <c r="I897" s="4"/>
      <c r="J897" s="4"/>
      <c r="K897" s="4"/>
      <c r="L897" s="4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29"/>
      <c r="AJ897" s="29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</row>
    <row r="898">
      <c r="A898" s="4"/>
      <c r="B898" s="4"/>
      <c r="C898" s="4"/>
      <c r="D898" s="4"/>
      <c r="E898" s="5"/>
      <c r="F898" s="4"/>
      <c r="G898" s="4"/>
      <c r="H898" s="33"/>
      <c r="I898" s="4"/>
      <c r="J898" s="4"/>
      <c r="K898" s="4"/>
      <c r="L898" s="4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29"/>
      <c r="AJ898" s="29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</row>
    <row r="899">
      <c r="A899" s="4"/>
      <c r="B899" s="4"/>
      <c r="C899" s="4"/>
      <c r="D899" s="4"/>
      <c r="E899" s="5"/>
      <c r="F899" s="4"/>
      <c r="G899" s="4"/>
      <c r="H899" s="33"/>
      <c r="I899" s="4"/>
      <c r="J899" s="4"/>
      <c r="K899" s="4"/>
      <c r="L899" s="4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29"/>
      <c r="AJ899" s="29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</row>
    <row r="900">
      <c r="A900" s="4"/>
      <c r="B900" s="4"/>
      <c r="C900" s="4"/>
      <c r="D900" s="4"/>
      <c r="E900" s="5"/>
      <c r="F900" s="4"/>
      <c r="G900" s="4"/>
      <c r="H900" s="33"/>
      <c r="I900" s="4"/>
      <c r="J900" s="4"/>
      <c r="K900" s="4"/>
      <c r="L900" s="4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29"/>
      <c r="AJ900" s="29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</row>
    <row r="901">
      <c r="A901" s="4"/>
      <c r="B901" s="4"/>
      <c r="C901" s="4"/>
      <c r="D901" s="4"/>
      <c r="E901" s="5"/>
      <c r="F901" s="4"/>
      <c r="G901" s="4"/>
      <c r="H901" s="33"/>
      <c r="I901" s="4"/>
      <c r="J901" s="4"/>
      <c r="K901" s="4"/>
      <c r="L901" s="4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29"/>
      <c r="AJ901" s="29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</row>
    <row r="902">
      <c r="A902" s="4"/>
      <c r="B902" s="4"/>
      <c r="C902" s="4"/>
      <c r="D902" s="4"/>
      <c r="E902" s="5"/>
      <c r="F902" s="4"/>
      <c r="G902" s="4"/>
      <c r="H902" s="33"/>
      <c r="I902" s="4"/>
      <c r="J902" s="4"/>
      <c r="K902" s="4"/>
      <c r="L902" s="4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29"/>
      <c r="AJ902" s="29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</row>
    <row r="903">
      <c r="A903" s="4"/>
      <c r="B903" s="4"/>
      <c r="C903" s="4"/>
      <c r="D903" s="4"/>
      <c r="E903" s="5"/>
      <c r="F903" s="4"/>
      <c r="G903" s="4"/>
      <c r="H903" s="33"/>
      <c r="I903" s="4"/>
      <c r="J903" s="4"/>
      <c r="K903" s="4"/>
      <c r="L903" s="4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29"/>
      <c r="AJ903" s="29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</row>
    <row r="904">
      <c r="A904" s="4"/>
      <c r="B904" s="4"/>
      <c r="C904" s="4"/>
      <c r="D904" s="4"/>
      <c r="E904" s="5"/>
      <c r="F904" s="4"/>
      <c r="G904" s="4"/>
      <c r="H904" s="33"/>
      <c r="I904" s="4"/>
      <c r="J904" s="4"/>
      <c r="K904" s="4"/>
      <c r="L904" s="4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29"/>
      <c r="AJ904" s="29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</row>
    <row r="905">
      <c r="A905" s="4"/>
      <c r="B905" s="4"/>
      <c r="C905" s="4"/>
      <c r="D905" s="4"/>
      <c r="E905" s="5"/>
      <c r="F905" s="4"/>
      <c r="G905" s="4"/>
      <c r="H905" s="33"/>
      <c r="I905" s="4"/>
      <c r="J905" s="4"/>
      <c r="K905" s="4"/>
      <c r="L905" s="4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29"/>
      <c r="AJ905" s="29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</row>
    <row r="906">
      <c r="A906" s="4"/>
      <c r="B906" s="4"/>
      <c r="C906" s="4"/>
      <c r="D906" s="4"/>
      <c r="E906" s="5"/>
      <c r="F906" s="4"/>
      <c r="G906" s="4"/>
      <c r="H906" s="33"/>
      <c r="I906" s="4"/>
      <c r="J906" s="4"/>
      <c r="K906" s="4"/>
      <c r="L906" s="4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29"/>
      <c r="AJ906" s="29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</row>
    <row r="907">
      <c r="A907" s="4"/>
      <c r="B907" s="4"/>
      <c r="C907" s="4"/>
      <c r="D907" s="4"/>
      <c r="E907" s="5"/>
      <c r="F907" s="4"/>
      <c r="G907" s="4"/>
      <c r="H907" s="33"/>
      <c r="I907" s="4"/>
      <c r="J907" s="4"/>
      <c r="K907" s="4"/>
      <c r="L907" s="4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29"/>
      <c r="AJ907" s="29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</row>
    <row r="908">
      <c r="A908" s="4"/>
      <c r="B908" s="4"/>
      <c r="C908" s="4"/>
      <c r="D908" s="4"/>
      <c r="E908" s="5"/>
      <c r="F908" s="4"/>
      <c r="G908" s="4"/>
      <c r="H908" s="33"/>
      <c r="I908" s="4"/>
      <c r="J908" s="4"/>
      <c r="K908" s="4"/>
      <c r="L908" s="4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29"/>
      <c r="AJ908" s="29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</row>
    <row r="909">
      <c r="A909" s="4"/>
      <c r="B909" s="4"/>
      <c r="C909" s="4"/>
      <c r="D909" s="4"/>
      <c r="E909" s="5"/>
      <c r="F909" s="4"/>
      <c r="G909" s="4"/>
      <c r="H909" s="33"/>
      <c r="I909" s="4"/>
      <c r="J909" s="4"/>
      <c r="K909" s="4"/>
      <c r="L909" s="4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29"/>
      <c r="AJ909" s="29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</row>
    <row r="910">
      <c r="A910" s="4"/>
      <c r="B910" s="4"/>
      <c r="C910" s="4"/>
      <c r="D910" s="4"/>
      <c r="E910" s="5"/>
      <c r="F910" s="4"/>
      <c r="G910" s="4"/>
      <c r="H910" s="33"/>
      <c r="I910" s="4"/>
      <c r="J910" s="4"/>
      <c r="K910" s="4"/>
      <c r="L910" s="4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29"/>
      <c r="AJ910" s="29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</row>
    <row r="911">
      <c r="A911" s="4"/>
      <c r="B911" s="4"/>
      <c r="C911" s="4"/>
      <c r="D911" s="4"/>
      <c r="E911" s="5"/>
      <c r="F911" s="4"/>
      <c r="G911" s="4"/>
      <c r="H911" s="33"/>
      <c r="I911" s="4"/>
      <c r="J911" s="4"/>
      <c r="K911" s="4"/>
      <c r="L911" s="4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29"/>
      <c r="AJ911" s="29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</row>
    <row r="912">
      <c r="A912" s="4"/>
      <c r="B912" s="4"/>
      <c r="C912" s="4"/>
      <c r="D912" s="4"/>
      <c r="E912" s="5"/>
      <c r="F912" s="4"/>
      <c r="G912" s="4"/>
      <c r="H912" s="33"/>
      <c r="I912" s="4"/>
      <c r="J912" s="4"/>
      <c r="K912" s="4"/>
      <c r="L912" s="4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29"/>
      <c r="AJ912" s="29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</row>
    <row r="913">
      <c r="A913" s="4"/>
      <c r="B913" s="4"/>
      <c r="C913" s="4"/>
      <c r="D913" s="4"/>
      <c r="E913" s="5"/>
      <c r="F913" s="4"/>
      <c r="G913" s="4"/>
      <c r="H913" s="33"/>
      <c r="I913" s="4"/>
      <c r="J913" s="4"/>
      <c r="K913" s="4"/>
      <c r="L913" s="4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29"/>
      <c r="AJ913" s="29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</row>
    <row r="914">
      <c r="A914" s="4"/>
      <c r="B914" s="4"/>
      <c r="C914" s="4"/>
      <c r="D914" s="4"/>
      <c r="E914" s="5"/>
      <c r="F914" s="4"/>
      <c r="G914" s="4"/>
      <c r="H914" s="33"/>
      <c r="I914" s="4"/>
      <c r="J914" s="4"/>
      <c r="K914" s="4"/>
      <c r="L914" s="4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29"/>
      <c r="AJ914" s="29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</row>
    <row r="915">
      <c r="A915" s="4"/>
      <c r="B915" s="4"/>
      <c r="C915" s="4"/>
      <c r="D915" s="4"/>
      <c r="E915" s="5"/>
      <c r="F915" s="4"/>
      <c r="G915" s="4"/>
      <c r="H915" s="33"/>
      <c r="I915" s="4"/>
      <c r="J915" s="4"/>
      <c r="K915" s="4"/>
      <c r="L915" s="4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29"/>
      <c r="AJ915" s="29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</row>
    <row r="916">
      <c r="A916" s="4"/>
      <c r="B916" s="4"/>
      <c r="C916" s="4"/>
      <c r="D916" s="4"/>
      <c r="E916" s="5"/>
      <c r="F916" s="4"/>
      <c r="G916" s="4"/>
      <c r="H916" s="33"/>
      <c r="I916" s="4"/>
      <c r="J916" s="4"/>
      <c r="K916" s="4"/>
      <c r="L916" s="4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29"/>
      <c r="AJ916" s="29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</row>
    <row r="917">
      <c r="A917" s="4"/>
      <c r="B917" s="4"/>
      <c r="C917" s="4"/>
      <c r="D917" s="4"/>
      <c r="E917" s="5"/>
      <c r="F917" s="4"/>
      <c r="G917" s="4"/>
      <c r="H917" s="33"/>
      <c r="I917" s="4"/>
      <c r="J917" s="4"/>
      <c r="K917" s="4"/>
      <c r="L917" s="4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29"/>
      <c r="AJ917" s="29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</row>
    <row r="918">
      <c r="A918" s="4"/>
      <c r="B918" s="4"/>
      <c r="C918" s="4"/>
      <c r="D918" s="4"/>
      <c r="E918" s="5"/>
      <c r="F918" s="4"/>
      <c r="G918" s="4"/>
      <c r="H918" s="33"/>
      <c r="I918" s="4"/>
      <c r="J918" s="4"/>
      <c r="K918" s="4"/>
      <c r="L918" s="4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29"/>
      <c r="AJ918" s="29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</row>
    <row r="919">
      <c r="A919" s="4"/>
      <c r="B919" s="4"/>
      <c r="C919" s="4"/>
      <c r="D919" s="4"/>
      <c r="E919" s="5"/>
      <c r="F919" s="4"/>
      <c r="G919" s="4"/>
      <c r="H919" s="33"/>
      <c r="I919" s="4"/>
      <c r="J919" s="4"/>
      <c r="K919" s="4"/>
      <c r="L919" s="4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29"/>
      <c r="AJ919" s="29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</row>
    <row r="920">
      <c r="A920" s="4"/>
      <c r="B920" s="4"/>
      <c r="C920" s="4"/>
      <c r="D920" s="4"/>
      <c r="E920" s="5"/>
      <c r="F920" s="4"/>
      <c r="G920" s="4"/>
      <c r="H920" s="33"/>
      <c r="I920" s="4"/>
      <c r="J920" s="4"/>
      <c r="K920" s="4"/>
      <c r="L920" s="4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29"/>
      <c r="AJ920" s="29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</row>
    <row r="921">
      <c r="A921" s="4"/>
      <c r="B921" s="4"/>
      <c r="C921" s="4"/>
      <c r="D921" s="4"/>
      <c r="E921" s="5"/>
      <c r="F921" s="4"/>
      <c r="G921" s="4"/>
      <c r="H921" s="33"/>
      <c r="I921" s="4"/>
      <c r="J921" s="4"/>
      <c r="K921" s="4"/>
      <c r="L921" s="4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29"/>
      <c r="AJ921" s="29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</row>
    <row r="922">
      <c r="A922" s="4"/>
      <c r="B922" s="4"/>
      <c r="C922" s="4"/>
      <c r="D922" s="4"/>
      <c r="E922" s="5"/>
      <c r="F922" s="4"/>
      <c r="G922" s="4"/>
      <c r="H922" s="33"/>
      <c r="I922" s="4"/>
      <c r="J922" s="4"/>
      <c r="K922" s="4"/>
      <c r="L922" s="4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29"/>
      <c r="AJ922" s="29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</row>
    <row r="923">
      <c r="A923" s="4"/>
      <c r="B923" s="4"/>
      <c r="C923" s="4"/>
      <c r="D923" s="4"/>
      <c r="E923" s="5"/>
      <c r="F923" s="4"/>
      <c r="G923" s="4"/>
      <c r="H923" s="33"/>
      <c r="I923" s="4"/>
      <c r="J923" s="4"/>
      <c r="K923" s="4"/>
      <c r="L923" s="4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29"/>
      <c r="AJ923" s="29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</row>
    <row r="924">
      <c r="A924" s="4"/>
      <c r="B924" s="4"/>
      <c r="C924" s="4"/>
      <c r="D924" s="4"/>
      <c r="E924" s="5"/>
      <c r="F924" s="4"/>
      <c r="G924" s="4"/>
      <c r="H924" s="33"/>
      <c r="I924" s="4"/>
      <c r="J924" s="4"/>
      <c r="K924" s="4"/>
      <c r="L924" s="4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29"/>
      <c r="AJ924" s="29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</row>
    <row r="925">
      <c r="A925" s="4"/>
      <c r="B925" s="4"/>
      <c r="C925" s="4"/>
      <c r="D925" s="4"/>
      <c r="E925" s="5"/>
      <c r="F925" s="4"/>
      <c r="G925" s="4"/>
      <c r="H925" s="33"/>
      <c r="I925" s="4"/>
      <c r="J925" s="4"/>
      <c r="K925" s="4"/>
      <c r="L925" s="4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29"/>
      <c r="AJ925" s="29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</row>
    <row r="926">
      <c r="A926" s="4"/>
      <c r="B926" s="4"/>
      <c r="C926" s="4"/>
      <c r="D926" s="4"/>
      <c r="E926" s="5"/>
      <c r="F926" s="4"/>
      <c r="G926" s="4"/>
      <c r="H926" s="33"/>
      <c r="I926" s="4"/>
      <c r="J926" s="4"/>
      <c r="K926" s="4"/>
      <c r="L926" s="4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29"/>
      <c r="AJ926" s="29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</row>
    <row r="927">
      <c r="A927" s="4"/>
      <c r="B927" s="4"/>
      <c r="C927" s="4"/>
      <c r="D927" s="4"/>
      <c r="E927" s="5"/>
      <c r="F927" s="4"/>
      <c r="G927" s="4"/>
      <c r="H927" s="33"/>
      <c r="I927" s="4"/>
      <c r="J927" s="4"/>
      <c r="K927" s="4"/>
      <c r="L927" s="4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29"/>
      <c r="AJ927" s="29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</row>
    <row r="928">
      <c r="A928" s="4"/>
      <c r="B928" s="4"/>
      <c r="C928" s="4"/>
      <c r="D928" s="4"/>
      <c r="E928" s="5"/>
      <c r="F928" s="4"/>
      <c r="G928" s="4"/>
      <c r="H928" s="33"/>
      <c r="I928" s="4"/>
      <c r="J928" s="4"/>
      <c r="K928" s="4"/>
      <c r="L928" s="4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29"/>
      <c r="AJ928" s="29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</row>
    <row r="929">
      <c r="A929" s="4"/>
      <c r="B929" s="4"/>
      <c r="C929" s="4"/>
      <c r="D929" s="4"/>
      <c r="E929" s="5"/>
      <c r="F929" s="4"/>
      <c r="G929" s="4"/>
      <c r="H929" s="33"/>
      <c r="I929" s="4"/>
      <c r="J929" s="4"/>
      <c r="K929" s="4"/>
      <c r="L929" s="4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29"/>
      <c r="AJ929" s="29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</row>
    <row r="930">
      <c r="A930" s="4"/>
      <c r="B930" s="4"/>
      <c r="C930" s="4"/>
      <c r="D930" s="4"/>
      <c r="E930" s="5"/>
      <c r="F930" s="4"/>
      <c r="G930" s="4"/>
      <c r="H930" s="33"/>
      <c r="I930" s="4"/>
      <c r="J930" s="4"/>
      <c r="K930" s="4"/>
      <c r="L930" s="4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29"/>
      <c r="AJ930" s="29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</row>
    <row r="931">
      <c r="A931" s="4"/>
      <c r="B931" s="4"/>
      <c r="C931" s="4"/>
      <c r="D931" s="4"/>
      <c r="E931" s="5"/>
      <c r="F931" s="4"/>
      <c r="G931" s="4"/>
      <c r="H931" s="33"/>
      <c r="I931" s="4"/>
      <c r="J931" s="4"/>
      <c r="K931" s="4"/>
      <c r="L931" s="4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29"/>
      <c r="AJ931" s="29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</row>
    <row r="932">
      <c r="A932" s="4"/>
      <c r="B932" s="4"/>
      <c r="C932" s="4"/>
      <c r="D932" s="4"/>
      <c r="E932" s="5"/>
      <c r="F932" s="4"/>
      <c r="G932" s="4"/>
      <c r="H932" s="33"/>
      <c r="I932" s="4"/>
      <c r="J932" s="4"/>
      <c r="K932" s="4"/>
      <c r="L932" s="4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29"/>
      <c r="AJ932" s="29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</row>
    <row r="933">
      <c r="A933" s="4"/>
      <c r="B933" s="4"/>
      <c r="C933" s="4"/>
      <c r="D933" s="4"/>
      <c r="E933" s="5"/>
      <c r="F933" s="4"/>
      <c r="G933" s="4"/>
      <c r="H933" s="33"/>
      <c r="I933" s="4"/>
      <c r="J933" s="4"/>
      <c r="K933" s="4"/>
      <c r="L933" s="4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29"/>
      <c r="AJ933" s="29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</row>
    <row r="934">
      <c r="A934" s="4"/>
      <c r="B934" s="4"/>
      <c r="C934" s="4"/>
      <c r="D934" s="4"/>
      <c r="E934" s="5"/>
      <c r="F934" s="4"/>
      <c r="G934" s="4"/>
      <c r="H934" s="33"/>
      <c r="I934" s="4"/>
      <c r="J934" s="4"/>
      <c r="K934" s="4"/>
      <c r="L934" s="4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29"/>
      <c r="AJ934" s="29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</row>
    <row r="935">
      <c r="A935" s="4"/>
      <c r="B935" s="4"/>
      <c r="C935" s="4"/>
      <c r="D935" s="4"/>
      <c r="E935" s="5"/>
      <c r="F935" s="4"/>
      <c r="G935" s="4"/>
      <c r="H935" s="33"/>
      <c r="I935" s="4"/>
      <c r="J935" s="4"/>
      <c r="K935" s="4"/>
      <c r="L935" s="4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29"/>
      <c r="AJ935" s="29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</row>
    <row r="936">
      <c r="A936" s="4"/>
      <c r="B936" s="4"/>
      <c r="C936" s="4"/>
      <c r="D936" s="4"/>
      <c r="E936" s="5"/>
      <c r="F936" s="4"/>
      <c r="G936" s="4"/>
      <c r="H936" s="33"/>
      <c r="I936" s="4"/>
      <c r="J936" s="4"/>
      <c r="K936" s="4"/>
      <c r="L936" s="4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29"/>
      <c r="AJ936" s="29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</row>
    <row r="937">
      <c r="A937" s="4"/>
      <c r="B937" s="4"/>
      <c r="C937" s="4"/>
      <c r="D937" s="4"/>
      <c r="E937" s="5"/>
      <c r="F937" s="4"/>
      <c r="G937" s="4"/>
      <c r="H937" s="33"/>
      <c r="I937" s="4"/>
      <c r="J937" s="4"/>
      <c r="K937" s="4"/>
      <c r="L937" s="4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29"/>
      <c r="AJ937" s="29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</row>
    <row r="938">
      <c r="A938" s="4"/>
      <c r="B938" s="4"/>
      <c r="C938" s="4"/>
      <c r="D938" s="4"/>
      <c r="E938" s="5"/>
      <c r="F938" s="4"/>
      <c r="G938" s="4"/>
      <c r="H938" s="33"/>
      <c r="I938" s="4"/>
      <c r="J938" s="4"/>
      <c r="K938" s="4"/>
      <c r="L938" s="4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29"/>
      <c r="AJ938" s="29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</row>
    <row r="939">
      <c r="A939" s="4"/>
      <c r="B939" s="4"/>
      <c r="C939" s="4"/>
      <c r="D939" s="4"/>
      <c r="E939" s="5"/>
      <c r="F939" s="4"/>
      <c r="G939" s="4"/>
      <c r="H939" s="33"/>
      <c r="I939" s="4"/>
      <c r="J939" s="4"/>
      <c r="K939" s="4"/>
      <c r="L939" s="4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29"/>
      <c r="AJ939" s="29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</row>
    <row r="940">
      <c r="A940" s="4"/>
      <c r="B940" s="4"/>
      <c r="C940" s="4"/>
      <c r="D940" s="4"/>
      <c r="E940" s="5"/>
      <c r="F940" s="4"/>
      <c r="G940" s="4"/>
      <c r="H940" s="33"/>
      <c r="I940" s="4"/>
      <c r="J940" s="4"/>
      <c r="K940" s="4"/>
      <c r="L940" s="4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29"/>
      <c r="AJ940" s="29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</row>
    <row r="941">
      <c r="A941" s="4"/>
      <c r="B941" s="4"/>
      <c r="C941" s="4"/>
      <c r="D941" s="4"/>
      <c r="E941" s="5"/>
      <c r="F941" s="4"/>
      <c r="G941" s="4"/>
      <c r="H941" s="33"/>
      <c r="I941" s="4"/>
      <c r="J941" s="4"/>
      <c r="K941" s="4"/>
      <c r="L941" s="4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29"/>
      <c r="AJ941" s="29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</row>
    <row r="942">
      <c r="A942" s="4"/>
      <c r="B942" s="4"/>
      <c r="C942" s="4"/>
      <c r="D942" s="4"/>
      <c r="E942" s="5"/>
      <c r="F942" s="4"/>
      <c r="G942" s="4"/>
      <c r="H942" s="33"/>
      <c r="I942" s="4"/>
      <c r="J942" s="4"/>
      <c r="K942" s="4"/>
      <c r="L942" s="4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29"/>
      <c r="AJ942" s="29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</row>
    <row r="943">
      <c r="A943" s="4"/>
      <c r="B943" s="4"/>
      <c r="C943" s="4"/>
      <c r="D943" s="4"/>
      <c r="E943" s="5"/>
      <c r="F943" s="4"/>
      <c r="G943" s="4"/>
      <c r="H943" s="33"/>
      <c r="I943" s="4"/>
      <c r="J943" s="4"/>
      <c r="K943" s="4"/>
      <c r="L943" s="4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29"/>
      <c r="AJ943" s="29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</row>
    <row r="944">
      <c r="A944" s="4"/>
      <c r="B944" s="4"/>
      <c r="C944" s="4"/>
      <c r="D944" s="4"/>
      <c r="E944" s="5"/>
      <c r="F944" s="4"/>
      <c r="G944" s="4"/>
      <c r="H944" s="33"/>
      <c r="I944" s="4"/>
      <c r="J944" s="4"/>
      <c r="K944" s="4"/>
      <c r="L944" s="4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29"/>
      <c r="AJ944" s="29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</row>
    <row r="945">
      <c r="A945" s="4"/>
      <c r="B945" s="4"/>
      <c r="C945" s="4"/>
      <c r="D945" s="4"/>
      <c r="E945" s="5"/>
      <c r="F945" s="4"/>
      <c r="G945" s="4"/>
      <c r="H945" s="33"/>
      <c r="I945" s="4"/>
      <c r="J945" s="4"/>
      <c r="K945" s="4"/>
      <c r="L945" s="4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29"/>
      <c r="AJ945" s="29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</row>
    <row r="946">
      <c r="A946" s="4"/>
      <c r="B946" s="4"/>
      <c r="C946" s="4"/>
      <c r="D946" s="4"/>
      <c r="E946" s="5"/>
      <c r="F946" s="4"/>
      <c r="G946" s="4"/>
      <c r="H946" s="33"/>
      <c r="I946" s="4"/>
      <c r="J946" s="4"/>
      <c r="K946" s="4"/>
      <c r="L946" s="4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29"/>
      <c r="AJ946" s="29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</row>
    <row r="947">
      <c r="A947" s="4"/>
      <c r="B947" s="4"/>
      <c r="C947" s="4"/>
      <c r="D947" s="4"/>
      <c r="E947" s="5"/>
      <c r="F947" s="4"/>
      <c r="G947" s="4"/>
      <c r="H947" s="33"/>
      <c r="I947" s="4"/>
      <c r="J947" s="4"/>
      <c r="K947" s="4"/>
      <c r="L947" s="4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29"/>
      <c r="AJ947" s="29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</row>
    <row r="948">
      <c r="A948" s="4"/>
      <c r="B948" s="4"/>
      <c r="C948" s="4"/>
      <c r="D948" s="4"/>
      <c r="E948" s="5"/>
      <c r="F948" s="4"/>
      <c r="G948" s="4"/>
      <c r="H948" s="33"/>
      <c r="I948" s="4"/>
      <c r="J948" s="4"/>
      <c r="K948" s="4"/>
      <c r="L948" s="4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29"/>
      <c r="AJ948" s="29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</row>
    <row r="949">
      <c r="A949" s="4"/>
      <c r="B949" s="4"/>
      <c r="C949" s="4"/>
      <c r="D949" s="4"/>
      <c r="E949" s="5"/>
      <c r="F949" s="4"/>
      <c r="G949" s="4"/>
      <c r="H949" s="33"/>
      <c r="I949" s="4"/>
      <c r="J949" s="4"/>
      <c r="K949" s="4"/>
      <c r="L949" s="4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29"/>
      <c r="AJ949" s="29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</row>
    <row r="950">
      <c r="A950" s="4"/>
      <c r="B950" s="4"/>
      <c r="C950" s="4"/>
      <c r="D950" s="4"/>
      <c r="E950" s="5"/>
      <c r="F950" s="4"/>
      <c r="G950" s="4"/>
      <c r="H950" s="33"/>
      <c r="I950" s="4"/>
      <c r="J950" s="4"/>
      <c r="K950" s="4"/>
      <c r="L950" s="4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29"/>
      <c r="AJ950" s="29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</row>
    <row r="951">
      <c r="A951" s="4"/>
      <c r="B951" s="4"/>
      <c r="C951" s="4"/>
      <c r="D951" s="4"/>
      <c r="E951" s="5"/>
      <c r="F951" s="4"/>
      <c r="G951" s="4"/>
      <c r="H951" s="33"/>
      <c r="I951" s="4"/>
      <c r="J951" s="4"/>
      <c r="K951" s="4"/>
      <c r="L951" s="4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29"/>
      <c r="AJ951" s="29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</row>
    <row r="952">
      <c r="A952" s="4"/>
      <c r="B952" s="4"/>
      <c r="C952" s="4"/>
      <c r="D952" s="4"/>
      <c r="E952" s="5"/>
      <c r="F952" s="4"/>
      <c r="G952" s="4"/>
      <c r="H952" s="33"/>
      <c r="I952" s="4"/>
      <c r="J952" s="4"/>
      <c r="K952" s="4"/>
      <c r="L952" s="4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29"/>
      <c r="AJ952" s="29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</row>
    <row r="953">
      <c r="A953" s="4"/>
      <c r="B953" s="4"/>
      <c r="C953" s="4"/>
      <c r="D953" s="4"/>
      <c r="E953" s="5"/>
      <c r="F953" s="4"/>
      <c r="G953" s="4"/>
      <c r="H953" s="33"/>
      <c r="I953" s="4"/>
      <c r="J953" s="4"/>
      <c r="K953" s="4"/>
      <c r="L953" s="4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29"/>
      <c r="AJ953" s="29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</row>
    <row r="954">
      <c r="A954" s="4"/>
      <c r="B954" s="4"/>
      <c r="C954" s="4"/>
      <c r="D954" s="4"/>
      <c r="E954" s="5"/>
      <c r="F954" s="4"/>
      <c r="G954" s="4"/>
      <c r="H954" s="33"/>
      <c r="I954" s="4"/>
      <c r="J954" s="4"/>
      <c r="K954" s="4"/>
      <c r="L954" s="4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29"/>
      <c r="AJ954" s="29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</row>
    <row r="955">
      <c r="A955" s="4"/>
      <c r="B955" s="4"/>
      <c r="C955" s="4"/>
      <c r="D955" s="4"/>
      <c r="E955" s="5"/>
      <c r="F955" s="4"/>
      <c r="G955" s="4"/>
      <c r="H955" s="33"/>
      <c r="I955" s="4"/>
      <c r="J955" s="4"/>
      <c r="K955" s="4"/>
      <c r="L955" s="4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29"/>
      <c r="AJ955" s="29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</row>
    <row r="956">
      <c r="A956" s="4"/>
      <c r="B956" s="4"/>
      <c r="C956" s="4"/>
      <c r="D956" s="4"/>
      <c r="E956" s="5"/>
      <c r="F956" s="4"/>
      <c r="G956" s="4"/>
      <c r="H956" s="33"/>
      <c r="I956" s="4"/>
      <c r="J956" s="4"/>
      <c r="K956" s="4"/>
      <c r="L956" s="4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29"/>
      <c r="AJ956" s="29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</row>
    <row r="957">
      <c r="A957" s="4"/>
      <c r="B957" s="4"/>
      <c r="C957" s="4"/>
      <c r="D957" s="4"/>
      <c r="E957" s="5"/>
      <c r="F957" s="4"/>
      <c r="G957" s="4"/>
      <c r="H957" s="33"/>
      <c r="I957" s="4"/>
      <c r="J957" s="4"/>
      <c r="K957" s="4"/>
      <c r="L957" s="4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29"/>
      <c r="AJ957" s="29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</row>
    <row r="958">
      <c r="A958" s="4"/>
      <c r="B958" s="4"/>
      <c r="C958" s="4"/>
      <c r="D958" s="4"/>
      <c r="E958" s="5"/>
      <c r="F958" s="4"/>
      <c r="G958" s="4"/>
      <c r="H958" s="33"/>
      <c r="I958" s="4"/>
      <c r="J958" s="4"/>
      <c r="K958" s="4"/>
      <c r="L958" s="4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29"/>
      <c r="AJ958" s="29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</row>
    <row r="959">
      <c r="A959" s="4"/>
      <c r="B959" s="4"/>
      <c r="C959" s="4"/>
      <c r="D959" s="4"/>
      <c r="E959" s="5"/>
      <c r="F959" s="4"/>
      <c r="G959" s="4"/>
      <c r="H959" s="33"/>
      <c r="I959" s="4"/>
      <c r="J959" s="4"/>
      <c r="K959" s="4"/>
      <c r="L959" s="4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29"/>
      <c r="AJ959" s="29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</row>
    <row r="960">
      <c r="A960" s="4"/>
      <c r="B960" s="4"/>
      <c r="C960" s="4"/>
      <c r="D960" s="4"/>
      <c r="E960" s="5"/>
      <c r="F960" s="4"/>
      <c r="G960" s="4"/>
      <c r="H960" s="33"/>
      <c r="I960" s="4"/>
      <c r="J960" s="4"/>
      <c r="K960" s="4"/>
      <c r="L960" s="4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29"/>
      <c r="AJ960" s="29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</row>
    <row r="961">
      <c r="A961" s="4"/>
      <c r="B961" s="4"/>
      <c r="C961" s="4"/>
      <c r="D961" s="4"/>
      <c r="E961" s="5"/>
      <c r="F961" s="4"/>
      <c r="G961" s="4"/>
      <c r="H961" s="33"/>
      <c r="I961" s="4"/>
      <c r="J961" s="4"/>
      <c r="K961" s="4"/>
      <c r="L961" s="4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29"/>
      <c r="AJ961" s="29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</row>
    <row r="962">
      <c r="A962" s="4"/>
      <c r="B962" s="4"/>
      <c r="C962" s="4"/>
      <c r="D962" s="4"/>
      <c r="E962" s="5"/>
      <c r="F962" s="4"/>
      <c r="G962" s="4"/>
      <c r="H962" s="33"/>
      <c r="I962" s="4"/>
      <c r="J962" s="4"/>
      <c r="K962" s="4"/>
      <c r="L962" s="4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29"/>
      <c r="AJ962" s="29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</row>
    <row r="963">
      <c r="A963" s="4"/>
      <c r="B963" s="4"/>
      <c r="C963" s="4"/>
      <c r="D963" s="4"/>
      <c r="E963" s="5"/>
      <c r="F963" s="4"/>
      <c r="G963" s="4"/>
      <c r="H963" s="33"/>
      <c r="I963" s="4"/>
      <c r="J963" s="4"/>
      <c r="K963" s="4"/>
      <c r="L963" s="4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29"/>
      <c r="AJ963" s="29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</row>
    <row r="964">
      <c r="A964" s="4"/>
      <c r="B964" s="4"/>
      <c r="C964" s="4"/>
      <c r="D964" s="4"/>
      <c r="E964" s="5"/>
      <c r="F964" s="4"/>
      <c r="G964" s="4"/>
      <c r="H964" s="33"/>
      <c r="I964" s="4"/>
      <c r="J964" s="4"/>
      <c r="K964" s="4"/>
      <c r="L964" s="4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29"/>
      <c r="AJ964" s="29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</row>
    <row r="965">
      <c r="A965" s="4"/>
      <c r="B965" s="4"/>
      <c r="C965" s="4"/>
      <c r="D965" s="4"/>
      <c r="E965" s="5"/>
      <c r="F965" s="4"/>
      <c r="G965" s="4"/>
      <c r="H965" s="33"/>
      <c r="I965" s="4"/>
      <c r="J965" s="4"/>
      <c r="K965" s="4"/>
      <c r="L965" s="4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29"/>
      <c r="AJ965" s="29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</row>
    <row r="966">
      <c r="A966" s="4"/>
      <c r="B966" s="4"/>
      <c r="C966" s="4"/>
      <c r="D966" s="4"/>
      <c r="E966" s="5"/>
      <c r="F966" s="4"/>
      <c r="G966" s="4"/>
      <c r="H966" s="33"/>
      <c r="I966" s="4"/>
      <c r="J966" s="4"/>
      <c r="K966" s="4"/>
      <c r="L966" s="4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29"/>
      <c r="AJ966" s="29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</row>
    <row r="967">
      <c r="A967" s="4"/>
      <c r="B967" s="4"/>
      <c r="C967" s="4"/>
      <c r="D967" s="4"/>
      <c r="E967" s="5"/>
      <c r="F967" s="4"/>
      <c r="G967" s="4"/>
      <c r="H967" s="33"/>
      <c r="I967" s="4"/>
      <c r="J967" s="4"/>
      <c r="K967" s="4"/>
      <c r="L967" s="4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29"/>
      <c r="AJ967" s="29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</row>
    <row r="968">
      <c r="A968" s="4"/>
      <c r="B968" s="4"/>
      <c r="C968" s="4"/>
      <c r="D968" s="4"/>
      <c r="E968" s="5"/>
      <c r="F968" s="4"/>
      <c r="G968" s="4"/>
      <c r="H968" s="33"/>
      <c r="I968" s="4"/>
      <c r="J968" s="4"/>
      <c r="K968" s="4"/>
      <c r="L968" s="4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29"/>
      <c r="AJ968" s="29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</row>
    <row r="969">
      <c r="A969" s="4"/>
      <c r="B969" s="4"/>
      <c r="C969" s="4"/>
      <c r="D969" s="4"/>
      <c r="E969" s="5"/>
      <c r="F969" s="4"/>
      <c r="G969" s="4"/>
      <c r="H969" s="33"/>
      <c r="I969" s="4"/>
      <c r="J969" s="4"/>
      <c r="K969" s="4"/>
      <c r="L969" s="4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29"/>
      <c r="AJ969" s="29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</row>
    <row r="970">
      <c r="A970" s="4"/>
      <c r="B970" s="4"/>
      <c r="C970" s="4"/>
      <c r="D970" s="4"/>
      <c r="E970" s="5"/>
      <c r="F970" s="4"/>
      <c r="G970" s="4"/>
      <c r="H970" s="33"/>
      <c r="I970" s="4"/>
      <c r="J970" s="4"/>
      <c r="K970" s="4"/>
      <c r="L970" s="4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29"/>
      <c r="AJ970" s="29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</row>
    <row r="971">
      <c r="A971" s="4"/>
      <c r="B971" s="4"/>
      <c r="C971" s="4"/>
      <c r="D971" s="4"/>
      <c r="E971" s="5"/>
      <c r="F971" s="4"/>
      <c r="G971" s="4"/>
      <c r="H971" s="33"/>
      <c r="I971" s="4"/>
      <c r="J971" s="4"/>
      <c r="K971" s="4"/>
      <c r="L971" s="4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29"/>
      <c r="AJ971" s="29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</row>
    <row r="972">
      <c r="A972" s="4"/>
      <c r="B972" s="4"/>
      <c r="C972" s="4"/>
      <c r="D972" s="4"/>
      <c r="E972" s="5"/>
      <c r="F972" s="4"/>
      <c r="G972" s="4"/>
      <c r="H972" s="33"/>
      <c r="I972" s="4"/>
      <c r="J972" s="4"/>
      <c r="K972" s="4"/>
      <c r="L972" s="4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29"/>
      <c r="AJ972" s="29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</row>
    <row r="973">
      <c r="A973" s="4"/>
      <c r="B973" s="4"/>
      <c r="C973" s="4"/>
      <c r="D973" s="4"/>
      <c r="E973" s="5"/>
      <c r="F973" s="4"/>
      <c r="G973" s="4"/>
      <c r="H973" s="33"/>
      <c r="I973" s="4"/>
      <c r="J973" s="4"/>
      <c r="K973" s="4"/>
      <c r="L973" s="4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29"/>
      <c r="AJ973" s="29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</row>
    <row r="974">
      <c r="A974" s="4"/>
      <c r="B974" s="4"/>
      <c r="C974" s="4"/>
      <c r="D974" s="4"/>
      <c r="E974" s="5"/>
      <c r="F974" s="4"/>
      <c r="G974" s="4"/>
      <c r="H974" s="33"/>
      <c r="I974" s="4"/>
      <c r="J974" s="4"/>
      <c r="K974" s="4"/>
      <c r="L974" s="4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29"/>
      <c r="AJ974" s="29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</row>
    <row r="975">
      <c r="A975" s="4"/>
      <c r="B975" s="4"/>
      <c r="C975" s="4"/>
      <c r="D975" s="4"/>
      <c r="E975" s="5"/>
      <c r="F975" s="4"/>
      <c r="G975" s="4"/>
      <c r="H975" s="33"/>
      <c r="I975" s="4"/>
      <c r="J975" s="4"/>
      <c r="K975" s="4"/>
      <c r="L975" s="4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29"/>
      <c r="AJ975" s="29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</row>
    <row r="976">
      <c r="A976" s="4"/>
      <c r="B976" s="4"/>
      <c r="C976" s="4"/>
      <c r="D976" s="4"/>
      <c r="E976" s="5"/>
      <c r="F976" s="4"/>
      <c r="G976" s="4"/>
      <c r="H976" s="33"/>
      <c r="I976" s="4"/>
      <c r="J976" s="4"/>
      <c r="K976" s="4"/>
      <c r="L976" s="4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29"/>
      <c r="AJ976" s="29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</row>
    <row r="977">
      <c r="A977" s="4"/>
      <c r="B977" s="4"/>
      <c r="C977" s="4"/>
      <c r="D977" s="4"/>
      <c r="E977" s="5"/>
      <c r="F977" s="4"/>
      <c r="G977" s="4"/>
      <c r="H977" s="33"/>
      <c r="I977" s="4"/>
      <c r="J977" s="4"/>
      <c r="K977" s="4"/>
      <c r="L977" s="4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29"/>
      <c r="AJ977" s="29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</row>
    <row r="978">
      <c r="A978" s="4"/>
      <c r="B978" s="4"/>
      <c r="C978" s="4"/>
      <c r="D978" s="4"/>
      <c r="E978" s="5"/>
      <c r="F978" s="4"/>
      <c r="G978" s="4"/>
      <c r="H978" s="33"/>
      <c r="I978" s="4"/>
      <c r="J978" s="4"/>
      <c r="K978" s="4"/>
      <c r="L978" s="4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29"/>
      <c r="AJ978" s="29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</row>
    <row r="979">
      <c r="A979" s="4"/>
      <c r="B979" s="4"/>
      <c r="C979" s="4"/>
      <c r="D979" s="4"/>
      <c r="E979" s="5"/>
      <c r="F979" s="4"/>
      <c r="G979" s="4"/>
      <c r="H979" s="33"/>
      <c r="I979" s="4"/>
      <c r="J979" s="4"/>
      <c r="K979" s="4"/>
      <c r="L979" s="4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29"/>
      <c r="AJ979" s="29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</row>
    <row r="980">
      <c r="A980" s="4"/>
      <c r="B980" s="4"/>
      <c r="C980" s="4"/>
      <c r="D980" s="4"/>
      <c r="E980" s="5"/>
      <c r="F980" s="4"/>
      <c r="G980" s="4"/>
      <c r="H980" s="33"/>
      <c r="I980" s="4"/>
      <c r="J980" s="4"/>
      <c r="K980" s="4"/>
      <c r="L980" s="4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29"/>
      <c r="AJ980" s="29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</row>
    <row r="981">
      <c r="A981" s="4"/>
      <c r="B981" s="4"/>
      <c r="C981" s="4"/>
      <c r="D981" s="4"/>
      <c r="E981" s="5"/>
      <c r="F981" s="4"/>
      <c r="G981" s="4"/>
      <c r="H981" s="33"/>
      <c r="I981" s="4"/>
      <c r="J981" s="4"/>
      <c r="K981" s="4"/>
      <c r="L981" s="4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29"/>
      <c r="AJ981" s="29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</row>
    <row r="982">
      <c r="A982" s="4"/>
      <c r="B982" s="4"/>
      <c r="C982" s="4"/>
      <c r="D982" s="4"/>
      <c r="E982" s="5"/>
      <c r="F982" s="4"/>
      <c r="G982" s="4"/>
      <c r="H982" s="33"/>
      <c r="I982" s="4"/>
      <c r="J982" s="4"/>
      <c r="K982" s="4"/>
      <c r="L982" s="4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29"/>
      <c r="AJ982" s="29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</row>
    <row r="983">
      <c r="A983" s="4"/>
      <c r="B983" s="4"/>
      <c r="C983" s="4"/>
      <c r="D983" s="4"/>
      <c r="E983" s="5"/>
      <c r="F983" s="4"/>
      <c r="G983" s="4"/>
      <c r="H983" s="33"/>
      <c r="I983" s="4"/>
      <c r="J983" s="4"/>
      <c r="K983" s="4"/>
      <c r="L983" s="4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29"/>
      <c r="AJ983" s="29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</row>
    <row r="984">
      <c r="A984" s="4"/>
      <c r="B984" s="4"/>
      <c r="C984" s="4"/>
      <c r="D984" s="4"/>
      <c r="E984" s="5"/>
      <c r="F984" s="4"/>
      <c r="G984" s="4"/>
      <c r="H984" s="33"/>
      <c r="I984" s="4"/>
      <c r="J984" s="4"/>
      <c r="K984" s="4"/>
      <c r="L984" s="4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29"/>
      <c r="AJ984" s="29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</row>
    <row r="985">
      <c r="A985" s="4"/>
      <c r="B985" s="4"/>
      <c r="C985" s="4"/>
      <c r="D985" s="4"/>
      <c r="E985" s="5"/>
      <c r="F985" s="4"/>
      <c r="G985" s="4"/>
      <c r="H985" s="33"/>
      <c r="I985" s="4"/>
      <c r="J985" s="4"/>
      <c r="K985" s="4"/>
      <c r="L985" s="4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29"/>
      <c r="AJ985" s="29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</row>
    <row r="986">
      <c r="A986" s="4"/>
      <c r="B986" s="4"/>
      <c r="C986" s="4"/>
      <c r="D986" s="4"/>
      <c r="E986" s="5"/>
      <c r="F986" s="4"/>
      <c r="G986" s="4"/>
      <c r="H986" s="33"/>
      <c r="I986" s="4"/>
      <c r="J986" s="4"/>
      <c r="K986" s="4"/>
      <c r="L986" s="4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29"/>
      <c r="AJ986" s="29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</row>
    <row r="987">
      <c r="A987" s="4"/>
      <c r="B987" s="4"/>
      <c r="C987" s="4"/>
      <c r="D987" s="4"/>
      <c r="E987" s="5"/>
      <c r="F987" s="4"/>
      <c r="G987" s="4"/>
      <c r="H987" s="33"/>
      <c r="I987" s="4"/>
      <c r="J987" s="4"/>
      <c r="K987" s="4"/>
      <c r="L987" s="4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29"/>
      <c r="AJ987" s="29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</row>
    <row r="988">
      <c r="A988" s="4"/>
      <c r="B988" s="4"/>
      <c r="C988" s="4"/>
      <c r="D988" s="4"/>
      <c r="E988" s="5"/>
      <c r="F988" s="4"/>
      <c r="G988" s="4"/>
      <c r="H988" s="33"/>
      <c r="I988" s="4"/>
      <c r="J988" s="4"/>
      <c r="K988" s="4"/>
      <c r="L988" s="4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29"/>
      <c r="AJ988" s="29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</row>
    <row r="989">
      <c r="A989" s="4"/>
      <c r="B989" s="4"/>
      <c r="C989" s="4"/>
      <c r="D989" s="4"/>
      <c r="E989" s="5"/>
      <c r="F989" s="4"/>
      <c r="G989" s="4"/>
      <c r="H989" s="33"/>
      <c r="I989" s="4"/>
      <c r="J989" s="4"/>
      <c r="K989" s="4"/>
      <c r="L989" s="4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29"/>
      <c r="AJ989" s="29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</row>
    <row r="990">
      <c r="A990" s="4"/>
      <c r="B990" s="4"/>
      <c r="C990" s="4"/>
      <c r="D990" s="4"/>
      <c r="E990" s="5"/>
      <c r="F990" s="4"/>
      <c r="G990" s="4"/>
      <c r="H990" s="33"/>
      <c r="I990" s="4"/>
      <c r="J990" s="4"/>
      <c r="K990" s="4"/>
      <c r="L990" s="4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29"/>
      <c r="AJ990" s="29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</row>
    <row r="991">
      <c r="A991" s="4"/>
      <c r="B991" s="4"/>
      <c r="C991" s="4"/>
      <c r="D991" s="4"/>
      <c r="E991" s="5"/>
      <c r="F991" s="4"/>
      <c r="G991" s="4"/>
      <c r="H991" s="33"/>
      <c r="I991" s="4"/>
      <c r="J991" s="4"/>
      <c r="K991" s="4"/>
      <c r="L991" s="4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29"/>
      <c r="AJ991" s="29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</row>
    <row r="992">
      <c r="A992" s="4"/>
      <c r="B992" s="4"/>
      <c r="C992" s="4"/>
      <c r="D992" s="4"/>
      <c r="E992" s="5"/>
      <c r="F992" s="4"/>
      <c r="G992" s="4"/>
      <c r="H992" s="33"/>
      <c r="I992" s="4"/>
      <c r="J992" s="4"/>
      <c r="K992" s="4"/>
      <c r="L992" s="4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29"/>
      <c r="AJ992" s="29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</row>
    <row r="993">
      <c r="A993" s="4"/>
      <c r="B993" s="4"/>
      <c r="C993" s="4"/>
      <c r="D993" s="4"/>
      <c r="E993" s="5"/>
      <c r="F993" s="4"/>
      <c r="G993" s="4"/>
      <c r="H993" s="33"/>
      <c r="I993" s="4"/>
      <c r="J993" s="4"/>
      <c r="K993" s="4"/>
      <c r="L993" s="4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29"/>
      <c r="AJ993" s="29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</row>
    <row r="994">
      <c r="A994" s="4"/>
      <c r="B994" s="4"/>
      <c r="C994" s="4"/>
      <c r="D994" s="4"/>
      <c r="E994" s="5"/>
      <c r="F994" s="4"/>
      <c r="G994" s="4"/>
      <c r="H994" s="33"/>
      <c r="I994" s="4"/>
      <c r="J994" s="4"/>
      <c r="K994" s="4"/>
      <c r="L994" s="4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29"/>
      <c r="AJ994" s="29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</row>
    <row r="995">
      <c r="A995" s="4"/>
      <c r="B995" s="4"/>
      <c r="C995" s="4"/>
      <c r="D995" s="4"/>
      <c r="E995" s="5"/>
      <c r="F995" s="4"/>
      <c r="G995" s="4"/>
      <c r="H995" s="33"/>
      <c r="I995" s="4"/>
      <c r="J995" s="4"/>
      <c r="K995" s="4"/>
      <c r="L995" s="4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29"/>
      <c r="AJ995" s="29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</row>
    <row r="996">
      <c r="A996" s="4"/>
      <c r="B996" s="4"/>
      <c r="C996" s="4"/>
      <c r="D996" s="4"/>
      <c r="E996" s="5"/>
      <c r="F996" s="4"/>
      <c r="G996" s="4"/>
      <c r="H996" s="33"/>
      <c r="I996" s="4"/>
      <c r="J996" s="4"/>
      <c r="K996" s="4"/>
      <c r="L996" s="4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29"/>
      <c r="AJ996" s="29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</row>
    <row r="997">
      <c r="A997" s="4"/>
      <c r="B997" s="4"/>
      <c r="C997" s="4"/>
      <c r="D997" s="4"/>
      <c r="E997" s="5"/>
      <c r="F997" s="4"/>
      <c r="G997" s="4"/>
      <c r="H997" s="33"/>
      <c r="I997" s="4"/>
      <c r="J997" s="4"/>
      <c r="K997" s="4"/>
      <c r="L997" s="4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29"/>
      <c r="AJ997" s="29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</row>
    <row r="998">
      <c r="A998" s="4"/>
      <c r="B998" s="4"/>
      <c r="C998" s="4"/>
      <c r="D998" s="4"/>
      <c r="E998" s="5"/>
      <c r="F998" s="4"/>
      <c r="G998" s="4"/>
      <c r="H998" s="33"/>
      <c r="I998" s="4"/>
      <c r="J998" s="4"/>
      <c r="K998" s="4"/>
      <c r="L998" s="4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29"/>
      <c r="AJ998" s="29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</row>
    <row r="999">
      <c r="A999" s="4"/>
      <c r="B999" s="4"/>
      <c r="C999" s="4"/>
      <c r="D999" s="4"/>
      <c r="E999" s="5"/>
      <c r="F999" s="4"/>
      <c r="G999" s="4"/>
      <c r="H999" s="33"/>
      <c r="I999" s="4"/>
      <c r="J999" s="4"/>
      <c r="K999" s="4"/>
      <c r="L999" s="4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29"/>
      <c r="AJ999" s="29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</row>
    <row r="1000">
      <c r="A1000" s="4"/>
      <c r="B1000" s="4"/>
      <c r="C1000" s="4"/>
      <c r="D1000" s="4"/>
      <c r="E1000" s="5"/>
      <c r="F1000" s="4"/>
      <c r="G1000" s="4"/>
      <c r="H1000" s="33"/>
      <c r="I1000" s="4"/>
      <c r="J1000" s="4"/>
      <c r="K1000" s="4"/>
      <c r="L1000" s="4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29"/>
      <c r="AJ1000" s="29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</row>
    <row r="1001">
      <c r="A1001" s="4"/>
      <c r="B1001" s="4"/>
      <c r="C1001" s="4"/>
      <c r="D1001" s="4"/>
      <c r="E1001" s="5"/>
      <c r="F1001" s="4"/>
      <c r="G1001" s="4"/>
      <c r="H1001" s="33"/>
      <c r="I1001" s="4"/>
      <c r="J1001" s="4"/>
      <c r="K1001" s="4"/>
      <c r="L1001" s="4"/>
      <c r="M1001" s="5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29"/>
      <c r="AJ1001" s="29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</row>
    <row r="1002">
      <c r="A1002" s="4"/>
      <c r="B1002" s="4"/>
      <c r="C1002" s="4"/>
      <c r="D1002" s="4"/>
      <c r="E1002" s="5"/>
      <c r="F1002" s="4"/>
      <c r="G1002" s="4"/>
      <c r="H1002" s="33"/>
      <c r="I1002" s="4"/>
      <c r="J1002" s="4"/>
      <c r="K1002" s="4"/>
      <c r="L1002" s="4"/>
      <c r="M1002" s="5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29"/>
      <c r="AJ1002" s="29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</row>
    <row r="1003">
      <c r="A1003" s="4"/>
      <c r="B1003" s="4"/>
      <c r="C1003" s="4"/>
      <c r="D1003" s="4"/>
      <c r="E1003" s="5"/>
      <c r="F1003" s="4"/>
      <c r="G1003" s="4"/>
      <c r="H1003" s="33"/>
      <c r="I1003" s="4"/>
      <c r="J1003" s="4"/>
      <c r="K1003" s="4"/>
      <c r="L1003" s="4"/>
      <c r="M1003" s="5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29"/>
      <c r="AJ1003" s="29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</row>
    <row r="1004">
      <c r="A1004" s="4"/>
      <c r="B1004" s="4"/>
      <c r="C1004" s="4"/>
      <c r="D1004" s="4"/>
      <c r="E1004" s="5"/>
      <c r="F1004" s="4"/>
      <c r="G1004" s="4"/>
      <c r="H1004" s="33"/>
      <c r="I1004" s="4"/>
      <c r="J1004" s="4"/>
      <c r="K1004" s="4"/>
      <c r="L1004" s="4"/>
      <c r="M1004" s="5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29"/>
      <c r="AJ1004" s="29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</row>
    <row r="1005">
      <c r="A1005" s="4"/>
      <c r="B1005" s="4"/>
      <c r="C1005" s="4"/>
      <c r="D1005" s="4"/>
      <c r="E1005" s="5"/>
      <c r="F1005" s="4"/>
      <c r="G1005" s="4"/>
      <c r="H1005" s="33"/>
      <c r="I1005" s="4"/>
      <c r="J1005" s="4"/>
      <c r="K1005" s="4"/>
      <c r="L1005" s="4"/>
      <c r="M1005" s="5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29"/>
      <c r="AJ1005" s="29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</row>
    <row r="1006">
      <c r="A1006" s="4"/>
      <c r="B1006" s="4"/>
      <c r="C1006" s="4"/>
      <c r="D1006" s="4"/>
      <c r="E1006" s="5"/>
      <c r="F1006" s="4"/>
      <c r="G1006" s="4"/>
      <c r="H1006" s="33"/>
      <c r="I1006" s="4"/>
      <c r="J1006" s="4"/>
      <c r="K1006" s="4"/>
      <c r="L1006" s="4"/>
      <c r="M1006" s="5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29"/>
      <c r="AJ1006" s="29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</row>
    <row r="1007">
      <c r="A1007" s="4"/>
      <c r="B1007" s="4"/>
      <c r="C1007" s="4"/>
      <c r="D1007" s="4"/>
      <c r="E1007" s="5"/>
      <c r="F1007" s="4"/>
      <c r="G1007" s="4"/>
      <c r="H1007" s="33"/>
      <c r="I1007" s="4"/>
      <c r="J1007" s="4"/>
      <c r="K1007" s="4"/>
      <c r="L1007" s="4"/>
      <c r="M1007" s="5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29"/>
      <c r="AJ1007" s="29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</row>
    <row r="1008">
      <c r="A1008" s="4"/>
      <c r="B1008" s="4"/>
      <c r="C1008" s="4"/>
      <c r="D1008" s="4"/>
      <c r="E1008" s="5"/>
      <c r="F1008" s="4"/>
      <c r="G1008" s="4"/>
      <c r="H1008" s="33"/>
      <c r="I1008" s="4"/>
      <c r="J1008" s="4"/>
      <c r="K1008" s="4"/>
      <c r="L1008" s="4"/>
      <c r="M1008" s="5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29"/>
      <c r="AJ1008" s="29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</row>
    <row r="1009">
      <c r="A1009" s="4"/>
      <c r="B1009" s="4"/>
      <c r="C1009" s="4"/>
      <c r="D1009" s="4"/>
      <c r="E1009" s="5"/>
      <c r="F1009" s="4"/>
      <c r="G1009" s="4"/>
      <c r="H1009" s="33"/>
      <c r="I1009" s="4"/>
      <c r="J1009" s="4"/>
      <c r="K1009" s="4"/>
      <c r="L1009" s="4"/>
      <c r="M1009" s="5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29"/>
      <c r="AJ1009" s="29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</row>
    <row r="1010">
      <c r="A1010" s="4"/>
      <c r="B1010" s="4"/>
      <c r="C1010" s="4"/>
      <c r="D1010" s="4"/>
      <c r="E1010" s="5"/>
      <c r="F1010" s="4"/>
      <c r="G1010" s="4"/>
      <c r="H1010" s="33"/>
      <c r="I1010" s="4"/>
      <c r="J1010" s="4"/>
      <c r="K1010" s="4"/>
      <c r="L1010" s="4"/>
      <c r="M1010" s="5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29"/>
      <c r="AJ1010" s="29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</row>
    <row r="1011">
      <c r="A1011" s="4"/>
      <c r="B1011" s="4"/>
      <c r="C1011" s="4"/>
      <c r="D1011" s="4"/>
      <c r="E1011" s="5"/>
      <c r="F1011" s="4"/>
      <c r="G1011" s="4"/>
      <c r="H1011" s="33"/>
      <c r="I1011" s="4"/>
      <c r="J1011" s="4"/>
      <c r="K1011" s="4"/>
      <c r="L1011" s="4"/>
      <c r="M1011" s="5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29"/>
      <c r="AJ1011" s="29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</row>
    <row r="1012">
      <c r="A1012" s="4"/>
      <c r="B1012" s="4"/>
      <c r="C1012" s="4"/>
      <c r="D1012" s="4"/>
      <c r="E1012" s="5"/>
      <c r="F1012" s="4"/>
      <c r="G1012" s="4"/>
      <c r="H1012" s="33"/>
      <c r="I1012" s="4"/>
      <c r="J1012" s="4"/>
      <c r="K1012" s="4"/>
      <c r="L1012" s="4"/>
      <c r="M1012" s="5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29"/>
      <c r="AJ1012" s="29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</row>
    <row r="1013">
      <c r="A1013" s="4"/>
      <c r="B1013" s="4"/>
      <c r="C1013" s="4"/>
      <c r="D1013" s="4"/>
      <c r="E1013" s="5"/>
      <c r="F1013" s="4"/>
      <c r="G1013" s="4"/>
      <c r="H1013" s="33"/>
      <c r="I1013" s="4"/>
      <c r="J1013" s="4"/>
      <c r="K1013" s="4"/>
      <c r="L1013" s="4"/>
      <c r="M1013" s="5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29"/>
      <c r="AJ1013" s="29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</row>
    <row r="1014">
      <c r="A1014" s="4"/>
      <c r="B1014" s="4"/>
      <c r="C1014" s="4"/>
      <c r="D1014" s="4"/>
      <c r="E1014" s="5"/>
      <c r="F1014" s="4"/>
      <c r="G1014" s="4"/>
      <c r="H1014" s="33"/>
      <c r="I1014" s="4"/>
      <c r="J1014" s="4"/>
      <c r="K1014" s="4"/>
      <c r="L1014" s="4"/>
      <c r="M1014" s="5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29"/>
      <c r="AJ1014" s="29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</row>
    <row r="1015">
      <c r="A1015" s="4"/>
      <c r="B1015" s="4"/>
      <c r="C1015" s="4"/>
      <c r="D1015" s="4"/>
      <c r="E1015" s="5"/>
      <c r="F1015" s="4"/>
      <c r="G1015" s="4"/>
      <c r="H1015" s="33"/>
      <c r="I1015" s="4"/>
      <c r="J1015" s="4"/>
      <c r="K1015" s="4"/>
      <c r="L1015" s="4"/>
      <c r="M1015" s="5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29"/>
      <c r="AJ1015" s="29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</row>
    <row r="1016">
      <c r="A1016" s="4"/>
      <c r="B1016" s="4"/>
      <c r="C1016" s="4"/>
      <c r="D1016" s="4"/>
      <c r="E1016" s="5"/>
      <c r="F1016" s="4"/>
      <c r="G1016" s="4"/>
      <c r="H1016" s="33"/>
      <c r="I1016" s="4"/>
      <c r="J1016" s="4"/>
      <c r="K1016" s="4"/>
      <c r="L1016" s="4"/>
      <c r="M1016" s="5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29"/>
      <c r="AJ1016" s="29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</row>
    <row r="1017">
      <c r="A1017" s="4"/>
      <c r="B1017" s="4"/>
      <c r="C1017" s="4"/>
      <c r="D1017" s="4"/>
      <c r="E1017" s="5"/>
      <c r="F1017" s="4"/>
      <c r="G1017" s="4"/>
      <c r="H1017" s="33"/>
      <c r="I1017" s="4"/>
      <c r="J1017" s="4"/>
      <c r="K1017" s="4"/>
      <c r="L1017" s="4"/>
      <c r="M1017" s="5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29"/>
      <c r="AJ1017" s="29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</row>
    <row r="1018">
      <c r="A1018" s="4"/>
      <c r="B1018" s="4"/>
      <c r="C1018" s="4"/>
      <c r="D1018" s="4"/>
      <c r="E1018" s="5"/>
      <c r="F1018" s="4"/>
      <c r="G1018" s="4"/>
      <c r="H1018" s="33"/>
      <c r="I1018" s="4"/>
      <c r="J1018" s="4"/>
      <c r="K1018" s="4"/>
      <c r="L1018" s="4"/>
      <c r="M1018" s="5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29"/>
      <c r="AJ1018" s="29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</row>
    <row r="1019">
      <c r="A1019" s="4"/>
      <c r="B1019" s="4"/>
      <c r="C1019" s="4"/>
      <c r="D1019" s="4"/>
      <c r="E1019" s="5"/>
      <c r="F1019" s="4"/>
      <c r="G1019" s="4"/>
      <c r="H1019" s="33"/>
      <c r="I1019" s="4"/>
      <c r="J1019" s="4"/>
      <c r="K1019" s="4"/>
      <c r="L1019" s="4"/>
      <c r="M1019" s="5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29"/>
      <c r="AJ1019" s="29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</row>
    <row r="1020">
      <c r="A1020" s="4"/>
      <c r="B1020" s="4"/>
      <c r="C1020" s="4"/>
      <c r="D1020" s="4"/>
      <c r="E1020" s="5"/>
      <c r="F1020" s="4"/>
      <c r="G1020" s="4"/>
      <c r="H1020" s="33"/>
      <c r="I1020" s="4"/>
      <c r="J1020" s="4"/>
      <c r="K1020" s="4"/>
      <c r="L1020" s="4"/>
      <c r="M1020" s="5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29"/>
      <c r="AJ1020" s="29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</row>
    <row r="1021">
      <c r="A1021" s="4"/>
      <c r="B1021" s="4"/>
      <c r="C1021" s="4"/>
      <c r="D1021" s="4"/>
      <c r="E1021" s="5"/>
      <c r="F1021" s="4"/>
      <c r="G1021" s="4"/>
      <c r="H1021" s="33"/>
      <c r="I1021" s="4"/>
      <c r="J1021" s="4"/>
      <c r="K1021" s="4"/>
      <c r="L1021" s="4"/>
      <c r="M1021" s="5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29"/>
      <c r="AJ1021" s="29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</row>
    <row r="1022">
      <c r="A1022" s="4"/>
      <c r="B1022" s="4"/>
      <c r="C1022" s="4"/>
      <c r="D1022" s="4"/>
      <c r="E1022" s="5"/>
      <c r="F1022" s="4"/>
      <c r="G1022" s="4"/>
      <c r="H1022" s="33"/>
      <c r="I1022" s="4"/>
      <c r="J1022" s="4"/>
      <c r="K1022" s="4"/>
      <c r="L1022" s="4"/>
      <c r="M1022" s="5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29"/>
      <c r="AJ1022" s="29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</row>
    <row r="1023">
      <c r="A1023" s="4"/>
      <c r="B1023" s="4"/>
      <c r="C1023" s="4"/>
      <c r="D1023" s="4"/>
      <c r="E1023" s="5"/>
      <c r="F1023" s="4"/>
      <c r="G1023" s="4"/>
      <c r="H1023" s="33"/>
      <c r="I1023" s="4"/>
      <c r="J1023" s="4"/>
      <c r="K1023" s="4"/>
      <c r="L1023" s="4"/>
      <c r="M1023" s="5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29"/>
      <c r="AJ1023" s="29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</row>
    <row r="1024">
      <c r="A1024" s="4"/>
      <c r="B1024" s="4"/>
      <c r="C1024" s="4"/>
      <c r="D1024" s="4"/>
      <c r="E1024" s="5"/>
      <c r="F1024" s="4"/>
      <c r="G1024" s="4"/>
      <c r="H1024" s="33"/>
      <c r="I1024" s="4"/>
      <c r="J1024" s="4"/>
      <c r="K1024" s="4"/>
      <c r="L1024" s="4"/>
      <c r="M1024" s="5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29"/>
      <c r="AJ1024" s="29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</row>
    <row r="1025">
      <c r="A1025" s="4"/>
      <c r="B1025" s="4"/>
      <c r="C1025" s="4"/>
      <c r="D1025" s="4"/>
      <c r="E1025" s="5"/>
      <c r="F1025" s="4"/>
      <c r="G1025" s="4"/>
      <c r="H1025" s="33"/>
      <c r="I1025" s="4"/>
      <c r="J1025" s="4"/>
      <c r="K1025" s="4"/>
      <c r="L1025" s="4"/>
      <c r="M1025" s="5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29"/>
      <c r="AJ1025" s="29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</row>
    <row r="1026">
      <c r="A1026" s="4"/>
      <c r="B1026" s="4"/>
      <c r="C1026" s="4"/>
      <c r="D1026" s="4"/>
      <c r="E1026" s="5"/>
      <c r="F1026" s="4"/>
      <c r="G1026" s="4"/>
      <c r="H1026" s="33"/>
      <c r="I1026" s="4"/>
      <c r="J1026" s="4"/>
      <c r="K1026" s="4"/>
      <c r="L1026" s="4"/>
      <c r="M1026" s="5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29"/>
      <c r="AJ1026" s="29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</row>
    <row r="1027">
      <c r="A1027" s="4"/>
      <c r="B1027" s="4"/>
      <c r="C1027" s="4"/>
      <c r="D1027" s="4"/>
      <c r="E1027" s="5"/>
      <c r="F1027" s="4"/>
      <c r="G1027" s="4"/>
      <c r="H1027" s="33"/>
      <c r="I1027" s="4"/>
      <c r="J1027" s="4"/>
      <c r="K1027" s="4"/>
      <c r="L1027" s="4"/>
      <c r="M1027" s="5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29"/>
      <c r="AJ1027" s="29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</row>
    <row r="1028">
      <c r="A1028" s="4"/>
      <c r="B1028" s="4"/>
      <c r="C1028" s="4"/>
      <c r="D1028" s="4"/>
      <c r="E1028" s="5"/>
      <c r="F1028" s="4"/>
      <c r="G1028" s="4"/>
      <c r="H1028" s="33"/>
      <c r="I1028" s="4"/>
      <c r="J1028" s="4"/>
      <c r="K1028" s="4"/>
      <c r="L1028" s="4"/>
      <c r="M1028" s="5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29"/>
      <c r="AJ1028" s="29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</row>
    <row r="1029">
      <c r="A1029" s="4"/>
      <c r="B1029" s="4"/>
      <c r="C1029" s="4"/>
      <c r="D1029" s="4"/>
      <c r="E1029" s="5"/>
      <c r="F1029" s="4"/>
      <c r="G1029" s="4"/>
      <c r="H1029" s="33"/>
      <c r="I1029" s="4"/>
      <c r="J1029" s="4"/>
      <c r="K1029" s="4"/>
      <c r="L1029" s="4"/>
      <c r="M1029" s="5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29"/>
      <c r="AJ1029" s="29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</row>
    <row r="1030">
      <c r="A1030" s="4"/>
      <c r="B1030" s="4"/>
      <c r="C1030" s="4"/>
      <c r="D1030" s="4"/>
      <c r="E1030" s="5"/>
      <c r="F1030" s="4"/>
      <c r="G1030" s="4"/>
      <c r="H1030" s="33"/>
      <c r="I1030" s="4"/>
      <c r="J1030" s="4"/>
      <c r="K1030" s="4"/>
      <c r="L1030" s="4"/>
      <c r="M1030" s="5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29"/>
      <c r="AJ1030" s="29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</row>
    <row r="1031">
      <c r="A1031" s="4"/>
      <c r="B1031" s="4"/>
      <c r="C1031" s="4"/>
      <c r="D1031" s="4"/>
      <c r="E1031" s="5"/>
      <c r="F1031" s="4"/>
      <c r="G1031" s="4"/>
      <c r="H1031" s="33"/>
      <c r="I1031" s="4"/>
      <c r="J1031" s="4"/>
      <c r="K1031" s="4"/>
      <c r="L1031" s="4"/>
      <c r="M1031" s="5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29"/>
      <c r="AJ1031" s="29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</row>
    <row r="1032">
      <c r="A1032" s="4"/>
      <c r="B1032" s="4"/>
      <c r="C1032" s="4"/>
      <c r="D1032" s="4"/>
      <c r="E1032" s="5"/>
      <c r="F1032" s="4"/>
      <c r="G1032" s="4"/>
      <c r="H1032" s="33"/>
      <c r="I1032" s="4"/>
      <c r="J1032" s="4"/>
      <c r="K1032" s="4"/>
      <c r="L1032" s="4"/>
      <c r="M1032" s="5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29"/>
      <c r="AJ1032" s="29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</row>
    <row r="1033">
      <c r="A1033" s="4"/>
      <c r="B1033" s="4"/>
      <c r="C1033" s="4"/>
      <c r="D1033" s="4"/>
      <c r="E1033" s="5"/>
      <c r="F1033" s="4"/>
      <c r="G1033" s="4"/>
      <c r="H1033" s="33"/>
      <c r="I1033" s="4"/>
      <c r="J1033" s="4"/>
      <c r="K1033" s="4"/>
      <c r="L1033" s="4"/>
      <c r="M1033" s="5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29"/>
      <c r="AJ1033" s="29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</row>
    <row r="1034">
      <c r="A1034" s="4"/>
      <c r="B1034" s="4"/>
      <c r="C1034" s="4"/>
      <c r="D1034" s="4"/>
      <c r="E1034" s="5"/>
      <c r="F1034" s="4"/>
      <c r="G1034" s="4"/>
      <c r="H1034" s="33"/>
      <c r="I1034" s="4"/>
      <c r="J1034" s="4"/>
      <c r="K1034" s="4"/>
      <c r="L1034" s="4"/>
      <c r="M1034" s="5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29"/>
      <c r="AJ1034" s="29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</row>
    <row r="1035">
      <c r="A1035" s="4"/>
      <c r="B1035" s="4"/>
      <c r="C1035" s="4"/>
      <c r="D1035" s="4"/>
      <c r="E1035" s="5"/>
      <c r="F1035" s="4"/>
      <c r="G1035" s="4"/>
      <c r="H1035" s="33"/>
      <c r="I1035" s="4"/>
      <c r="J1035" s="4"/>
      <c r="K1035" s="4"/>
      <c r="L1035" s="4"/>
      <c r="M1035" s="5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29"/>
      <c r="AJ1035" s="29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</row>
    <row r="1036">
      <c r="A1036" s="4"/>
      <c r="B1036" s="4"/>
      <c r="C1036" s="4"/>
      <c r="D1036" s="4"/>
      <c r="E1036" s="5"/>
      <c r="F1036" s="4"/>
      <c r="G1036" s="4"/>
      <c r="H1036" s="33"/>
      <c r="I1036" s="4"/>
      <c r="J1036" s="4"/>
      <c r="K1036" s="4"/>
      <c r="L1036" s="4"/>
      <c r="M1036" s="5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29"/>
      <c r="AJ1036" s="29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</row>
    <row r="1037">
      <c r="A1037" s="4"/>
      <c r="B1037" s="4"/>
      <c r="C1037" s="4"/>
      <c r="D1037" s="4"/>
      <c r="E1037" s="5"/>
      <c r="F1037" s="4"/>
      <c r="G1037" s="4"/>
      <c r="H1037" s="33"/>
      <c r="I1037" s="4"/>
      <c r="J1037" s="4"/>
      <c r="K1037" s="4"/>
      <c r="L1037" s="4"/>
      <c r="M1037" s="5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29"/>
      <c r="AJ1037" s="29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</row>
    <row r="1038">
      <c r="A1038" s="4"/>
      <c r="B1038" s="4"/>
      <c r="C1038" s="4"/>
      <c r="D1038" s="4"/>
      <c r="E1038" s="5"/>
      <c r="F1038" s="4"/>
      <c r="G1038" s="4"/>
      <c r="H1038" s="33"/>
      <c r="I1038" s="4"/>
      <c r="J1038" s="4"/>
      <c r="K1038" s="4"/>
      <c r="L1038" s="4"/>
      <c r="M1038" s="5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29"/>
      <c r="AJ1038" s="29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</row>
    <row r="1039">
      <c r="A1039" s="4"/>
      <c r="B1039" s="4"/>
      <c r="C1039" s="4"/>
      <c r="D1039" s="4"/>
      <c r="E1039" s="5"/>
      <c r="F1039" s="4"/>
      <c r="G1039" s="4"/>
      <c r="H1039" s="33"/>
      <c r="I1039" s="4"/>
      <c r="J1039" s="4"/>
      <c r="K1039" s="4"/>
      <c r="L1039" s="4"/>
      <c r="M1039" s="5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29"/>
      <c r="AJ1039" s="29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</row>
    <row r="1040">
      <c r="A1040" s="4"/>
      <c r="B1040" s="4"/>
      <c r="C1040" s="4"/>
      <c r="D1040" s="4"/>
      <c r="E1040" s="5"/>
      <c r="F1040" s="4"/>
      <c r="G1040" s="4"/>
      <c r="H1040" s="33"/>
      <c r="I1040" s="4"/>
      <c r="J1040" s="4"/>
      <c r="K1040" s="4"/>
      <c r="L1040" s="4"/>
      <c r="M1040" s="5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29"/>
      <c r="AJ1040" s="29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</row>
    <row r="1041">
      <c r="A1041" s="4"/>
      <c r="B1041" s="4"/>
      <c r="C1041" s="4"/>
      <c r="D1041" s="4"/>
      <c r="E1041" s="5"/>
      <c r="F1041" s="4"/>
      <c r="G1041" s="4"/>
      <c r="H1041" s="33"/>
      <c r="I1041" s="4"/>
      <c r="J1041" s="4"/>
      <c r="K1041" s="4"/>
      <c r="L1041" s="4"/>
      <c r="M1041" s="5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29"/>
      <c r="AJ1041" s="29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</row>
    <row r="1042">
      <c r="A1042" s="4"/>
      <c r="B1042" s="4"/>
      <c r="C1042" s="4"/>
      <c r="D1042" s="4"/>
      <c r="E1042" s="5"/>
      <c r="F1042" s="4"/>
      <c r="G1042" s="4"/>
      <c r="H1042" s="33"/>
      <c r="I1042" s="4"/>
      <c r="J1042" s="4"/>
      <c r="K1042" s="4"/>
      <c r="L1042" s="4"/>
      <c r="M1042" s="5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29"/>
      <c r="AJ1042" s="29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</row>
    <row r="1043">
      <c r="A1043" s="4"/>
      <c r="B1043" s="4"/>
      <c r="C1043" s="4"/>
      <c r="D1043" s="4"/>
      <c r="E1043" s="5"/>
      <c r="F1043" s="4"/>
      <c r="G1043" s="4"/>
      <c r="H1043" s="33"/>
      <c r="I1043" s="4"/>
      <c r="J1043" s="4"/>
      <c r="K1043" s="4"/>
      <c r="L1043" s="4"/>
      <c r="M1043" s="5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29"/>
      <c r="AJ1043" s="29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</row>
    <row r="1044">
      <c r="A1044" s="4"/>
      <c r="B1044" s="4"/>
      <c r="C1044" s="4"/>
      <c r="D1044" s="4"/>
      <c r="E1044" s="5"/>
      <c r="F1044" s="4"/>
      <c r="G1044" s="4"/>
      <c r="H1044" s="33"/>
      <c r="I1044" s="4"/>
      <c r="J1044" s="4"/>
      <c r="K1044" s="4"/>
      <c r="L1044" s="4"/>
      <c r="M1044" s="5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29"/>
      <c r="AJ1044" s="29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</row>
    <row r="1045">
      <c r="A1045" s="4"/>
      <c r="B1045" s="4"/>
      <c r="C1045" s="4"/>
      <c r="D1045" s="4"/>
      <c r="E1045" s="5"/>
      <c r="F1045" s="4"/>
      <c r="G1045" s="4"/>
      <c r="H1045" s="33"/>
      <c r="I1045" s="4"/>
      <c r="J1045" s="4"/>
      <c r="K1045" s="4"/>
      <c r="L1045" s="4"/>
      <c r="M1045" s="5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29"/>
      <c r="AJ1045" s="29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</row>
    <row r="1046">
      <c r="A1046" s="4"/>
      <c r="B1046" s="4"/>
      <c r="C1046" s="4"/>
      <c r="D1046" s="4"/>
      <c r="E1046" s="5"/>
      <c r="F1046" s="4"/>
      <c r="G1046" s="4"/>
      <c r="H1046" s="33"/>
      <c r="I1046" s="4"/>
      <c r="J1046" s="4"/>
      <c r="K1046" s="4"/>
      <c r="L1046" s="4"/>
      <c r="M1046" s="5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29"/>
      <c r="AJ1046" s="29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</row>
    <row r="1047">
      <c r="A1047" s="4"/>
      <c r="B1047" s="4"/>
      <c r="C1047" s="4"/>
      <c r="D1047" s="4"/>
      <c r="E1047" s="5"/>
      <c r="F1047" s="4"/>
      <c r="G1047" s="4"/>
      <c r="H1047" s="33"/>
      <c r="I1047" s="4"/>
      <c r="J1047" s="4"/>
      <c r="K1047" s="4"/>
      <c r="L1047" s="4"/>
      <c r="M1047" s="5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29"/>
      <c r="AJ1047" s="29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</row>
    <row r="1048">
      <c r="A1048" s="4"/>
      <c r="B1048" s="4"/>
      <c r="C1048" s="4"/>
      <c r="D1048" s="4"/>
      <c r="E1048" s="5"/>
      <c r="F1048" s="4"/>
      <c r="G1048" s="4"/>
      <c r="H1048" s="33"/>
      <c r="I1048" s="4"/>
      <c r="J1048" s="4"/>
      <c r="K1048" s="4"/>
      <c r="L1048" s="4"/>
      <c r="M1048" s="5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29"/>
      <c r="AJ1048" s="29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</row>
    <row r="1049">
      <c r="A1049" s="4"/>
      <c r="B1049" s="4"/>
      <c r="C1049" s="4"/>
      <c r="D1049" s="4"/>
      <c r="E1049" s="5"/>
      <c r="F1049" s="4"/>
      <c r="G1049" s="4"/>
      <c r="H1049" s="33"/>
      <c r="I1049" s="4"/>
      <c r="J1049" s="4"/>
      <c r="K1049" s="4"/>
      <c r="L1049" s="4"/>
      <c r="M1049" s="5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29"/>
      <c r="AJ1049" s="29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</row>
    <row r="1050">
      <c r="A1050" s="4"/>
      <c r="B1050" s="4"/>
      <c r="C1050" s="4"/>
      <c r="D1050" s="4"/>
      <c r="E1050" s="5"/>
      <c r="F1050" s="4"/>
      <c r="G1050" s="4"/>
      <c r="H1050" s="33"/>
      <c r="I1050" s="4"/>
      <c r="J1050" s="4"/>
      <c r="K1050" s="4"/>
      <c r="L1050" s="4"/>
      <c r="M1050" s="5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29"/>
      <c r="AJ1050" s="29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</row>
    <row r="1051">
      <c r="A1051" s="4"/>
      <c r="B1051" s="4"/>
      <c r="C1051" s="4"/>
      <c r="D1051" s="4"/>
      <c r="E1051" s="5"/>
      <c r="F1051" s="4"/>
      <c r="G1051" s="4"/>
      <c r="H1051" s="33"/>
      <c r="I1051" s="4"/>
      <c r="J1051" s="4"/>
      <c r="K1051" s="4"/>
      <c r="L1051" s="4"/>
      <c r="M1051" s="5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29"/>
      <c r="AJ1051" s="29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</row>
    <row r="1052">
      <c r="A1052" s="4"/>
      <c r="B1052" s="4"/>
      <c r="C1052" s="4"/>
      <c r="D1052" s="4"/>
      <c r="E1052" s="5"/>
      <c r="F1052" s="4"/>
      <c r="G1052" s="4"/>
      <c r="H1052" s="33"/>
      <c r="I1052" s="4"/>
      <c r="J1052" s="4"/>
      <c r="K1052" s="4"/>
      <c r="L1052" s="4"/>
      <c r="M1052" s="5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29"/>
      <c r="AJ1052" s="29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</row>
    <row r="1053">
      <c r="A1053" s="4"/>
      <c r="B1053" s="4"/>
      <c r="C1053" s="4"/>
      <c r="D1053" s="4"/>
      <c r="E1053" s="5"/>
      <c r="F1053" s="4"/>
      <c r="G1053" s="4"/>
      <c r="H1053" s="33"/>
      <c r="I1053" s="4"/>
      <c r="J1053" s="4"/>
      <c r="K1053" s="4"/>
      <c r="L1053" s="4"/>
      <c r="M1053" s="5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29"/>
      <c r="AJ1053" s="29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</row>
    <row r="1054">
      <c r="A1054" s="4"/>
      <c r="B1054" s="4"/>
      <c r="C1054" s="4"/>
      <c r="D1054" s="4"/>
      <c r="E1054" s="5"/>
      <c r="F1054" s="4"/>
      <c r="G1054" s="4"/>
      <c r="H1054" s="33"/>
      <c r="I1054" s="4"/>
      <c r="J1054" s="4"/>
      <c r="K1054" s="4"/>
      <c r="L1054" s="4"/>
      <c r="M1054" s="5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29"/>
      <c r="AJ1054" s="29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</row>
    <row r="1055">
      <c r="A1055" s="4"/>
      <c r="B1055" s="4"/>
      <c r="C1055" s="4"/>
      <c r="D1055" s="4"/>
      <c r="E1055" s="5"/>
      <c r="F1055" s="4"/>
      <c r="G1055" s="4"/>
      <c r="H1055" s="33"/>
      <c r="I1055" s="4"/>
      <c r="J1055" s="4"/>
      <c r="K1055" s="4"/>
      <c r="L1055" s="4"/>
      <c r="M1055" s="5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29"/>
      <c r="AJ1055" s="29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</row>
    <row r="1056">
      <c r="A1056" s="4"/>
      <c r="B1056" s="4"/>
      <c r="C1056" s="4"/>
      <c r="D1056" s="4"/>
      <c r="E1056" s="5"/>
      <c r="F1056" s="4"/>
      <c r="G1056" s="4"/>
      <c r="H1056" s="33"/>
      <c r="I1056" s="4"/>
      <c r="J1056" s="4"/>
      <c r="K1056" s="4"/>
      <c r="L1056" s="4"/>
      <c r="M1056" s="5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29"/>
      <c r="AJ1056" s="29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</row>
    <row r="1057">
      <c r="A1057" s="4"/>
      <c r="B1057" s="4"/>
      <c r="C1057" s="4"/>
      <c r="D1057" s="4"/>
      <c r="E1057" s="5"/>
      <c r="F1057" s="4"/>
      <c r="G1057" s="4"/>
      <c r="H1057" s="33"/>
      <c r="I1057" s="4"/>
      <c r="J1057" s="4"/>
      <c r="K1057" s="4"/>
      <c r="L1057" s="4"/>
      <c r="M1057" s="5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29"/>
      <c r="AJ1057" s="29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</row>
    <row r="1058">
      <c r="A1058" s="4"/>
      <c r="B1058" s="4"/>
      <c r="C1058" s="4"/>
      <c r="D1058" s="4"/>
      <c r="E1058" s="5"/>
      <c r="F1058" s="4"/>
      <c r="G1058" s="4"/>
      <c r="H1058" s="33"/>
      <c r="I1058" s="4"/>
      <c r="J1058" s="4"/>
      <c r="K1058" s="4"/>
      <c r="L1058" s="4"/>
      <c r="M1058" s="5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29"/>
      <c r="AJ1058" s="29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</row>
    <row r="1059">
      <c r="A1059" s="4"/>
      <c r="B1059" s="4"/>
      <c r="C1059" s="4"/>
      <c r="D1059" s="4"/>
      <c r="E1059" s="5"/>
      <c r="F1059" s="4"/>
      <c r="G1059" s="4"/>
      <c r="H1059" s="33"/>
      <c r="I1059" s="4"/>
      <c r="J1059" s="4"/>
      <c r="K1059" s="4"/>
      <c r="L1059" s="4"/>
      <c r="M1059" s="5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29"/>
      <c r="AJ1059" s="29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</row>
    <row r="1060">
      <c r="A1060" s="4"/>
      <c r="B1060" s="4"/>
      <c r="C1060" s="4"/>
      <c r="D1060" s="4"/>
      <c r="E1060" s="5"/>
      <c r="F1060" s="4"/>
      <c r="G1060" s="4"/>
      <c r="H1060" s="33"/>
      <c r="I1060" s="4"/>
      <c r="J1060" s="4"/>
      <c r="K1060" s="4"/>
      <c r="L1060" s="4"/>
      <c r="M1060" s="5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29"/>
      <c r="AJ1060" s="29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</row>
    <row r="1061">
      <c r="A1061" s="4"/>
      <c r="B1061" s="4"/>
      <c r="C1061" s="4"/>
      <c r="D1061" s="4"/>
      <c r="E1061" s="5"/>
      <c r="F1061" s="4"/>
      <c r="G1061" s="4"/>
      <c r="H1061" s="33"/>
      <c r="I1061" s="4"/>
      <c r="J1061" s="4"/>
      <c r="K1061" s="4"/>
      <c r="L1061" s="4"/>
      <c r="M1061" s="5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29"/>
      <c r="AJ1061" s="29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</row>
    <row r="1062">
      <c r="A1062" s="4"/>
      <c r="B1062" s="4"/>
      <c r="C1062" s="4"/>
      <c r="D1062" s="4"/>
      <c r="E1062" s="5"/>
      <c r="F1062" s="4"/>
      <c r="G1062" s="4"/>
      <c r="H1062" s="33"/>
      <c r="I1062" s="4"/>
      <c r="J1062" s="4"/>
      <c r="K1062" s="4"/>
      <c r="L1062" s="4"/>
      <c r="M1062" s="5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29"/>
      <c r="AJ1062" s="29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</row>
    <row r="1063">
      <c r="A1063" s="4"/>
      <c r="B1063" s="4"/>
      <c r="C1063" s="4"/>
      <c r="D1063" s="4"/>
      <c r="E1063" s="5"/>
      <c r="F1063" s="4"/>
      <c r="G1063" s="4"/>
      <c r="H1063" s="33"/>
      <c r="I1063" s="4"/>
      <c r="J1063" s="4"/>
      <c r="K1063" s="4"/>
      <c r="L1063" s="4"/>
      <c r="M1063" s="5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29"/>
      <c r="AJ1063" s="29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</row>
    <row r="1064">
      <c r="A1064" s="4"/>
      <c r="B1064" s="4"/>
      <c r="C1064" s="4"/>
      <c r="D1064" s="4"/>
      <c r="E1064" s="5"/>
      <c r="F1064" s="4"/>
      <c r="G1064" s="4"/>
      <c r="H1064" s="33"/>
      <c r="I1064" s="4"/>
      <c r="J1064" s="4"/>
      <c r="K1064" s="4"/>
      <c r="L1064" s="4"/>
      <c r="M1064" s="5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29"/>
      <c r="AJ1064" s="29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</row>
    <row r="1065">
      <c r="A1065" s="4"/>
      <c r="B1065" s="4"/>
      <c r="C1065" s="4"/>
      <c r="D1065" s="4"/>
      <c r="E1065" s="5"/>
      <c r="F1065" s="4"/>
      <c r="G1065" s="4"/>
      <c r="H1065" s="33"/>
      <c r="I1065" s="4"/>
      <c r="J1065" s="4"/>
      <c r="K1065" s="4"/>
      <c r="L1065" s="4"/>
      <c r="M1065" s="5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29"/>
      <c r="AJ1065" s="29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</row>
    <row r="1066">
      <c r="A1066" s="4"/>
      <c r="B1066" s="4"/>
      <c r="C1066" s="4"/>
      <c r="D1066" s="4"/>
      <c r="E1066" s="5"/>
      <c r="F1066" s="4"/>
      <c r="G1066" s="4"/>
      <c r="H1066" s="33"/>
      <c r="I1066" s="4"/>
      <c r="J1066" s="4"/>
      <c r="K1066" s="4"/>
      <c r="L1066" s="4"/>
      <c r="M1066" s="5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29"/>
      <c r="AJ1066" s="29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</row>
    <row r="1067">
      <c r="A1067" s="4"/>
      <c r="B1067" s="4"/>
      <c r="C1067" s="4"/>
      <c r="D1067" s="4"/>
      <c r="E1067" s="5"/>
      <c r="F1067" s="4"/>
      <c r="G1067" s="4"/>
      <c r="H1067" s="33"/>
      <c r="I1067" s="4"/>
      <c r="J1067" s="4"/>
      <c r="K1067" s="4"/>
      <c r="L1067" s="4"/>
      <c r="M1067" s="5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29"/>
      <c r="AJ1067" s="29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</row>
    <row r="1068">
      <c r="A1068" s="4"/>
      <c r="B1068" s="4"/>
      <c r="C1068" s="4"/>
      <c r="D1068" s="4"/>
      <c r="E1068" s="5"/>
      <c r="F1068" s="4"/>
      <c r="G1068" s="4"/>
      <c r="H1068" s="33"/>
      <c r="I1068" s="4"/>
      <c r="J1068" s="4"/>
      <c r="K1068" s="4"/>
      <c r="L1068" s="4"/>
      <c r="M1068" s="5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29"/>
      <c r="AJ1068" s="29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</row>
    <row r="1069">
      <c r="A1069" s="4"/>
      <c r="B1069" s="4"/>
      <c r="C1069" s="4"/>
      <c r="D1069" s="4"/>
      <c r="E1069" s="5"/>
      <c r="F1069" s="4"/>
      <c r="G1069" s="4"/>
      <c r="H1069" s="33"/>
      <c r="I1069" s="4"/>
      <c r="J1069" s="4"/>
      <c r="K1069" s="4"/>
      <c r="L1069" s="4"/>
      <c r="M1069" s="5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29"/>
      <c r="AJ1069" s="29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</row>
    <row r="1070">
      <c r="A1070" s="4"/>
      <c r="B1070" s="4"/>
      <c r="C1070" s="4"/>
      <c r="D1070" s="4"/>
      <c r="E1070" s="5"/>
      <c r="F1070" s="4"/>
      <c r="G1070" s="4"/>
      <c r="H1070" s="33"/>
      <c r="I1070" s="4"/>
      <c r="J1070" s="4"/>
      <c r="K1070" s="4"/>
      <c r="L1070" s="4"/>
      <c r="M1070" s="5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29"/>
      <c r="AJ1070" s="29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</row>
    <row r="1071">
      <c r="A1071" s="4"/>
      <c r="B1071" s="4"/>
      <c r="C1071" s="4"/>
      <c r="D1071" s="4"/>
      <c r="E1071" s="5"/>
      <c r="F1071" s="4"/>
      <c r="G1071" s="4"/>
      <c r="H1071" s="33"/>
      <c r="I1071" s="4"/>
      <c r="J1071" s="4"/>
      <c r="K1071" s="4"/>
      <c r="L1071" s="4"/>
      <c r="M1071" s="5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29"/>
      <c r="AJ1071" s="29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</row>
    <row r="1072">
      <c r="A1072" s="4"/>
      <c r="B1072" s="4"/>
      <c r="C1072" s="4"/>
      <c r="D1072" s="4"/>
      <c r="E1072" s="5"/>
      <c r="F1072" s="4"/>
      <c r="G1072" s="4"/>
      <c r="H1072" s="33"/>
      <c r="I1072" s="4"/>
      <c r="J1072" s="4"/>
      <c r="K1072" s="4"/>
      <c r="L1072" s="4"/>
      <c r="M1072" s="5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29"/>
      <c r="AJ1072" s="29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</row>
    <row r="1073">
      <c r="A1073" s="4"/>
      <c r="B1073" s="4"/>
      <c r="C1073" s="4"/>
      <c r="D1073" s="4"/>
      <c r="E1073" s="5"/>
      <c r="F1073" s="4"/>
      <c r="G1073" s="4"/>
      <c r="H1073" s="33"/>
      <c r="I1073" s="4"/>
      <c r="J1073" s="4"/>
      <c r="K1073" s="4"/>
      <c r="L1073" s="4"/>
      <c r="M1073" s="5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29"/>
      <c r="AJ1073" s="29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</row>
    <row r="1074">
      <c r="A1074" s="4"/>
      <c r="B1074" s="4"/>
      <c r="C1074" s="4"/>
      <c r="D1074" s="4"/>
      <c r="E1074" s="5"/>
      <c r="F1074" s="4"/>
      <c r="G1074" s="4"/>
      <c r="H1074" s="33"/>
      <c r="I1074" s="4"/>
      <c r="J1074" s="4"/>
      <c r="K1074" s="4"/>
      <c r="L1074" s="4"/>
      <c r="M1074" s="5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29"/>
      <c r="AJ1074" s="29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</row>
    <row r="1075">
      <c r="A1075" s="4"/>
      <c r="B1075" s="4"/>
      <c r="C1075" s="4"/>
      <c r="D1075" s="4"/>
      <c r="E1075" s="5"/>
      <c r="F1075" s="4"/>
      <c r="G1075" s="4"/>
      <c r="H1075" s="33"/>
      <c r="I1075" s="4"/>
      <c r="J1075" s="4"/>
      <c r="K1075" s="4"/>
      <c r="L1075" s="4"/>
      <c r="M1075" s="5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29"/>
      <c r="AJ1075" s="29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</row>
    <row r="1076">
      <c r="A1076" s="4"/>
      <c r="B1076" s="4"/>
      <c r="C1076" s="4"/>
      <c r="D1076" s="4"/>
      <c r="E1076" s="5"/>
      <c r="F1076" s="4"/>
      <c r="G1076" s="4"/>
      <c r="H1076" s="33"/>
      <c r="I1076" s="4"/>
      <c r="J1076" s="4"/>
      <c r="K1076" s="4"/>
      <c r="L1076" s="4"/>
      <c r="M1076" s="5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29"/>
      <c r="AJ1076" s="29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</row>
    <row r="1077">
      <c r="A1077" s="4"/>
      <c r="B1077" s="4"/>
      <c r="C1077" s="4"/>
      <c r="D1077" s="4"/>
      <c r="E1077" s="5"/>
      <c r="F1077" s="4"/>
      <c r="G1077" s="4"/>
      <c r="H1077" s="33"/>
      <c r="I1077" s="4"/>
      <c r="J1077" s="4"/>
      <c r="K1077" s="4"/>
      <c r="L1077" s="4"/>
      <c r="M1077" s="5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29"/>
      <c r="AJ1077" s="29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</row>
    <row r="1078">
      <c r="A1078" s="4"/>
      <c r="B1078" s="4"/>
      <c r="C1078" s="4"/>
      <c r="D1078" s="4"/>
      <c r="E1078" s="5"/>
      <c r="F1078" s="4"/>
      <c r="G1078" s="4"/>
      <c r="H1078" s="33"/>
      <c r="I1078" s="4"/>
      <c r="J1078" s="4"/>
      <c r="K1078" s="4"/>
      <c r="L1078" s="4"/>
      <c r="M1078" s="5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29"/>
      <c r="AJ1078" s="29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</row>
    <row r="1079">
      <c r="A1079" s="4"/>
      <c r="B1079" s="4"/>
      <c r="C1079" s="4"/>
      <c r="D1079" s="4"/>
      <c r="E1079" s="5"/>
      <c r="F1079" s="4"/>
      <c r="G1079" s="4"/>
      <c r="H1079" s="33"/>
      <c r="I1079" s="4"/>
      <c r="J1079" s="4"/>
      <c r="K1079" s="4"/>
      <c r="L1079" s="4"/>
      <c r="M1079" s="5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29"/>
      <c r="AJ1079" s="29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</row>
    <row r="1080">
      <c r="A1080" s="4"/>
      <c r="B1080" s="4"/>
      <c r="C1080" s="4"/>
      <c r="D1080" s="4"/>
      <c r="E1080" s="5"/>
      <c r="F1080" s="4"/>
      <c r="G1080" s="4"/>
      <c r="H1080" s="33"/>
      <c r="I1080" s="4"/>
      <c r="J1080" s="4"/>
      <c r="K1080" s="4"/>
      <c r="L1080" s="4"/>
      <c r="M1080" s="5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29"/>
      <c r="AJ1080" s="29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</row>
    <row r="1081">
      <c r="A1081" s="4"/>
      <c r="B1081" s="4"/>
      <c r="C1081" s="4"/>
      <c r="D1081" s="4"/>
      <c r="E1081" s="5"/>
      <c r="F1081" s="4"/>
      <c r="G1081" s="4"/>
      <c r="H1081" s="33"/>
      <c r="I1081" s="4"/>
      <c r="J1081" s="4"/>
      <c r="K1081" s="4"/>
      <c r="L1081" s="4"/>
      <c r="M1081" s="5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29"/>
      <c r="AJ1081" s="29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</row>
    <row r="1082">
      <c r="A1082" s="4"/>
      <c r="B1082" s="4"/>
      <c r="C1082" s="4"/>
      <c r="D1082" s="4"/>
      <c r="E1082" s="5"/>
      <c r="F1082" s="4"/>
      <c r="G1082" s="4"/>
      <c r="H1082" s="33"/>
      <c r="I1082" s="4"/>
      <c r="J1082" s="4"/>
      <c r="K1082" s="4"/>
      <c r="L1082" s="4"/>
      <c r="M1082" s="5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29"/>
      <c r="AJ1082" s="29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</row>
    <row r="1083">
      <c r="A1083" s="4"/>
      <c r="B1083" s="4"/>
      <c r="C1083" s="4"/>
      <c r="D1083" s="4"/>
      <c r="E1083" s="5"/>
      <c r="F1083" s="4"/>
      <c r="G1083" s="4"/>
      <c r="H1083" s="33"/>
      <c r="I1083" s="4"/>
      <c r="J1083" s="4"/>
      <c r="K1083" s="4"/>
      <c r="L1083" s="4"/>
      <c r="M1083" s="5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29"/>
      <c r="AJ1083" s="29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</row>
    <row r="1084">
      <c r="A1084" s="4"/>
      <c r="B1084" s="4"/>
      <c r="C1084" s="4"/>
      <c r="D1084" s="4"/>
      <c r="E1084" s="5"/>
      <c r="F1084" s="4"/>
      <c r="G1084" s="4"/>
      <c r="H1084" s="33"/>
      <c r="I1084" s="4"/>
      <c r="J1084" s="4"/>
      <c r="K1084" s="4"/>
      <c r="L1084" s="4"/>
      <c r="M1084" s="5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29"/>
      <c r="AJ1084" s="29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</row>
    <row r="1085">
      <c r="A1085" s="4"/>
      <c r="B1085" s="4"/>
      <c r="C1085" s="4"/>
      <c r="D1085" s="4"/>
      <c r="E1085" s="5"/>
      <c r="F1085" s="4"/>
      <c r="G1085" s="4"/>
      <c r="H1085" s="33"/>
      <c r="I1085" s="4"/>
      <c r="J1085" s="4"/>
      <c r="K1085" s="4"/>
      <c r="L1085" s="4"/>
      <c r="M1085" s="5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29"/>
      <c r="AJ1085" s="29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</row>
    <row r="1086">
      <c r="A1086" s="4"/>
      <c r="B1086" s="4"/>
      <c r="C1086" s="4"/>
      <c r="D1086" s="4"/>
      <c r="E1086" s="5"/>
      <c r="F1086" s="4"/>
      <c r="G1086" s="4"/>
      <c r="H1086" s="33"/>
      <c r="I1086" s="4"/>
      <c r="J1086" s="4"/>
      <c r="K1086" s="4"/>
      <c r="L1086" s="4"/>
      <c r="M1086" s="5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29"/>
      <c r="AJ1086" s="29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</row>
    <row r="1087">
      <c r="A1087" s="4"/>
      <c r="B1087" s="4"/>
      <c r="C1087" s="4"/>
      <c r="D1087" s="4"/>
      <c r="E1087" s="5"/>
      <c r="F1087" s="4"/>
      <c r="G1087" s="4"/>
      <c r="H1087" s="33"/>
      <c r="I1087" s="4"/>
      <c r="J1087" s="4"/>
      <c r="K1087" s="4"/>
      <c r="L1087" s="4"/>
      <c r="M1087" s="5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29"/>
      <c r="AJ1087" s="29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</row>
    <row r="1088">
      <c r="A1088" s="4"/>
      <c r="B1088" s="4"/>
      <c r="C1088" s="4"/>
      <c r="D1088" s="4"/>
      <c r="E1088" s="5"/>
      <c r="F1088" s="4"/>
      <c r="G1088" s="4"/>
      <c r="H1088" s="33"/>
      <c r="I1088" s="4"/>
      <c r="J1088" s="4"/>
      <c r="K1088" s="4"/>
      <c r="L1088" s="4"/>
      <c r="M1088" s="5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29"/>
      <c r="AJ1088" s="29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</row>
    <row r="1089">
      <c r="A1089" s="4"/>
      <c r="B1089" s="4"/>
      <c r="C1089" s="4"/>
      <c r="D1089" s="4"/>
      <c r="E1089" s="5"/>
      <c r="F1089" s="4"/>
      <c r="G1089" s="4"/>
      <c r="H1089" s="33"/>
      <c r="I1089" s="4"/>
      <c r="J1089" s="4"/>
      <c r="K1089" s="4"/>
      <c r="L1089" s="4"/>
      <c r="M1089" s="5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29"/>
      <c r="AJ1089" s="29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</row>
    <row r="1090">
      <c r="A1090" s="4"/>
      <c r="B1090" s="4"/>
      <c r="C1090" s="4"/>
      <c r="D1090" s="4"/>
      <c r="E1090" s="5"/>
      <c r="F1090" s="4"/>
      <c r="G1090" s="4"/>
      <c r="H1090" s="33"/>
      <c r="I1090" s="4"/>
      <c r="J1090" s="4"/>
      <c r="K1090" s="4"/>
      <c r="L1090" s="4"/>
      <c r="M1090" s="5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29"/>
      <c r="AJ1090" s="29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</row>
    <row r="1091">
      <c r="A1091" s="4"/>
      <c r="B1091" s="4"/>
      <c r="C1091" s="4"/>
      <c r="D1091" s="4"/>
      <c r="E1091" s="5"/>
      <c r="F1091" s="4"/>
      <c r="G1091" s="4"/>
      <c r="H1091" s="33"/>
      <c r="I1091" s="4"/>
      <c r="J1091" s="4"/>
      <c r="K1091" s="4"/>
      <c r="L1091" s="4"/>
      <c r="M1091" s="5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29"/>
      <c r="AJ1091" s="29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</row>
    <row r="1092">
      <c r="A1092" s="4"/>
      <c r="B1092" s="4"/>
      <c r="C1092" s="4"/>
      <c r="D1092" s="4"/>
      <c r="E1092" s="5"/>
      <c r="F1092" s="4"/>
      <c r="G1092" s="4"/>
      <c r="H1092" s="33"/>
      <c r="I1092" s="4"/>
      <c r="J1092" s="4"/>
      <c r="K1092" s="4"/>
      <c r="L1092" s="4"/>
      <c r="M1092" s="5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29"/>
      <c r="AJ1092" s="29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</row>
    <row r="1093">
      <c r="A1093" s="4"/>
      <c r="B1093" s="4"/>
      <c r="C1093" s="4"/>
      <c r="D1093" s="4"/>
      <c r="E1093" s="5"/>
      <c r="F1093" s="4"/>
      <c r="G1093" s="4"/>
      <c r="H1093" s="33"/>
      <c r="I1093" s="4"/>
      <c r="J1093" s="4"/>
      <c r="K1093" s="4"/>
      <c r="L1093" s="4"/>
      <c r="M1093" s="5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29"/>
      <c r="AJ1093" s="29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</row>
    <row r="1094">
      <c r="A1094" s="4"/>
      <c r="B1094" s="4"/>
      <c r="C1094" s="4"/>
      <c r="D1094" s="4"/>
      <c r="E1094" s="5"/>
      <c r="F1094" s="4"/>
      <c r="G1094" s="4"/>
      <c r="H1094" s="33"/>
      <c r="I1094" s="4"/>
      <c r="J1094" s="4"/>
      <c r="K1094" s="4"/>
      <c r="L1094" s="4"/>
      <c r="M1094" s="5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29"/>
      <c r="AJ1094" s="29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</row>
    <row r="1095">
      <c r="A1095" s="4"/>
      <c r="B1095" s="4"/>
      <c r="C1095" s="4"/>
      <c r="D1095" s="4"/>
      <c r="E1095" s="5"/>
      <c r="F1095" s="4"/>
      <c r="G1095" s="4"/>
      <c r="H1095" s="33"/>
      <c r="I1095" s="4"/>
      <c r="J1095" s="4"/>
      <c r="K1095" s="4"/>
      <c r="L1095" s="4"/>
      <c r="M1095" s="5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29"/>
      <c r="AJ1095" s="29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</row>
    <row r="1096">
      <c r="A1096" s="4"/>
      <c r="B1096" s="4"/>
      <c r="C1096" s="4"/>
      <c r="D1096" s="4"/>
      <c r="E1096" s="5"/>
      <c r="F1096" s="4"/>
      <c r="G1096" s="4"/>
      <c r="H1096" s="33"/>
      <c r="I1096" s="4"/>
      <c r="J1096" s="4"/>
      <c r="K1096" s="4"/>
      <c r="L1096" s="4"/>
      <c r="M1096" s="5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29"/>
      <c r="AJ1096" s="29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</row>
    <row r="1097">
      <c r="A1097" s="4"/>
      <c r="B1097" s="4"/>
      <c r="C1097" s="4"/>
      <c r="D1097" s="4"/>
      <c r="E1097" s="5"/>
      <c r="F1097" s="4"/>
      <c r="G1097" s="4"/>
      <c r="H1097" s="33"/>
      <c r="I1097" s="4"/>
      <c r="J1097" s="4"/>
      <c r="K1097" s="4"/>
      <c r="L1097" s="4"/>
      <c r="M1097" s="5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29"/>
      <c r="AJ1097" s="29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</row>
    <row r="1098">
      <c r="A1098" s="4"/>
      <c r="B1098" s="4"/>
      <c r="C1098" s="4"/>
      <c r="D1098" s="4"/>
      <c r="E1098" s="5"/>
      <c r="F1098" s="4"/>
      <c r="G1098" s="4"/>
      <c r="H1098" s="33"/>
      <c r="I1098" s="4"/>
      <c r="J1098" s="4"/>
      <c r="K1098" s="4"/>
      <c r="L1098" s="4"/>
      <c r="M1098" s="5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29"/>
      <c r="AJ1098" s="29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</row>
    <row r="1099">
      <c r="A1099" s="4"/>
      <c r="B1099" s="4"/>
      <c r="C1099" s="4"/>
      <c r="D1099" s="4"/>
      <c r="E1099" s="5"/>
      <c r="F1099" s="4"/>
      <c r="G1099" s="4"/>
      <c r="H1099" s="33"/>
      <c r="I1099" s="4"/>
      <c r="J1099" s="4"/>
      <c r="K1099" s="4"/>
      <c r="L1099" s="4"/>
      <c r="M1099" s="5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29"/>
      <c r="AJ1099" s="29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</row>
    <row r="1100">
      <c r="A1100" s="4"/>
      <c r="B1100" s="4"/>
      <c r="C1100" s="4"/>
      <c r="D1100" s="4"/>
      <c r="E1100" s="5"/>
      <c r="F1100" s="4"/>
      <c r="G1100" s="4"/>
      <c r="H1100" s="33"/>
      <c r="I1100" s="4"/>
      <c r="J1100" s="4"/>
      <c r="K1100" s="4"/>
      <c r="L1100" s="4"/>
      <c r="M1100" s="5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29"/>
      <c r="AJ1100" s="29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</row>
    <row r="1101">
      <c r="A1101" s="4"/>
      <c r="B1101" s="4"/>
      <c r="C1101" s="4"/>
      <c r="D1101" s="4"/>
      <c r="E1101" s="5"/>
      <c r="F1101" s="4"/>
      <c r="G1101" s="4"/>
      <c r="H1101" s="33"/>
      <c r="I1101" s="4"/>
      <c r="J1101" s="4"/>
      <c r="K1101" s="4"/>
      <c r="L1101" s="4"/>
      <c r="M1101" s="5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29"/>
      <c r="AJ1101" s="29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</row>
    <row r="1102">
      <c r="A1102" s="4"/>
      <c r="B1102" s="4"/>
      <c r="C1102" s="4"/>
      <c r="D1102" s="4"/>
      <c r="E1102" s="5"/>
      <c r="F1102" s="4"/>
      <c r="G1102" s="4"/>
      <c r="H1102" s="33"/>
      <c r="I1102" s="4"/>
      <c r="J1102" s="4"/>
      <c r="K1102" s="4"/>
      <c r="L1102" s="4"/>
      <c r="M1102" s="5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29"/>
      <c r="AJ1102" s="29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</row>
    <row r="1103">
      <c r="A1103" s="4"/>
      <c r="B1103" s="4"/>
      <c r="C1103" s="4"/>
      <c r="D1103" s="4"/>
      <c r="E1103" s="5"/>
      <c r="F1103" s="4"/>
      <c r="G1103" s="4"/>
      <c r="H1103" s="33"/>
      <c r="I1103" s="4"/>
      <c r="J1103" s="4"/>
      <c r="K1103" s="4"/>
      <c r="L1103" s="4"/>
      <c r="M1103" s="5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29"/>
      <c r="AJ1103" s="29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</row>
    <row r="1104">
      <c r="A1104" s="4"/>
      <c r="B1104" s="4"/>
      <c r="C1104" s="4"/>
      <c r="D1104" s="4"/>
      <c r="E1104" s="5"/>
      <c r="F1104" s="4"/>
      <c r="G1104" s="4"/>
      <c r="H1104" s="33"/>
      <c r="I1104" s="4"/>
      <c r="J1104" s="4"/>
      <c r="K1104" s="4"/>
      <c r="L1104" s="4"/>
      <c r="M1104" s="5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29"/>
      <c r="AJ1104" s="29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</row>
    <row r="1105">
      <c r="A1105" s="4"/>
      <c r="B1105" s="4"/>
      <c r="C1105" s="4"/>
      <c r="D1105" s="4"/>
      <c r="E1105" s="5"/>
      <c r="F1105" s="4"/>
      <c r="G1105" s="4"/>
      <c r="H1105" s="33"/>
      <c r="I1105" s="4"/>
      <c r="J1105" s="4"/>
      <c r="K1105" s="4"/>
      <c r="L1105" s="4"/>
      <c r="M1105" s="5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29"/>
      <c r="AJ1105" s="29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</row>
    <row r="1106">
      <c r="A1106" s="4"/>
      <c r="B1106" s="4"/>
      <c r="C1106" s="4"/>
      <c r="D1106" s="4"/>
      <c r="E1106" s="5"/>
      <c r="F1106" s="4"/>
      <c r="G1106" s="4"/>
      <c r="H1106" s="33"/>
      <c r="I1106" s="4"/>
      <c r="J1106" s="4"/>
      <c r="K1106" s="4"/>
      <c r="L1106" s="4"/>
      <c r="M1106" s="5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29"/>
      <c r="AJ1106" s="29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</row>
    <row r="1107">
      <c r="A1107" s="4"/>
      <c r="B1107" s="4"/>
      <c r="C1107" s="4"/>
      <c r="D1107" s="4"/>
      <c r="E1107" s="5"/>
      <c r="F1107" s="4"/>
      <c r="G1107" s="4"/>
      <c r="H1107" s="33"/>
      <c r="I1107" s="4"/>
      <c r="J1107" s="4"/>
      <c r="K1107" s="4"/>
      <c r="L1107" s="4"/>
      <c r="M1107" s="5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29"/>
      <c r="AJ1107" s="29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</row>
    <row r="1108">
      <c r="A1108" s="4"/>
      <c r="B1108" s="4"/>
      <c r="C1108" s="4"/>
      <c r="D1108" s="4"/>
      <c r="E1108" s="5"/>
      <c r="F1108" s="4"/>
      <c r="G1108" s="4"/>
      <c r="H1108" s="33"/>
      <c r="I1108" s="4"/>
      <c r="J1108" s="4"/>
      <c r="K1108" s="4"/>
      <c r="L1108" s="4"/>
      <c r="M1108" s="5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29"/>
      <c r="AJ1108" s="29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</row>
    <row r="1109">
      <c r="A1109" s="4"/>
      <c r="B1109" s="4"/>
      <c r="C1109" s="4"/>
      <c r="D1109" s="4"/>
      <c r="E1109" s="5"/>
      <c r="F1109" s="4"/>
      <c r="G1109" s="4"/>
      <c r="H1109" s="33"/>
      <c r="I1109" s="4"/>
      <c r="J1109" s="4"/>
      <c r="K1109" s="4"/>
      <c r="L1109" s="4"/>
      <c r="M1109" s="5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29"/>
      <c r="AJ1109" s="29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</row>
    <row r="1110">
      <c r="A1110" s="4"/>
      <c r="B1110" s="4"/>
      <c r="C1110" s="4"/>
      <c r="D1110" s="4"/>
      <c r="E1110" s="5"/>
      <c r="F1110" s="4"/>
      <c r="G1110" s="4"/>
      <c r="H1110" s="33"/>
      <c r="I1110" s="4"/>
      <c r="J1110" s="4"/>
      <c r="K1110" s="4"/>
      <c r="L1110" s="4"/>
      <c r="M1110" s="5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29"/>
      <c r="AJ1110" s="29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</row>
    <row r="1111">
      <c r="A1111" s="4"/>
      <c r="B1111" s="4"/>
      <c r="C1111" s="4"/>
      <c r="D1111" s="4"/>
      <c r="E1111" s="5"/>
      <c r="F1111" s="4"/>
      <c r="G1111" s="4"/>
      <c r="H1111" s="33"/>
      <c r="I1111" s="4"/>
      <c r="J1111" s="4"/>
      <c r="K1111" s="4"/>
      <c r="L1111" s="4"/>
      <c r="M1111" s="5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29"/>
      <c r="AJ1111" s="29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</row>
    <row r="1112">
      <c r="A1112" s="4"/>
      <c r="B1112" s="4"/>
      <c r="C1112" s="4"/>
      <c r="D1112" s="4"/>
      <c r="E1112" s="5"/>
      <c r="F1112" s="4"/>
      <c r="G1112" s="4"/>
      <c r="H1112" s="33"/>
      <c r="I1112" s="4"/>
      <c r="J1112" s="4"/>
      <c r="K1112" s="4"/>
      <c r="L1112" s="4"/>
      <c r="M1112" s="5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29"/>
      <c r="AJ1112" s="29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</row>
    <row r="1113">
      <c r="A1113" s="4"/>
      <c r="B1113" s="4"/>
      <c r="C1113" s="4"/>
      <c r="D1113" s="4"/>
      <c r="E1113" s="5"/>
      <c r="F1113" s="4"/>
      <c r="G1113" s="4"/>
      <c r="H1113" s="33"/>
      <c r="I1113" s="4"/>
      <c r="J1113" s="4"/>
      <c r="K1113" s="4"/>
      <c r="L1113" s="4"/>
      <c r="M1113" s="5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29"/>
      <c r="AJ1113" s="29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</row>
    <row r="1114">
      <c r="A1114" s="4"/>
      <c r="B1114" s="4"/>
      <c r="C1114" s="4"/>
      <c r="D1114" s="4"/>
      <c r="E1114" s="5"/>
      <c r="F1114" s="4"/>
      <c r="G1114" s="4"/>
      <c r="H1114" s="33"/>
      <c r="I1114" s="4"/>
      <c r="J1114" s="4"/>
      <c r="K1114" s="4"/>
      <c r="L1114" s="4"/>
      <c r="M1114" s="5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29"/>
      <c r="AJ1114" s="29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</row>
    <row r="1115">
      <c r="A1115" s="4"/>
      <c r="B1115" s="4"/>
      <c r="C1115" s="4"/>
      <c r="D1115" s="4"/>
      <c r="E1115" s="5"/>
      <c r="F1115" s="4"/>
      <c r="G1115" s="4"/>
      <c r="H1115" s="33"/>
      <c r="I1115" s="4"/>
      <c r="J1115" s="4"/>
      <c r="K1115" s="4"/>
      <c r="L1115" s="4"/>
      <c r="M1115" s="5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29"/>
      <c r="AJ1115" s="29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</row>
    <row r="1116">
      <c r="A1116" s="4"/>
      <c r="B1116" s="4"/>
      <c r="C1116" s="4"/>
      <c r="D1116" s="4"/>
      <c r="E1116" s="5"/>
      <c r="F1116" s="4"/>
      <c r="G1116" s="4"/>
      <c r="H1116" s="33"/>
      <c r="I1116" s="4"/>
      <c r="J1116" s="4"/>
      <c r="K1116" s="4"/>
      <c r="L1116" s="4"/>
      <c r="M1116" s="5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29"/>
      <c r="AJ1116" s="29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</row>
    <row r="1117">
      <c r="A1117" s="4"/>
      <c r="B1117" s="4"/>
      <c r="C1117" s="4"/>
      <c r="D1117" s="4"/>
      <c r="E1117" s="5"/>
      <c r="F1117" s="4"/>
      <c r="G1117" s="4"/>
      <c r="H1117" s="33"/>
      <c r="I1117" s="4"/>
      <c r="J1117" s="4"/>
      <c r="K1117" s="4"/>
      <c r="L1117" s="4"/>
      <c r="M1117" s="5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29"/>
      <c r="AJ1117" s="29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</row>
    <row r="1118">
      <c r="A1118" s="4"/>
      <c r="B1118" s="4"/>
      <c r="C1118" s="4"/>
      <c r="D1118" s="4"/>
      <c r="E1118" s="5"/>
      <c r="F1118" s="4"/>
      <c r="G1118" s="4"/>
      <c r="H1118" s="33"/>
      <c r="I1118" s="4"/>
      <c r="J1118" s="4"/>
      <c r="K1118" s="4"/>
      <c r="L1118" s="4"/>
      <c r="M1118" s="5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29"/>
      <c r="AJ1118" s="29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</row>
    <row r="1119">
      <c r="A1119" s="4"/>
      <c r="B1119" s="4"/>
      <c r="C1119" s="4"/>
      <c r="D1119" s="4"/>
      <c r="E1119" s="5"/>
      <c r="F1119" s="4"/>
      <c r="G1119" s="4"/>
      <c r="H1119" s="33"/>
      <c r="I1119" s="4"/>
      <c r="J1119" s="4"/>
      <c r="K1119" s="4"/>
      <c r="L1119" s="4"/>
      <c r="M1119" s="5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29"/>
      <c r="AJ1119" s="29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</row>
    <row r="1120">
      <c r="A1120" s="4"/>
      <c r="B1120" s="4"/>
      <c r="C1120" s="4"/>
      <c r="D1120" s="4"/>
      <c r="E1120" s="5"/>
      <c r="F1120" s="4"/>
      <c r="G1120" s="4"/>
      <c r="H1120" s="33"/>
      <c r="I1120" s="4"/>
      <c r="J1120" s="4"/>
      <c r="K1120" s="4"/>
      <c r="L1120" s="4"/>
      <c r="M1120" s="5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29"/>
      <c r="AJ1120" s="29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</row>
    <row r="1121">
      <c r="A1121" s="4"/>
      <c r="B1121" s="4"/>
      <c r="C1121" s="4"/>
      <c r="D1121" s="4"/>
      <c r="E1121" s="5"/>
      <c r="F1121" s="4"/>
      <c r="G1121" s="4"/>
      <c r="H1121" s="33"/>
      <c r="I1121" s="4"/>
      <c r="J1121" s="4"/>
      <c r="K1121" s="4"/>
      <c r="L1121" s="4"/>
      <c r="M1121" s="5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29"/>
      <c r="AJ1121" s="29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</row>
    <row r="1122">
      <c r="A1122" s="4"/>
      <c r="B1122" s="4"/>
      <c r="C1122" s="4"/>
      <c r="D1122" s="4"/>
      <c r="E1122" s="5"/>
      <c r="F1122" s="4"/>
      <c r="G1122" s="4"/>
      <c r="H1122" s="33"/>
      <c r="I1122" s="4"/>
      <c r="J1122" s="4"/>
      <c r="K1122" s="4"/>
      <c r="L1122" s="4"/>
      <c r="M1122" s="5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29"/>
      <c r="AJ1122" s="29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</row>
    <row r="1123">
      <c r="A1123" s="4"/>
      <c r="B1123" s="4"/>
      <c r="C1123" s="4"/>
      <c r="D1123" s="4"/>
      <c r="E1123" s="5"/>
      <c r="F1123" s="4"/>
      <c r="G1123" s="4"/>
      <c r="H1123" s="33"/>
      <c r="I1123" s="4"/>
      <c r="J1123" s="4"/>
      <c r="K1123" s="4"/>
      <c r="L1123" s="4"/>
      <c r="M1123" s="5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29"/>
      <c r="AJ1123" s="29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</row>
    <row r="1124">
      <c r="A1124" s="4"/>
      <c r="B1124" s="4"/>
      <c r="C1124" s="4"/>
      <c r="D1124" s="4"/>
      <c r="E1124" s="5"/>
      <c r="F1124" s="4"/>
      <c r="G1124" s="4"/>
      <c r="H1124" s="33"/>
      <c r="I1124" s="4"/>
      <c r="J1124" s="4"/>
      <c r="K1124" s="4"/>
      <c r="L1124" s="4"/>
      <c r="M1124" s="5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29"/>
      <c r="AJ1124" s="29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</row>
    <row r="1125">
      <c r="A1125" s="4"/>
      <c r="B1125" s="4"/>
      <c r="C1125" s="4"/>
      <c r="D1125" s="4"/>
      <c r="E1125" s="5"/>
      <c r="F1125" s="4"/>
      <c r="G1125" s="4"/>
      <c r="H1125" s="33"/>
      <c r="I1125" s="4"/>
      <c r="J1125" s="4"/>
      <c r="K1125" s="4"/>
      <c r="L1125" s="4"/>
      <c r="M1125" s="5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29"/>
      <c r="AJ1125" s="29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</row>
    <row r="1126">
      <c r="A1126" s="4"/>
      <c r="B1126" s="4"/>
      <c r="C1126" s="4"/>
      <c r="D1126" s="4"/>
      <c r="E1126" s="5"/>
      <c r="F1126" s="4"/>
      <c r="G1126" s="4"/>
      <c r="H1126" s="33"/>
      <c r="I1126" s="4"/>
      <c r="J1126" s="4"/>
      <c r="K1126" s="4"/>
      <c r="L1126" s="4"/>
      <c r="M1126" s="5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29"/>
      <c r="AJ1126" s="29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</row>
    <row r="1127">
      <c r="A1127" s="4"/>
      <c r="B1127" s="4"/>
      <c r="C1127" s="4"/>
      <c r="D1127" s="4"/>
      <c r="E1127" s="5"/>
      <c r="F1127" s="4"/>
      <c r="G1127" s="4"/>
      <c r="H1127" s="33"/>
      <c r="I1127" s="4"/>
      <c r="J1127" s="4"/>
      <c r="K1127" s="4"/>
      <c r="L1127" s="4"/>
      <c r="M1127" s="5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29"/>
      <c r="AJ1127" s="29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</row>
    <row r="1128">
      <c r="A1128" s="4"/>
      <c r="B1128" s="4"/>
      <c r="C1128" s="4"/>
      <c r="D1128" s="4"/>
      <c r="E1128" s="5"/>
      <c r="F1128" s="4"/>
      <c r="G1128" s="4"/>
      <c r="H1128" s="33"/>
      <c r="I1128" s="4"/>
      <c r="J1128" s="4"/>
      <c r="K1128" s="4"/>
      <c r="L1128" s="4"/>
      <c r="M1128" s="5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29"/>
      <c r="AJ1128" s="29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</row>
    <row r="1129">
      <c r="A1129" s="4"/>
      <c r="B1129" s="4"/>
      <c r="C1129" s="4"/>
      <c r="D1129" s="4"/>
      <c r="E1129" s="5"/>
      <c r="F1129" s="4"/>
      <c r="G1129" s="4"/>
      <c r="H1129" s="33"/>
      <c r="I1129" s="4"/>
      <c r="J1129" s="4"/>
      <c r="K1129" s="4"/>
      <c r="L1129" s="4"/>
      <c r="M1129" s="5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29"/>
      <c r="AJ1129" s="29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</row>
    <row r="1130">
      <c r="A1130" s="4"/>
      <c r="B1130" s="4"/>
      <c r="C1130" s="4"/>
      <c r="D1130" s="4"/>
      <c r="E1130" s="5"/>
      <c r="F1130" s="4"/>
      <c r="G1130" s="4"/>
      <c r="H1130" s="33"/>
      <c r="I1130" s="4"/>
      <c r="J1130" s="4"/>
      <c r="K1130" s="4"/>
      <c r="L1130" s="4"/>
      <c r="M1130" s="5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29"/>
      <c r="AJ1130" s="29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</row>
    <row r="1131">
      <c r="A1131" s="4"/>
      <c r="B1131" s="4"/>
      <c r="C1131" s="4"/>
      <c r="D1131" s="4"/>
      <c r="E1131" s="5"/>
      <c r="F1131" s="4"/>
      <c r="G1131" s="4"/>
      <c r="H1131" s="33"/>
      <c r="I1131" s="4"/>
      <c r="J1131" s="4"/>
      <c r="K1131" s="4"/>
      <c r="L1131" s="4"/>
      <c r="M1131" s="5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29"/>
      <c r="AJ1131" s="29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</row>
    <row r="1132">
      <c r="A1132" s="4"/>
      <c r="B1132" s="4"/>
      <c r="C1132" s="4"/>
      <c r="D1132" s="4"/>
      <c r="E1132" s="5"/>
      <c r="F1132" s="4"/>
      <c r="G1132" s="4"/>
      <c r="H1132" s="33"/>
      <c r="I1132" s="4"/>
      <c r="J1132" s="4"/>
      <c r="K1132" s="4"/>
      <c r="L1132" s="4"/>
      <c r="M1132" s="5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29"/>
      <c r="AJ1132" s="29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</row>
    <row r="1133">
      <c r="A1133" s="4"/>
      <c r="B1133" s="4"/>
      <c r="C1133" s="4"/>
      <c r="D1133" s="4"/>
      <c r="E1133" s="5"/>
      <c r="F1133" s="4"/>
      <c r="G1133" s="4"/>
      <c r="H1133" s="33"/>
      <c r="I1133" s="4"/>
      <c r="J1133" s="4"/>
      <c r="K1133" s="4"/>
      <c r="L1133" s="4"/>
      <c r="M1133" s="5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29"/>
      <c r="AJ1133" s="29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</row>
    <row r="1134">
      <c r="A1134" s="4"/>
      <c r="B1134" s="4"/>
      <c r="C1134" s="4"/>
      <c r="D1134" s="4"/>
      <c r="E1134" s="5"/>
      <c r="F1134" s="4"/>
      <c r="G1134" s="4"/>
      <c r="H1134" s="33"/>
      <c r="I1134" s="4"/>
      <c r="J1134" s="4"/>
      <c r="K1134" s="4"/>
      <c r="L1134" s="4"/>
      <c r="M1134" s="5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29"/>
      <c r="AJ1134" s="29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</row>
    <row r="1135">
      <c r="A1135" s="4"/>
      <c r="B1135" s="4"/>
      <c r="C1135" s="4"/>
      <c r="D1135" s="4"/>
      <c r="E1135" s="5"/>
      <c r="F1135" s="4"/>
      <c r="G1135" s="4"/>
      <c r="H1135" s="33"/>
      <c r="I1135" s="4"/>
      <c r="J1135" s="4"/>
      <c r="K1135" s="4"/>
      <c r="L1135" s="4"/>
      <c r="M1135" s="5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29"/>
      <c r="AJ1135" s="29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</row>
    <row r="1136">
      <c r="A1136" s="4"/>
      <c r="B1136" s="4"/>
      <c r="C1136" s="4"/>
      <c r="D1136" s="4"/>
      <c r="E1136" s="5"/>
      <c r="F1136" s="4"/>
      <c r="G1136" s="4"/>
      <c r="H1136" s="33"/>
      <c r="I1136" s="4"/>
      <c r="J1136" s="4"/>
      <c r="K1136" s="4"/>
      <c r="L1136" s="4"/>
      <c r="M1136" s="5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29"/>
      <c r="AJ1136" s="29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</row>
    <row r="1137">
      <c r="A1137" s="4"/>
      <c r="B1137" s="4"/>
      <c r="C1137" s="4"/>
      <c r="D1137" s="4"/>
      <c r="E1137" s="5"/>
      <c r="F1137" s="4"/>
      <c r="G1137" s="4"/>
      <c r="H1137" s="33"/>
      <c r="I1137" s="4"/>
      <c r="J1137" s="4"/>
      <c r="K1137" s="4"/>
      <c r="L1137" s="4"/>
      <c r="M1137" s="5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29"/>
      <c r="AJ1137" s="29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</row>
    <row r="1138">
      <c r="A1138" s="4"/>
      <c r="B1138" s="4"/>
      <c r="C1138" s="4"/>
      <c r="D1138" s="4"/>
      <c r="E1138" s="5"/>
      <c r="F1138" s="4"/>
      <c r="G1138" s="4"/>
      <c r="H1138" s="33"/>
      <c r="I1138" s="4"/>
      <c r="J1138" s="4"/>
      <c r="K1138" s="4"/>
      <c r="L1138" s="4"/>
      <c r="M1138" s="5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29"/>
      <c r="AJ1138" s="29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</row>
    <row r="1139">
      <c r="A1139" s="4"/>
      <c r="B1139" s="4"/>
      <c r="C1139" s="4"/>
      <c r="D1139" s="4"/>
      <c r="E1139" s="5"/>
      <c r="F1139" s="4"/>
      <c r="G1139" s="4"/>
      <c r="H1139" s="33"/>
      <c r="I1139" s="4"/>
      <c r="J1139" s="4"/>
      <c r="K1139" s="4"/>
      <c r="L1139" s="4"/>
      <c r="M1139" s="5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29"/>
      <c r="AJ1139" s="29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</row>
    <row r="1140">
      <c r="A1140" s="4"/>
      <c r="B1140" s="4"/>
      <c r="C1140" s="4"/>
      <c r="D1140" s="4"/>
      <c r="E1140" s="5"/>
      <c r="F1140" s="4"/>
      <c r="G1140" s="4"/>
      <c r="H1140" s="33"/>
      <c r="I1140" s="4"/>
      <c r="J1140" s="4"/>
      <c r="K1140" s="4"/>
      <c r="L1140" s="4"/>
      <c r="M1140" s="5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29"/>
      <c r="AJ1140" s="29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</row>
    <row r="1141">
      <c r="A1141" s="4"/>
      <c r="B1141" s="4"/>
      <c r="C1141" s="4"/>
      <c r="D1141" s="4"/>
      <c r="E1141" s="5"/>
      <c r="F1141" s="4"/>
      <c r="G1141" s="4"/>
      <c r="H1141" s="33"/>
      <c r="I1141" s="4"/>
      <c r="J1141" s="4"/>
      <c r="K1141" s="4"/>
      <c r="L1141" s="4"/>
      <c r="M1141" s="5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29"/>
      <c r="AJ1141" s="29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</row>
    <row r="1142">
      <c r="A1142" s="4"/>
      <c r="B1142" s="4"/>
      <c r="C1142" s="4"/>
      <c r="D1142" s="4"/>
      <c r="E1142" s="5"/>
      <c r="F1142" s="4"/>
      <c r="G1142" s="4"/>
      <c r="H1142" s="33"/>
      <c r="I1142" s="4"/>
      <c r="J1142" s="4"/>
      <c r="K1142" s="4"/>
      <c r="L1142" s="4"/>
      <c r="M1142" s="5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29"/>
      <c r="AJ1142" s="29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</row>
    <row r="1143">
      <c r="A1143" s="4"/>
      <c r="B1143" s="4"/>
      <c r="C1143" s="4"/>
      <c r="D1143" s="4"/>
      <c r="E1143" s="5"/>
      <c r="F1143" s="4"/>
      <c r="G1143" s="4"/>
      <c r="H1143" s="33"/>
      <c r="I1143" s="4"/>
      <c r="J1143" s="4"/>
      <c r="K1143" s="4"/>
      <c r="L1143" s="4"/>
      <c r="M1143" s="5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29"/>
      <c r="AJ1143" s="29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</row>
    <row r="1144">
      <c r="A1144" s="4"/>
      <c r="B1144" s="4"/>
      <c r="C1144" s="4"/>
      <c r="D1144" s="4"/>
      <c r="E1144" s="5"/>
      <c r="F1144" s="4"/>
      <c r="G1144" s="4"/>
      <c r="H1144" s="33"/>
      <c r="I1144" s="4"/>
      <c r="J1144" s="4"/>
      <c r="K1144" s="4"/>
      <c r="L1144" s="4"/>
      <c r="M1144" s="5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29"/>
      <c r="AJ1144" s="29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</row>
    <row r="1145">
      <c r="A1145" s="4"/>
      <c r="B1145" s="4"/>
      <c r="C1145" s="4"/>
      <c r="D1145" s="4"/>
      <c r="E1145" s="5"/>
      <c r="F1145" s="4"/>
      <c r="G1145" s="4"/>
      <c r="H1145" s="33"/>
      <c r="I1145" s="4"/>
      <c r="J1145" s="4"/>
      <c r="K1145" s="4"/>
      <c r="L1145" s="4"/>
      <c r="M1145" s="5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29"/>
      <c r="AJ1145" s="29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</row>
    <row r="1146">
      <c r="A1146" s="4"/>
      <c r="B1146" s="4"/>
      <c r="C1146" s="4"/>
      <c r="D1146" s="4"/>
      <c r="E1146" s="5"/>
      <c r="F1146" s="4"/>
      <c r="G1146" s="4"/>
      <c r="H1146" s="33"/>
      <c r="I1146" s="4"/>
      <c r="J1146" s="4"/>
      <c r="K1146" s="4"/>
      <c r="L1146" s="4"/>
      <c r="M1146" s="5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29"/>
      <c r="AJ1146" s="29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</row>
    <row r="1147">
      <c r="A1147" s="4"/>
      <c r="B1147" s="4"/>
      <c r="C1147" s="4"/>
      <c r="D1147" s="4"/>
      <c r="E1147" s="5"/>
      <c r="F1147" s="4"/>
      <c r="G1147" s="4"/>
      <c r="H1147" s="33"/>
      <c r="I1147" s="4"/>
      <c r="J1147" s="4"/>
      <c r="K1147" s="4"/>
      <c r="L1147" s="4"/>
      <c r="M1147" s="5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29"/>
      <c r="AJ1147" s="29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</row>
    <row r="1148">
      <c r="A1148" s="4"/>
      <c r="B1148" s="4"/>
      <c r="C1148" s="4"/>
      <c r="D1148" s="4"/>
      <c r="E1148" s="5"/>
      <c r="F1148" s="4"/>
      <c r="G1148" s="4"/>
      <c r="H1148" s="33"/>
      <c r="I1148" s="4"/>
      <c r="J1148" s="4"/>
      <c r="K1148" s="4"/>
      <c r="L1148" s="4"/>
      <c r="M1148" s="5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29"/>
      <c r="AJ1148" s="29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</row>
    <row r="1149">
      <c r="A1149" s="4"/>
      <c r="B1149" s="4"/>
      <c r="C1149" s="4"/>
      <c r="D1149" s="4"/>
      <c r="E1149" s="5"/>
      <c r="F1149" s="4"/>
      <c r="G1149" s="4"/>
      <c r="H1149" s="33"/>
      <c r="I1149" s="4"/>
      <c r="J1149" s="4"/>
      <c r="K1149" s="4"/>
      <c r="L1149" s="4"/>
      <c r="M1149" s="5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29"/>
      <c r="AJ1149" s="29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</row>
    <row r="1150">
      <c r="A1150" s="4"/>
      <c r="B1150" s="4"/>
      <c r="C1150" s="4"/>
      <c r="D1150" s="4"/>
      <c r="E1150" s="5"/>
      <c r="F1150" s="4"/>
      <c r="G1150" s="4"/>
      <c r="H1150" s="33"/>
      <c r="I1150" s="4"/>
      <c r="J1150" s="4"/>
      <c r="K1150" s="4"/>
      <c r="L1150" s="4"/>
      <c r="M1150" s="5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29"/>
      <c r="AJ1150" s="29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</row>
    <row r="1151">
      <c r="A1151" s="4"/>
      <c r="B1151" s="4"/>
      <c r="C1151" s="4"/>
      <c r="D1151" s="4"/>
      <c r="E1151" s="5"/>
      <c r="F1151" s="4"/>
      <c r="G1151" s="4"/>
      <c r="H1151" s="33"/>
      <c r="I1151" s="4"/>
      <c r="J1151" s="4"/>
      <c r="K1151" s="4"/>
      <c r="L1151" s="4"/>
      <c r="M1151" s="5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29"/>
      <c r="AJ1151" s="29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</row>
    <row r="1152">
      <c r="A1152" s="4"/>
      <c r="B1152" s="4"/>
      <c r="C1152" s="4"/>
      <c r="D1152" s="4"/>
      <c r="E1152" s="5"/>
      <c r="F1152" s="4"/>
      <c r="G1152" s="4"/>
      <c r="H1152" s="33"/>
      <c r="I1152" s="4"/>
      <c r="J1152" s="4"/>
      <c r="K1152" s="4"/>
      <c r="L1152" s="4"/>
      <c r="M1152" s="5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29"/>
      <c r="AJ1152" s="29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</row>
    <row r="1153">
      <c r="A1153" s="4"/>
      <c r="B1153" s="4"/>
      <c r="C1153" s="4"/>
      <c r="D1153" s="4"/>
      <c r="E1153" s="5"/>
      <c r="F1153" s="4"/>
      <c r="G1153" s="4"/>
      <c r="H1153" s="33"/>
      <c r="I1153" s="4"/>
      <c r="J1153" s="4"/>
      <c r="K1153" s="4"/>
      <c r="L1153" s="4"/>
      <c r="M1153" s="5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29"/>
      <c r="AJ1153" s="29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</row>
    <row r="1154">
      <c r="A1154" s="4"/>
      <c r="B1154" s="4"/>
      <c r="C1154" s="4"/>
      <c r="D1154" s="4"/>
      <c r="E1154" s="5"/>
      <c r="F1154" s="4"/>
      <c r="G1154" s="4"/>
      <c r="H1154" s="33"/>
      <c r="I1154" s="4"/>
      <c r="J1154" s="4"/>
      <c r="K1154" s="4"/>
      <c r="L1154" s="4"/>
      <c r="M1154" s="5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29"/>
      <c r="AJ1154" s="29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</row>
    <row r="1155">
      <c r="A1155" s="4"/>
      <c r="B1155" s="4"/>
      <c r="C1155" s="4"/>
      <c r="D1155" s="4"/>
      <c r="E1155" s="5"/>
      <c r="F1155" s="4"/>
      <c r="G1155" s="4"/>
      <c r="H1155" s="33"/>
      <c r="I1155" s="4"/>
      <c r="J1155" s="4"/>
      <c r="K1155" s="4"/>
      <c r="L1155" s="4"/>
      <c r="M1155" s="5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29"/>
      <c r="AJ1155" s="29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</row>
    <row r="1156">
      <c r="A1156" s="4"/>
      <c r="B1156" s="4"/>
      <c r="C1156" s="4"/>
      <c r="D1156" s="4"/>
      <c r="E1156" s="5"/>
      <c r="F1156" s="4"/>
      <c r="G1156" s="4"/>
      <c r="H1156" s="33"/>
      <c r="I1156" s="4"/>
      <c r="J1156" s="4"/>
      <c r="K1156" s="4"/>
      <c r="L1156" s="4"/>
      <c r="M1156" s="5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29"/>
      <c r="AJ1156" s="29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</row>
    <row r="1157">
      <c r="A1157" s="4"/>
      <c r="B1157" s="4"/>
      <c r="C1157" s="4"/>
      <c r="D1157" s="4"/>
      <c r="E1157" s="5"/>
      <c r="F1157" s="4"/>
      <c r="G1157" s="4"/>
      <c r="H1157" s="33"/>
      <c r="I1157" s="4"/>
      <c r="J1157" s="4"/>
      <c r="K1157" s="4"/>
      <c r="L1157" s="4"/>
      <c r="M1157" s="5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29"/>
      <c r="AJ1157" s="29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</row>
    <row r="1158">
      <c r="A1158" s="4"/>
      <c r="B1158" s="4"/>
      <c r="C1158" s="4"/>
      <c r="D1158" s="4"/>
      <c r="E1158" s="5"/>
      <c r="F1158" s="4"/>
      <c r="G1158" s="4"/>
      <c r="H1158" s="33"/>
      <c r="I1158" s="4"/>
      <c r="J1158" s="4"/>
      <c r="K1158" s="4"/>
      <c r="L1158" s="4"/>
      <c r="M1158" s="5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29"/>
      <c r="AJ1158" s="29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</row>
    <row r="1159">
      <c r="A1159" s="4"/>
      <c r="B1159" s="4"/>
      <c r="C1159" s="4"/>
      <c r="D1159" s="4"/>
      <c r="E1159" s="5"/>
      <c r="F1159" s="4"/>
      <c r="G1159" s="4"/>
      <c r="H1159" s="33"/>
      <c r="I1159" s="4"/>
      <c r="J1159" s="4"/>
      <c r="K1159" s="4"/>
      <c r="L1159" s="4"/>
      <c r="M1159" s="5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29"/>
      <c r="AJ1159" s="29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</row>
    <row r="1160">
      <c r="A1160" s="4"/>
      <c r="B1160" s="4"/>
      <c r="C1160" s="4"/>
      <c r="D1160" s="4"/>
      <c r="E1160" s="5"/>
      <c r="F1160" s="4"/>
      <c r="G1160" s="4"/>
      <c r="H1160" s="33"/>
      <c r="I1160" s="4"/>
      <c r="J1160" s="4"/>
      <c r="K1160" s="4"/>
      <c r="L1160" s="4"/>
      <c r="M1160" s="5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29"/>
      <c r="AJ1160" s="29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</row>
    <row r="1161">
      <c r="A1161" s="4"/>
      <c r="B1161" s="4"/>
      <c r="C1161" s="4"/>
      <c r="D1161" s="4"/>
      <c r="E1161" s="5"/>
      <c r="F1161" s="4"/>
      <c r="G1161" s="4"/>
      <c r="H1161" s="33"/>
      <c r="I1161" s="4"/>
      <c r="J1161" s="4"/>
      <c r="K1161" s="4"/>
      <c r="L1161" s="4"/>
      <c r="M1161" s="5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29"/>
      <c r="AJ1161" s="29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</row>
    <row r="1162">
      <c r="A1162" s="4"/>
      <c r="B1162" s="4"/>
      <c r="C1162" s="4"/>
      <c r="D1162" s="4"/>
      <c r="E1162" s="5"/>
      <c r="F1162" s="4"/>
      <c r="G1162" s="4"/>
      <c r="H1162" s="33"/>
      <c r="I1162" s="4"/>
      <c r="J1162" s="4"/>
      <c r="K1162" s="4"/>
      <c r="L1162" s="4"/>
      <c r="M1162" s="5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29"/>
      <c r="AJ1162" s="29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</row>
    <row r="1163">
      <c r="A1163" s="4"/>
      <c r="B1163" s="4"/>
      <c r="C1163" s="4"/>
      <c r="D1163" s="4"/>
      <c r="E1163" s="5"/>
      <c r="F1163" s="4"/>
      <c r="G1163" s="4"/>
      <c r="H1163" s="33"/>
      <c r="I1163" s="4"/>
      <c r="J1163" s="4"/>
      <c r="K1163" s="4"/>
      <c r="L1163" s="4"/>
      <c r="M1163" s="5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29"/>
      <c r="AJ1163" s="29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</row>
    <row r="1164">
      <c r="A1164" s="4"/>
      <c r="B1164" s="4"/>
      <c r="C1164" s="4"/>
      <c r="D1164" s="4"/>
      <c r="E1164" s="5"/>
      <c r="F1164" s="4"/>
      <c r="G1164" s="4"/>
      <c r="H1164" s="33"/>
      <c r="I1164" s="4"/>
      <c r="J1164" s="4"/>
      <c r="K1164" s="4"/>
      <c r="L1164" s="4"/>
      <c r="M1164" s="5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29"/>
      <c r="AJ1164" s="29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</row>
    <row r="1165">
      <c r="A1165" s="4"/>
      <c r="B1165" s="4"/>
      <c r="C1165" s="4"/>
      <c r="D1165" s="4"/>
      <c r="E1165" s="5"/>
      <c r="F1165" s="4"/>
      <c r="G1165" s="4"/>
      <c r="H1165" s="33"/>
      <c r="I1165" s="4"/>
      <c r="J1165" s="4"/>
      <c r="K1165" s="4"/>
      <c r="L1165" s="4"/>
      <c r="M1165" s="5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29"/>
      <c r="AJ1165" s="29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</row>
    <row r="1166">
      <c r="A1166" s="4"/>
      <c r="B1166" s="4"/>
      <c r="C1166" s="4"/>
      <c r="D1166" s="4"/>
      <c r="E1166" s="5"/>
      <c r="F1166" s="4"/>
      <c r="G1166" s="4"/>
      <c r="H1166" s="33"/>
      <c r="I1166" s="4"/>
      <c r="J1166" s="4"/>
      <c r="K1166" s="4"/>
      <c r="L1166" s="4"/>
      <c r="M1166" s="5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29"/>
      <c r="AJ1166" s="29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</row>
    <row r="1167">
      <c r="A1167" s="4"/>
      <c r="B1167" s="4"/>
      <c r="C1167" s="4"/>
      <c r="D1167" s="4"/>
      <c r="E1167" s="5"/>
      <c r="F1167" s="4"/>
      <c r="G1167" s="4"/>
      <c r="H1167" s="33"/>
      <c r="I1167" s="4"/>
      <c r="J1167" s="4"/>
      <c r="K1167" s="4"/>
      <c r="L1167" s="4"/>
      <c r="M1167" s="5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29"/>
      <c r="AJ1167" s="29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</row>
    <row r="1168">
      <c r="A1168" s="4"/>
      <c r="B1168" s="4"/>
      <c r="C1168" s="4"/>
      <c r="D1168" s="4"/>
      <c r="E1168" s="5"/>
      <c r="F1168" s="4"/>
      <c r="G1168" s="4"/>
      <c r="H1168" s="33"/>
      <c r="I1168" s="4"/>
      <c r="J1168" s="4"/>
      <c r="K1168" s="4"/>
      <c r="L1168" s="4"/>
      <c r="M1168" s="5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29"/>
      <c r="AJ1168" s="29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</row>
    <row r="1169">
      <c r="A1169" s="4"/>
      <c r="B1169" s="4"/>
      <c r="C1169" s="4"/>
      <c r="D1169" s="4"/>
      <c r="E1169" s="5"/>
      <c r="F1169" s="4"/>
      <c r="G1169" s="4"/>
      <c r="H1169" s="33"/>
      <c r="I1169" s="4"/>
      <c r="J1169" s="4"/>
      <c r="K1169" s="4"/>
      <c r="L1169" s="4"/>
      <c r="M1169" s="5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29"/>
      <c r="AJ1169" s="29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</row>
    <row r="1170">
      <c r="A1170" s="4"/>
      <c r="B1170" s="4"/>
      <c r="C1170" s="4"/>
      <c r="D1170" s="4"/>
      <c r="E1170" s="5"/>
      <c r="F1170" s="4"/>
      <c r="G1170" s="4"/>
      <c r="H1170" s="33"/>
      <c r="I1170" s="4"/>
      <c r="J1170" s="4"/>
      <c r="K1170" s="4"/>
      <c r="L1170" s="4"/>
      <c r="M1170" s="5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29"/>
      <c r="AJ1170" s="29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</row>
    <row r="1171">
      <c r="A1171" s="4"/>
      <c r="B1171" s="4"/>
      <c r="C1171" s="4"/>
      <c r="D1171" s="4"/>
      <c r="E1171" s="5"/>
      <c r="F1171" s="4"/>
      <c r="G1171" s="4"/>
      <c r="H1171" s="33"/>
      <c r="I1171" s="4"/>
      <c r="J1171" s="4"/>
      <c r="K1171" s="4"/>
      <c r="L1171" s="4"/>
      <c r="M1171" s="5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29"/>
      <c r="AJ1171" s="29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</row>
    <row r="1172">
      <c r="A1172" s="4"/>
      <c r="B1172" s="4"/>
      <c r="C1172" s="4"/>
      <c r="D1172" s="4"/>
      <c r="E1172" s="5"/>
      <c r="F1172" s="4"/>
      <c r="G1172" s="4"/>
      <c r="H1172" s="33"/>
      <c r="I1172" s="4"/>
      <c r="J1172" s="4"/>
      <c r="K1172" s="4"/>
      <c r="L1172" s="4"/>
      <c r="M1172" s="5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29"/>
      <c r="AJ1172" s="29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</row>
    <row r="1173">
      <c r="A1173" s="4"/>
      <c r="B1173" s="4"/>
      <c r="C1173" s="4"/>
      <c r="D1173" s="4"/>
      <c r="E1173" s="5"/>
      <c r="F1173" s="4"/>
      <c r="G1173" s="4"/>
      <c r="H1173" s="33"/>
      <c r="I1173" s="4"/>
      <c r="J1173" s="4"/>
      <c r="K1173" s="4"/>
      <c r="L1173" s="4"/>
      <c r="M1173" s="5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29"/>
      <c r="AJ1173" s="29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</row>
    <row r="1174">
      <c r="A1174" s="4"/>
      <c r="B1174" s="4"/>
      <c r="C1174" s="4"/>
      <c r="D1174" s="4"/>
      <c r="E1174" s="5"/>
      <c r="F1174" s="4"/>
      <c r="G1174" s="4"/>
      <c r="H1174" s="33"/>
      <c r="I1174" s="4"/>
      <c r="J1174" s="4"/>
      <c r="K1174" s="4"/>
      <c r="L1174" s="4"/>
      <c r="M1174" s="5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29"/>
      <c r="AJ1174" s="29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</row>
    <row r="1175">
      <c r="A1175" s="4"/>
      <c r="B1175" s="4"/>
      <c r="C1175" s="4"/>
      <c r="D1175" s="4"/>
      <c r="E1175" s="5"/>
      <c r="F1175" s="4"/>
      <c r="G1175" s="4"/>
      <c r="H1175" s="33"/>
      <c r="I1175" s="4"/>
      <c r="J1175" s="4"/>
      <c r="K1175" s="4"/>
      <c r="L1175" s="4"/>
      <c r="M1175" s="5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29"/>
      <c r="AJ1175" s="29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</row>
    <row r="1176">
      <c r="A1176" s="4"/>
      <c r="B1176" s="4"/>
      <c r="C1176" s="4"/>
      <c r="D1176" s="4"/>
      <c r="E1176" s="5"/>
      <c r="F1176" s="4"/>
      <c r="G1176" s="4"/>
      <c r="H1176" s="33"/>
      <c r="I1176" s="4"/>
      <c r="J1176" s="4"/>
      <c r="K1176" s="4"/>
      <c r="L1176" s="4"/>
      <c r="M1176" s="5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29"/>
      <c r="AJ1176" s="29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</row>
    <row r="1177">
      <c r="A1177" s="4"/>
      <c r="B1177" s="4"/>
      <c r="C1177" s="4"/>
      <c r="D1177" s="4"/>
      <c r="E1177" s="5"/>
      <c r="F1177" s="4"/>
      <c r="G1177" s="4"/>
      <c r="H1177" s="33"/>
      <c r="I1177" s="4"/>
      <c r="J1177" s="4"/>
      <c r="K1177" s="4"/>
      <c r="L1177" s="4"/>
      <c r="M1177" s="5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29"/>
      <c r="AJ1177" s="29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</row>
    <row r="1178">
      <c r="A1178" s="4"/>
      <c r="B1178" s="4"/>
      <c r="C1178" s="4"/>
      <c r="D1178" s="4"/>
      <c r="E1178" s="5"/>
      <c r="F1178" s="4"/>
      <c r="G1178" s="4"/>
      <c r="H1178" s="33"/>
      <c r="I1178" s="4"/>
      <c r="J1178" s="4"/>
      <c r="K1178" s="4"/>
      <c r="L1178" s="4"/>
      <c r="M1178" s="5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29"/>
      <c r="AJ1178" s="29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</row>
    <row r="1179">
      <c r="A1179" s="4"/>
      <c r="B1179" s="4"/>
      <c r="C1179" s="4"/>
      <c r="D1179" s="4"/>
      <c r="E1179" s="5"/>
      <c r="F1179" s="4"/>
      <c r="G1179" s="4"/>
      <c r="H1179" s="33"/>
      <c r="I1179" s="4"/>
      <c r="J1179" s="4"/>
      <c r="K1179" s="4"/>
      <c r="L1179" s="4"/>
      <c r="M1179" s="5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29"/>
      <c r="AJ1179" s="29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</row>
    <row r="1180">
      <c r="A1180" s="4"/>
      <c r="B1180" s="4"/>
      <c r="C1180" s="4"/>
      <c r="D1180" s="4"/>
      <c r="E1180" s="5"/>
      <c r="F1180" s="4"/>
      <c r="G1180" s="4"/>
      <c r="H1180" s="33"/>
      <c r="I1180" s="4"/>
      <c r="J1180" s="4"/>
      <c r="K1180" s="4"/>
      <c r="L1180" s="4"/>
      <c r="M1180" s="5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29"/>
      <c r="AJ1180" s="29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</row>
    <row r="1181">
      <c r="A1181" s="4"/>
      <c r="B1181" s="4"/>
      <c r="C1181" s="4"/>
      <c r="D1181" s="4"/>
      <c r="E1181" s="5"/>
      <c r="F1181" s="4"/>
      <c r="G1181" s="4"/>
      <c r="H1181" s="33"/>
      <c r="I1181" s="4"/>
      <c r="J1181" s="4"/>
      <c r="K1181" s="4"/>
      <c r="L1181" s="4"/>
      <c r="M1181" s="5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29"/>
      <c r="AJ1181" s="29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</row>
    <row r="1182">
      <c r="A1182" s="4"/>
      <c r="B1182" s="4"/>
      <c r="C1182" s="4"/>
      <c r="D1182" s="4"/>
      <c r="E1182" s="5"/>
      <c r="F1182" s="4"/>
      <c r="G1182" s="4"/>
      <c r="H1182" s="33"/>
      <c r="I1182" s="4"/>
      <c r="J1182" s="4"/>
      <c r="K1182" s="4"/>
      <c r="L1182" s="4"/>
      <c r="M1182" s="5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29"/>
      <c r="AJ1182" s="29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</row>
    <row r="1183">
      <c r="A1183" s="4"/>
      <c r="B1183" s="4"/>
      <c r="C1183" s="4"/>
      <c r="D1183" s="4"/>
      <c r="E1183" s="5"/>
      <c r="F1183" s="4"/>
      <c r="G1183" s="4"/>
      <c r="H1183" s="33"/>
      <c r="I1183" s="4"/>
      <c r="J1183" s="4"/>
      <c r="K1183" s="4"/>
      <c r="L1183" s="4"/>
      <c r="M1183" s="5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29"/>
      <c r="AJ1183" s="29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</row>
    <row r="1184">
      <c r="A1184" s="4"/>
      <c r="B1184" s="4"/>
      <c r="C1184" s="4"/>
      <c r="D1184" s="4"/>
      <c r="E1184" s="5"/>
      <c r="F1184" s="4"/>
      <c r="G1184" s="4"/>
      <c r="H1184" s="33"/>
      <c r="I1184" s="4"/>
      <c r="J1184" s="4"/>
      <c r="K1184" s="4"/>
      <c r="L1184" s="4"/>
      <c r="M1184" s="5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29"/>
      <c r="AJ1184" s="29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</row>
    <row r="1185">
      <c r="A1185" s="4"/>
      <c r="B1185" s="4"/>
      <c r="C1185" s="4"/>
      <c r="D1185" s="4"/>
      <c r="E1185" s="5"/>
      <c r="F1185" s="4"/>
      <c r="G1185" s="4"/>
      <c r="H1185" s="33"/>
      <c r="I1185" s="4"/>
      <c r="J1185" s="4"/>
      <c r="K1185" s="4"/>
      <c r="L1185" s="4"/>
      <c r="M1185" s="5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29"/>
      <c r="AJ1185" s="29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</row>
    <row r="1186">
      <c r="A1186" s="4"/>
      <c r="B1186" s="4"/>
      <c r="C1186" s="4"/>
      <c r="D1186" s="4"/>
      <c r="E1186" s="5"/>
      <c r="F1186" s="4"/>
      <c r="G1186" s="4"/>
      <c r="H1186" s="33"/>
      <c r="I1186" s="4"/>
      <c r="J1186" s="4"/>
      <c r="K1186" s="4"/>
      <c r="L1186" s="4"/>
      <c r="M1186" s="5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29"/>
      <c r="AJ1186" s="29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</row>
    <row r="1187">
      <c r="A1187" s="4"/>
      <c r="B1187" s="4"/>
      <c r="C1187" s="4"/>
      <c r="D1187" s="4"/>
      <c r="E1187" s="5"/>
      <c r="F1187" s="4"/>
      <c r="G1187" s="4"/>
      <c r="H1187" s="33"/>
      <c r="I1187" s="4"/>
      <c r="J1187" s="4"/>
      <c r="K1187" s="4"/>
      <c r="L1187" s="4"/>
      <c r="M1187" s="5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29"/>
      <c r="AJ1187" s="29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</row>
    <row r="1188">
      <c r="A1188" s="4"/>
      <c r="B1188" s="4"/>
      <c r="C1188" s="4"/>
      <c r="D1188" s="4"/>
      <c r="E1188" s="5"/>
      <c r="F1188" s="4"/>
      <c r="G1188" s="4"/>
      <c r="H1188" s="33"/>
      <c r="I1188" s="4"/>
      <c r="J1188" s="4"/>
      <c r="K1188" s="4"/>
      <c r="L1188" s="4"/>
      <c r="M1188" s="5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29"/>
      <c r="AJ1188" s="29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</row>
    <row r="1189">
      <c r="A1189" s="4"/>
      <c r="B1189" s="4"/>
      <c r="C1189" s="4"/>
      <c r="D1189" s="4"/>
      <c r="E1189" s="5"/>
      <c r="F1189" s="4"/>
      <c r="G1189" s="4"/>
      <c r="H1189" s="33"/>
      <c r="I1189" s="4"/>
      <c r="J1189" s="4"/>
      <c r="K1189" s="4"/>
      <c r="L1189" s="4"/>
      <c r="M1189" s="5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29"/>
      <c r="AJ1189" s="29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</row>
    <row r="1190">
      <c r="A1190" s="4"/>
      <c r="B1190" s="4"/>
      <c r="C1190" s="4"/>
      <c r="D1190" s="4"/>
      <c r="E1190" s="5"/>
      <c r="F1190" s="4"/>
      <c r="G1190" s="4"/>
      <c r="H1190" s="33"/>
      <c r="I1190" s="4"/>
      <c r="J1190" s="4"/>
      <c r="K1190" s="4"/>
      <c r="L1190" s="4"/>
      <c r="M1190" s="5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29"/>
      <c r="AJ1190" s="29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</row>
    <row r="1191">
      <c r="A1191" s="4"/>
      <c r="B1191" s="4"/>
      <c r="C1191" s="4"/>
      <c r="D1191" s="4"/>
      <c r="E1191" s="5"/>
      <c r="F1191" s="4"/>
      <c r="G1191" s="4"/>
      <c r="H1191" s="33"/>
      <c r="I1191" s="4"/>
      <c r="J1191" s="4"/>
      <c r="K1191" s="4"/>
      <c r="L1191" s="4"/>
      <c r="M1191" s="5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29"/>
      <c r="AJ1191" s="29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</row>
    <row r="1192">
      <c r="A1192" s="4"/>
      <c r="B1192" s="4"/>
      <c r="C1192" s="4"/>
      <c r="D1192" s="4"/>
      <c r="E1192" s="5"/>
      <c r="F1192" s="4"/>
      <c r="G1192" s="4"/>
      <c r="H1192" s="33"/>
      <c r="I1192" s="4"/>
      <c r="J1192" s="4"/>
      <c r="K1192" s="4"/>
      <c r="L1192" s="4"/>
      <c r="M1192" s="5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29"/>
      <c r="AJ1192" s="29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</row>
    <row r="1193">
      <c r="A1193" s="4"/>
      <c r="B1193" s="4"/>
      <c r="C1193" s="4"/>
      <c r="D1193" s="4"/>
      <c r="E1193" s="5"/>
      <c r="F1193" s="4"/>
      <c r="G1193" s="4"/>
      <c r="H1193" s="33"/>
      <c r="I1193" s="4"/>
      <c r="J1193" s="4"/>
      <c r="K1193" s="4"/>
      <c r="L1193" s="4"/>
      <c r="M1193" s="5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29"/>
      <c r="AJ1193" s="29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</row>
    <row r="1194">
      <c r="A1194" s="4"/>
      <c r="B1194" s="4"/>
      <c r="C1194" s="4"/>
      <c r="D1194" s="4"/>
      <c r="E1194" s="5"/>
      <c r="F1194" s="4"/>
      <c r="G1194" s="4"/>
      <c r="H1194" s="33"/>
      <c r="I1194" s="4"/>
      <c r="J1194" s="4"/>
      <c r="K1194" s="4"/>
      <c r="L1194" s="4"/>
      <c r="M1194" s="5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29"/>
      <c r="AJ1194" s="29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</row>
    <row r="1195">
      <c r="A1195" s="4"/>
      <c r="B1195" s="4"/>
      <c r="C1195" s="4"/>
      <c r="D1195" s="4"/>
      <c r="E1195" s="5"/>
      <c r="F1195" s="4"/>
      <c r="G1195" s="4"/>
      <c r="H1195" s="33"/>
      <c r="I1195" s="4"/>
      <c r="J1195" s="4"/>
      <c r="K1195" s="4"/>
      <c r="L1195" s="4"/>
      <c r="M1195" s="5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29"/>
      <c r="AJ1195" s="29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</row>
    <row r="1196">
      <c r="A1196" s="4"/>
      <c r="B1196" s="4"/>
      <c r="C1196" s="4"/>
      <c r="D1196" s="4"/>
      <c r="E1196" s="5"/>
      <c r="F1196" s="4"/>
      <c r="G1196" s="4"/>
      <c r="H1196" s="33"/>
      <c r="I1196" s="4"/>
      <c r="J1196" s="4"/>
      <c r="K1196" s="4"/>
      <c r="L1196" s="4"/>
      <c r="M1196" s="5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29"/>
      <c r="AJ1196" s="29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</row>
    <row r="1197">
      <c r="A1197" s="4"/>
      <c r="B1197" s="4"/>
      <c r="C1197" s="4"/>
      <c r="D1197" s="4"/>
      <c r="E1197" s="5"/>
      <c r="F1197" s="4"/>
      <c r="G1197" s="4"/>
      <c r="H1197" s="33"/>
      <c r="I1197" s="4"/>
      <c r="J1197" s="4"/>
      <c r="K1197" s="4"/>
      <c r="L1197" s="4"/>
      <c r="M1197" s="5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29"/>
      <c r="AJ1197" s="29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</row>
    <row r="1198">
      <c r="A1198" s="4"/>
      <c r="B1198" s="4"/>
      <c r="C1198" s="4"/>
      <c r="D1198" s="4"/>
      <c r="E1198" s="5"/>
      <c r="F1198" s="4"/>
      <c r="G1198" s="4"/>
      <c r="H1198" s="33"/>
      <c r="I1198" s="4"/>
      <c r="J1198" s="4"/>
      <c r="K1198" s="4"/>
      <c r="L1198" s="4"/>
      <c r="M1198" s="5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29"/>
      <c r="AJ1198" s="29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</row>
    <row r="1199">
      <c r="A1199" s="4"/>
      <c r="B1199" s="4"/>
      <c r="C1199" s="4"/>
      <c r="D1199" s="4"/>
      <c r="E1199" s="5"/>
      <c r="F1199" s="4"/>
      <c r="G1199" s="4"/>
      <c r="H1199" s="33"/>
      <c r="I1199" s="4"/>
      <c r="J1199" s="4"/>
      <c r="K1199" s="4"/>
      <c r="L1199" s="4"/>
      <c r="M1199" s="5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29"/>
      <c r="AJ1199" s="29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</row>
    <row r="1200">
      <c r="A1200" s="4"/>
      <c r="B1200" s="4"/>
      <c r="C1200" s="4"/>
      <c r="D1200" s="4"/>
      <c r="E1200" s="5"/>
      <c r="F1200" s="4"/>
      <c r="G1200" s="4"/>
      <c r="H1200" s="33"/>
      <c r="I1200" s="4"/>
      <c r="J1200" s="4"/>
      <c r="K1200" s="4"/>
      <c r="L1200" s="4"/>
      <c r="M1200" s="5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29"/>
      <c r="AJ1200" s="29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</row>
    <row r="1201">
      <c r="A1201" s="4"/>
      <c r="B1201" s="4"/>
      <c r="C1201" s="4"/>
      <c r="D1201" s="4"/>
      <c r="E1201" s="5"/>
      <c r="F1201" s="4"/>
      <c r="G1201" s="4"/>
      <c r="H1201" s="33"/>
      <c r="I1201" s="4"/>
      <c r="J1201" s="4"/>
      <c r="K1201" s="4"/>
      <c r="L1201" s="4"/>
      <c r="M1201" s="5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29"/>
      <c r="AJ1201" s="29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</row>
    <row r="1202">
      <c r="A1202" s="4"/>
      <c r="B1202" s="4"/>
      <c r="C1202" s="4"/>
      <c r="D1202" s="4"/>
      <c r="E1202" s="5"/>
      <c r="F1202" s="4"/>
      <c r="G1202" s="4"/>
      <c r="H1202" s="33"/>
      <c r="I1202" s="4"/>
      <c r="J1202" s="4"/>
      <c r="K1202" s="4"/>
      <c r="L1202" s="4"/>
      <c r="M1202" s="5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29"/>
      <c r="AJ1202" s="29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</row>
    <row r="1203">
      <c r="A1203" s="4"/>
      <c r="B1203" s="4"/>
      <c r="C1203" s="4"/>
      <c r="D1203" s="4"/>
      <c r="E1203" s="5"/>
      <c r="F1203" s="4"/>
      <c r="G1203" s="4"/>
      <c r="H1203" s="33"/>
      <c r="I1203" s="4"/>
      <c r="J1203" s="4"/>
      <c r="K1203" s="4"/>
      <c r="L1203" s="4"/>
      <c r="M1203" s="5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29"/>
      <c r="AJ1203" s="29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</row>
    <row r="1204">
      <c r="A1204" s="4"/>
      <c r="B1204" s="4"/>
      <c r="C1204" s="4"/>
      <c r="D1204" s="4"/>
      <c r="E1204" s="5"/>
      <c r="F1204" s="4"/>
      <c r="G1204" s="4"/>
      <c r="H1204" s="33"/>
      <c r="I1204" s="4"/>
      <c r="J1204" s="4"/>
      <c r="K1204" s="4"/>
      <c r="L1204" s="4"/>
      <c r="M1204" s="5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29"/>
      <c r="AJ1204" s="29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</row>
    <row r="1205">
      <c r="A1205" s="4"/>
      <c r="B1205" s="4"/>
      <c r="C1205" s="4"/>
      <c r="D1205" s="4"/>
      <c r="E1205" s="5"/>
      <c r="F1205" s="4"/>
      <c r="G1205" s="4"/>
      <c r="H1205" s="33"/>
      <c r="I1205" s="4"/>
      <c r="J1205" s="4"/>
      <c r="K1205" s="4"/>
      <c r="L1205" s="4"/>
      <c r="M1205" s="5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29"/>
      <c r="AJ1205" s="29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</row>
    <row r="1206">
      <c r="A1206" s="4"/>
      <c r="B1206" s="4"/>
      <c r="C1206" s="4"/>
      <c r="D1206" s="4"/>
      <c r="E1206" s="5"/>
      <c r="F1206" s="4"/>
      <c r="G1206" s="4"/>
      <c r="H1206" s="33"/>
      <c r="I1206" s="4"/>
      <c r="J1206" s="4"/>
      <c r="K1206" s="4"/>
      <c r="L1206" s="4"/>
      <c r="M1206" s="5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29"/>
      <c r="AJ1206" s="29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</row>
    <row r="1207">
      <c r="A1207" s="4"/>
      <c r="B1207" s="4"/>
      <c r="C1207" s="4"/>
      <c r="D1207" s="4"/>
      <c r="E1207" s="5"/>
      <c r="F1207" s="4"/>
      <c r="G1207" s="4"/>
      <c r="H1207" s="33"/>
      <c r="I1207" s="4"/>
      <c r="J1207" s="4"/>
      <c r="K1207" s="4"/>
      <c r="L1207" s="4"/>
      <c r="M1207" s="5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29"/>
      <c r="AJ1207" s="29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</row>
    <row r="1208">
      <c r="A1208" s="4"/>
      <c r="B1208" s="4"/>
      <c r="C1208" s="4"/>
      <c r="D1208" s="4"/>
      <c r="E1208" s="5"/>
      <c r="F1208" s="4"/>
      <c r="G1208" s="4"/>
      <c r="H1208" s="33"/>
      <c r="I1208" s="4"/>
      <c r="J1208" s="4"/>
      <c r="K1208" s="4"/>
      <c r="L1208" s="4"/>
      <c r="M1208" s="5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29"/>
      <c r="AJ1208" s="29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</row>
    <row r="1209">
      <c r="A1209" s="4"/>
      <c r="B1209" s="4"/>
      <c r="C1209" s="4"/>
      <c r="D1209" s="4"/>
      <c r="E1209" s="5"/>
      <c r="F1209" s="4"/>
      <c r="G1209" s="4"/>
      <c r="H1209" s="33"/>
      <c r="I1209" s="4"/>
      <c r="J1209" s="4"/>
      <c r="K1209" s="4"/>
      <c r="L1209" s="4"/>
      <c r="M1209" s="5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29"/>
      <c r="AJ1209" s="29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</row>
    <row r="1210">
      <c r="A1210" s="4"/>
      <c r="B1210" s="4"/>
      <c r="C1210" s="4"/>
      <c r="D1210" s="4"/>
      <c r="E1210" s="5"/>
      <c r="F1210" s="4"/>
      <c r="G1210" s="4"/>
      <c r="H1210" s="33"/>
      <c r="I1210" s="4"/>
      <c r="J1210" s="4"/>
      <c r="K1210" s="4"/>
      <c r="L1210" s="4"/>
      <c r="M1210" s="5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29"/>
      <c r="AJ1210" s="29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</row>
    <row r="1211">
      <c r="A1211" s="4"/>
      <c r="B1211" s="4"/>
      <c r="C1211" s="4"/>
      <c r="D1211" s="4"/>
      <c r="E1211" s="5"/>
      <c r="F1211" s="4"/>
      <c r="G1211" s="4"/>
      <c r="H1211" s="33"/>
      <c r="I1211" s="4"/>
      <c r="J1211" s="4"/>
      <c r="K1211" s="4"/>
      <c r="L1211" s="4"/>
      <c r="M1211" s="5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29"/>
      <c r="AJ1211" s="29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</row>
    <row r="1212">
      <c r="A1212" s="4"/>
      <c r="B1212" s="4"/>
      <c r="C1212" s="4"/>
      <c r="D1212" s="4"/>
      <c r="E1212" s="5"/>
      <c r="F1212" s="4"/>
      <c r="G1212" s="4"/>
      <c r="H1212" s="33"/>
      <c r="I1212" s="4"/>
      <c r="J1212" s="4"/>
      <c r="K1212" s="4"/>
      <c r="L1212" s="4"/>
      <c r="M1212" s="5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29"/>
      <c r="AJ1212" s="29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</row>
    <row r="1213">
      <c r="A1213" s="4"/>
      <c r="B1213" s="4"/>
      <c r="C1213" s="4"/>
      <c r="D1213" s="4"/>
      <c r="E1213" s="5"/>
      <c r="F1213" s="4"/>
      <c r="G1213" s="4"/>
      <c r="H1213" s="33"/>
      <c r="I1213" s="4"/>
      <c r="J1213" s="4"/>
      <c r="K1213" s="4"/>
      <c r="L1213" s="4"/>
      <c r="M1213" s="5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29"/>
      <c r="AJ1213" s="29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</row>
    <row r="1214">
      <c r="A1214" s="4"/>
      <c r="B1214" s="4"/>
      <c r="C1214" s="4"/>
      <c r="D1214" s="4"/>
      <c r="E1214" s="5"/>
      <c r="F1214" s="4"/>
      <c r="G1214" s="4"/>
      <c r="H1214" s="33"/>
      <c r="I1214" s="4"/>
      <c r="J1214" s="4"/>
      <c r="K1214" s="4"/>
      <c r="L1214" s="4"/>
      <c r="M1214" s="5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29"/>
      <c r="AJ1214" s="29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</row>
    <row r="1215">
      <c r="A1215" s="4"/>
      <c r="B1215" s="4"/>
      <c r="C1215" s="4"/>
      <c r="D1215" s="4"/>
      <c r="E1215" s="5"/>
      <c r="F1215" s="4"/>
      <c r="G1215" s="4"/>
      <c r="H1215" s="33"/>
      <c r="I1215" s="4"/>
      <c r="J1215" s="4"/>
      <c r="K1215" s="4"/>
      <c r="L1215" s="4"/>
      <c r="M1215" s="5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29"/>
      <c r="AJ1215" s="29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</row>
    <row r="1216">
      <c r="A1216" s="4"/>
      <c r="B1216" s="4"/>
      <c r="C1216" s="4"/>
      <c r="D1216" s="4"/>
      <c r="E1216" s="5"/>
      <c r="F1216" s="4"/>
      <c r="G1216" s="4"/>
      <c r="H1216" s="33"/>
      <c r="I1216" s="4"/>
      <c r="J1216" s="4"/>
      <c r="K1216" s="4"/>
      <c r="L1216" s="4"/>
      <c r="M1216" s="5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29"/>
      <c r="AJ1216" s="29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</row>
    <row r="1217">
      <c r="A1217" s="4"/>
      <c r="B1217" s="4"/>
      <c r="C1217" s="4"/>
      <c r="D1217" s="4"/>
      <c r="E1217" s="5"/>
      <c r="F1217" s="4"/>
      <c r="G1217" s="4"/>
      <c r="H1217" s="33"/>
      <c r="I1217" s="4"/>
      <c r="J1217" s="4"/>
      <c r="K1217" s="4"/>
      <c r="L1217" s="4"/>
      <c r="M1217" s="5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29"/>
      <c r="AJ1217" s="29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</row>
    <row r="1218">
      <c r="A1218" s="4"/>
      <c r="B1218" s="4"/>
      <c r="C1218" s="4"/>
      <c r="D1218" s="4"/>
      <c r="E1218" s="5"/>
      <c r="F1218" s="4"/>
      <c r="G1218" s="4"/>
      <c r="H1218" s="33"/>
      <c r="I1218" s="4"/>
      <c r="J1218" s="4"/>
      <c r="K1218" s="4"/>
      <c r="L1218" s="4"/>
      <c r="M1218" s="5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29"/>
      <c r="AJ1218" s="29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</row>
    <row r="1219">
      <c r="A1219" s="4"/>
      <c r="B1219" s="4"/>
      <c r="C1219" s="4"/>
      <c r="D1219" s="4"/>
      <c r="E1219" s="5"/>
      <c r="F1219" s="4"/>
      <c r="G1219" s="4"/>
      <c r="H1219" s="33"/>
      <c r="I1219" s="4"/>
      <c r="J1219" s="4"/>
      <c r="K1219" s="4"/>
      <c r="L1219" s="4"/>
      <c r="M1219" s="5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29"/>
      <c r="AJ1219" s="29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</row>
    <row r="1220">
      <c r="A1220" s="4"/>
      <c r="B1220" s="4"/>
      <c r="C1220" s="4"/>
      <c r="D1220" s="4"/>
      <c r="E1220" s="5"/>
      <c r="F1220" s="4"/>
      <c r="G1220" s="4"/>
      <c r="H1220" s="33"/>
      <c r="I1220" s="4"/>
      <c r="J1220" s="4"/>
      <c r="K1220" s="4"/>
      <c r="L1220" s="4"/>
      <c r="M1220" s="5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29"/>
      <c r="AJ1220" s="29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</row>
    <row r="1221">
      <c r="A1221" s="4"/>
      <c r="B1221" s="4"/>
      <c r="C1221" s="4"/>
      <c r="D1221" s="4"/>
      <c r="E1221" s="5"/>
      <c r="F1221" s="4"/>
      <c r="G1221" s="4"/>
      <c r="H1221" s="33"/>
      <c r="I1221" s="4"/>
      <c r="J1221" s="4"/>
      <c r="K1221" s="4"/>
      <c r="L1221" s="4"/>
      <c r="M1221" s="5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29"/>
      <c r="AJ1221" s="29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</row>
    <row r="1222">
      <c r="A1222" s="4"/>
      <c r="B1222" s="4"/>
      <c r="C1222" s="4"/>
      <c r="D1222" s="4"/>
      <c r="E1222" s="5"/>
      <c r="F1222" s="4"/>
      <c r="G1222" s="4"/>
      <c r="H1222" s="33"/>
      <c r="I1222" s="4"/>
      <c r="J1222" s="4"/>
      <c r="K1222" s="4"/>
      <c r="L1222" s="4"/>
      <c r="M1222" s="5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29"/>
      <c r="AJ1222" s="29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</row>
    <row r="1223">
      <c r="A1223" s="4"/>
      <c r="B1223" s="4"/>
      <c r="C1223" s="4"/>
      <c r="D1223" s="4"/>
      <c r="E1223" s="5"/>
      <c r="F1223" s="4"/>
      <c r="G1223" s="4"/>
      <c r="H1223" s="33"/>
      <c r="I1223" s="4"/>
      <c r="J1223" s="4"/>
      <c r="K1223" s="4"/>
      <c r="L1223" s="4"/>
      <c r="M1223" s="5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29"/>
      <c r="AJ1223" s="29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</row>
    <row r="1224">
      <c r="A1224" s="4"/>
      <c r="B1224" s="4"/>
      <c r="C1224" s="4"/>
      <c r="D1224" s="4"/>
      <c r="E1224" s="5"/>
      <c r="F1224" s="4"/>
      <c r="G1224" s="4"/>
      <c r="H1224" s="33"/>
      <c r="I1224" s="4"/>
      <c r="J1224" s="4"/>
      <c r="K1224" s="4"/>
      <c r="L1224" s="4"/>
      <c r="M1224" s="5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29"/>
      <c r="AJ1224" s="29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</row>
    <row r="1225">
      <c r="A1225" s="4"/>
      <c r="B1225" s="4"/>
      <c r="C1225" s="4"/>
      <c r="D1225" s="4"/>
      <c r="E1225" s="5"/>
      <c r="F1225" s="4"/>
      <c r="G1225" s="4"/>
      <c r="H1225" s="33"/>
      <c r="I1225" s="4"/>
      <c r="J1225" s="4"/>
      <c r="K1225" s="4"/>
      <c r="L1225" s="4"/>
      <c r="M1225" s="5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29"/>
      <c r="AJ1225" s="29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</row>
    <row r="1226">
      <c r="A1226" s="4"/>
      <c r="B1226" s="4"/>
      <c r="C1226" s="4"/>
      <c r="D1226" s="4"/>
      <c r="E1226" s="5"/>
      <c r="F1226" s="4"/>
      <c r="G1226" s="4"/>
      <c r="H1226" s="33"/>
      <c r="I1226" s="4"/>
      <c r="J1226" s="4"/>
      <c r="K1226" s="4"/>
      <c r="L1226" s="4"/>
      <c r="M1226" s="5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29"/>
      <c r="AJ1226" s="29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</row>
    <row r="1227">
      <c r="A1227" s="4"/>
      <c r="B1227" s="4"/>
      <c r="C1227" s="4"/>
      <c r="D1227" s="4"/>
      <c r="E1227" s="5"/>
      <c r="F1227" s="4"/>
      <c r="G1227" s="4"/>
      <c r="H1227" s="33"/>
      <c r="I1227" s="4"/>
      <c r="J1227" s="4"/>
      <c r="K1227" s="4"/>
      <c r="L1227" s="4"/>
      <c r="M1227" s="5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29"/>
      <c r="AJ1227" s="29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</row>
    <row r="1228">
      <c r="A1228" s="4"/>
      <c r="B1228" s="4"/>
      <c r="C1228" s="4"/>
      <c r="D1228" s="4"/>
      <c r="E1228" s="5"/>
      <c r="F1228" s="4"/>
      <c r="G1228" s="4"/>
      <c r="H1228" s="33"/>
      <c r="I1228" s="4"/>
      <c r="J1228" s="4"/>
      <c r="K1228" s="4"/>
      <c r="L1228" s="4"/>
      <c r="M1228" s="5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29"/>
      <c r="AJ1228" s="29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</row>
    <row r="1229">
      <c r="A1229" s="4"/>
      <c r="B1229" s="4"/>
      <c r="C1229" s="4"/>
      <c r="D1229" s="4"/>
      <c r="E1229" s="5"/>
      <c r="F1229" s="4"/>
      <c r="G1229" s="4"/>
      <c r="H1229" s="33"/>
      <c r="I1229" s="4"/>
      <c r="J1229" s="4"/>
      <c r="K1229" s="4"/>
      <c r="L1229" s="4"/>
      <c r="M1229" s="5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29"/>
      <c r="AJ1229" s="29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</row>
    <row r="1230">
      <c r="A1230" s="4"/>
      <c r="B1230" s="4"/>
      <c r="C1230" s="4"/>
      <c r="D1230" s="4"/>
      <c r="E1230" s="5"/>
      <c r="F1230" s="4"/>
      <c r="G1230" s="4"/>
      <c r="H1230" s="33"/>
      <c r="I1230" s="4"/>
      <c r="J1230" s="4"/>
      <c r="K1230" s="4"/>
      <c r="L1230" s="4"/>
      <c r="M1230" s="5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29"/>
      <c r="AJ1230" s="29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</row>
    <row r="1231">
      <c r="A1231" s="4"/>
      <c r="B1231" s="4"/>
      <c r="C1231" s="4"/>
      <c r="D1231" s="4"/>
      <c r="E1231" s="5"/>
      <c r="F1231" s="4"/>
      <c r="G1231" s="4"/>
      <c r="H1231" s="33"/>
      <c r="I1231" s="4"/>
      <c r="J1231" s="4"/>
      <c r="K1231" s="4"/>
      <c r="L1231" s="4"/>
      <c r="M1231" s="5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29"/>
      <c r="AJ1231" s="29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</row>
    <row r="1232">
      <c r="A1232" s="4"/>
      <c r="B1232" s="4"/>
      <c r="C1232" s="4"/>
      <c r="D1232" s="4"/>
      <c r="E1232" s="5"/>
      <c r="F1232" s="4"/>
      <c r="G1232" s="4"/>
      <c r="H1232" s="33"/>
      <c r="I1232" s="4"/>
      <c r="J1232" s="4"/>
      <c r="K1232" s="4"/>
      <c r="L1232" s="4"/>
      <c r="M1232" s="5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29"/>
      <c r="AJ1232" s="29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</row>
    <row r="1233">
      <c r="A1233" s="4"/>
      <c r="B1233" s="4"/>
      <c r="C1233" s="4"/>
      <c r="D1233" s="4"/>
      <c r="E1233" s="5"/>
      <c r="F1233" s="4"/>
      <c r="G1233" s="4"/>
      <c r="H1233" s="33"/>
      <c r="I1233" s="4"/>
      <c r="J1233" s="4"/>
      <c r="K1233" s="4"/>
      <c r="L1233" s="4"/>
      <c r="M1233" s="5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29"/>
      <c r="AJ1233" s="29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</row>
    <row r="1234">
      <c r="A1234" s="4"/>
      <c r="B1234" s="4"/>
      <c r="C1234" s="4"/>
      <c r="D1234" s="4"/>
      <c r="E1234" s="5"/>
      <c r="F1234" s="4"/>
      <c r="G1234" s="4"/>
      <c r="H1234" s="33"/>
      <c r="I1234" s="4"/>
      <c r="J1234" s="4"/>
      <c r="K1234" s="4"/>
      <c r="L1234" s="4"/>
      <c r="M1234" s="5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29"/>
      <c r="AJ1234" s="29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</row>
    <row r="1235">
      <c r="A1235" s="4"/>
      <c r="B1235" s="4"/>
      <c r="C1235" s="4"/>
      <c r="D1235" s="4"/>
      <c r="E1235" s="5"/>
      <c r="F1235" s="4"/>
      <c r="G1235" s="4"/>
      <c r="H1235" s="33"/>
      <c r="I1235" s="4"/>
      <c r="J1235" s="4"/>
      <c r="K1235" s="4"/>
      <c r="L1235" s="4"/>
      <c r="M1235" s="5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29"/>
      <c r="AJ1235" s="29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</row>
    <row r="1236">
      <c r="A1236" s="4"/>
      <c r="B1236" s="4"/>
      <c r="C1236" s="4"/>
      <c r="D1236" s="4"/>
      <c r="E1236" s="5"/>
      <c r="F1236" s="4"/>
      <c r="G1236" s="4"/>
      <c r="H1236" s="33"/>
      <c r="I1236" s="4"/>
      <c r="J1236" s="4"/>
      <c r="K1236" s="4"/>
      <c r="L1236" s="4"/>
      <c r="M1236" s="5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29"/>
      <c r="AJ1236" s="29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</row>
    <row r="1237">
      <c r="A1237" s="4"/>
      <c r="B1237" s="4"/>
      <c r="C1237" s="4"/>
      <c r="D1237" s="4"/>
      <c r="E1237" s="5"/>
      <c r="F1237" s="4"/>
      <c r="G1237" s="4"/>
      <c r="H1237" s="33"/>
      <c r="I1237" s="4"/>
      <c r="J1237" s="4"/>
      <c r="K1237" s="4"/>
      <c r="L1237" s="4"/>
      <c r="M1237" s="5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29"/>
      <c r="AJ1237" s="29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</row>
    <row r="1238">
      <c r="A1238" s="4"/>
      <c r="B1238" s="4"/>
      <c r="C1238" s="4"/>
      <c r="D1238" s="4"/>
      <c r="E1238" s="5"/>
      <c r="F1238" s="4"/>
      <c r="G1238" s="4"/>
      <c r="H1238" s="33"/>
      <c r="I1238" s="4"/>
      <c r="J1238" s="4"/>
      <c r="K1238" s="4"/>
      <c r="L1238" s="4"/>
      <c r="M1238" s="5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29"/>
      <c r="AJ1238" s="29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</row>
    <row r="1239">
      <c r="A1239" s="4"/>
      <c r="B1239" s="4"/>
      <c r="C1239" s="4"/>
      <c r="D1239" s="4"/>
      <c r="E1239" s="5"/>
      <c r="F1239" s="4"/>
      <c r="G1239" s="4"/>
      <c r="H1239" s="33"/>
      <c r="I1239" s="4"/>
      <c r="J1239" s="4"/>
      <c r="K1239" s="4"/>
      <c r="L1239" s="4"/>
      <c r="M1239" s="5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29"/>
      <c r="AJ1239" s="29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</row>
    <row r="1240">
      <c r="A1240" s="4"/>
      <c r="B1240" s="4"/>
      <c r="C1240" s="4"/>
      <c r="D1240" s="4"/>
      <c r="E1240" s="5"/>
      <c r="F1240" s="4"/>
      <c r="G1240" s="4"/>
      <c r="H1240" s="33"/>
      <c r="I1240" s="4"/>
      <c r="J1240" s="4"/>
      <c r="K1240" s="4"/>
      <c r="L1240" s="4"/>
      <c r="M1240" s="5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29"/>
      <c r="AJ1240" s="29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</row>
    <row r="1241">
      <c r="A1241" s="4"/>
      <c r="B1241" s="4"/>
      <c r="C1241" s="4"/>
      <c r="D1241" s="4"/>
      <c r="E1241" s="5"/>
      <c r="F1241" s="4"/>
      <c r="G1241" s="4"/>
      <c r="H1241" s="33"/>
      <c r="I1241" s="4"/>
      <c r="J1241" s="4"/>
      <c r="K1241" s="4"/>
      <c r="L1241" s="4"/>
      <c r="M1241" s="5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29"/>
      <c r="AJ1241" s="29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</row>
    <row r="1242">
      <c r="A1242" s="4"/>
      <c r="B1242" s="4"/>
      <c r="C1242" s="4"/>
      <c r="D1242" s="4"/>
      <c r="E1242" s="5"/>
      <c r="F1242" s="4"/>
      <c r="G1242" s="4"/>
      <c r="H1242" s="33"/>
      <c r="I1242" s="4"/>
      <c r="J1242" s="4"/>
      <c r="K1242" s="4"/>
      <c r="L1242" s="4"/>
      <c r="M1242" s="5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29"/>
      <c r="AJ1242" s="29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</row>
    <row r="1243">
      <c r="A1243" s="4"/>
      <c r="B1243" s="4"/>
      <c r="C1243" s="4"/>
      <c r="D1243" s="4"/>
      <c r="E1243" s="5"/>
      <c r="F1243" s="4"/>
      <c r="G1243" s="4"/>
      <c r="H1243" s="33"/>
      <c r="I1243" s="4"/>
      <c r="J1243" s="4"/>
      <c r="K1243" s="4"/>
      <c r="L1243" s="4"/>
      <c r="M1243" s="5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29"/>
      <c r="AJ1243" s="29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</row>
    <row r="1244">
      <c r="A1244" s="4"/>
      <c r="B1244" s="4"/>
      <c r="C1244" s="4"/>
      <c r="D1244" s="4"/>
      <c r="E1244" s="5"/>
      <c r="F1244" s="4"/>
      <c r="G1244" s="4"/>
      <c r="H1244" s="33"/>
      <c r="I1244" s="4"/>
      <c r="J1244" s="4"/>
      <c r="K1244" s="4"/>
      <c r="L1244" s="4"/>
      <c r="M1244" s="5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29"/>
      <c r="AJ1244" s="29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</row>
    <row r="1245">
      <c r="A1245" s="4"/>
      <c r="B1245" s="4"/>
      <c r="C1245" s="4"/>
      <c r="D1245" s="4"/>
      <c r="E1245" s="5"/>
      <c r="F1245" s="4"/>
      <c r="G1245" s="4"/>
      <c r="H1245" s="33"/>
      <c r="I1245" s="4"/>
      <c r="J1245" s="4"/>
      <c r="K1245" s="4"/>
      <c r="L1245" s="4"/>
      <c r="M1245" s="5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29"/>
      <c r="AJ1245" s="29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</row>
    <row r="1246">
      <c r="A1246" s="4"/>
      <c r="B1246" s="4"/>
      <c r="C1246" s="4"/>
      <c r="D1246" s="4"/>
      <c r="E1246" s="5"/>
      <c r="F1246" s="4"/>
      <c r="G1246" s="4"/>
      <c r="H1246" s="33"/>
      <c r="I1246" s="4"/>
      <c r="J1246" s="4"/>
      <c r="K1246" s="4"/>
      <c r="L1246" s="4"/>
      <c r="M1246" s="5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29"/>
      <c r="AJ1246" s="29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</row>
    <row r="1247">
      <c r="A1247" s="4"/>
      <c r="B1247" s="4"/>
      <c r="C1247" s="4"/>
      <c r="D1247" s="4"/>
      <c r="E1247" s="5"/>
      <c r="F1247" s="4"/>
      <c r="G1247" s="4"/>
      <c r="H1247" s="33"/>
      <c r="I1247" s="4"/>
      <c r="J1247" s="4"/>
      <c r="K1247" s="4"/>
      <c r="L1247" s="4"/>
      <c r="M1247" s="5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29"/>
      <c r="AJ1247" s="29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</row>
    <row r="1248">
      <c r="A1248" s="4"/>
      <c r="B1248" s="4"/>
      <c r="C1248" s="4"/>
      <c r="D1248" s="4"/>
      <c r="E1248" s="5"/>
      <c r="F1248" s="4"/>
      <c r="G1248" s="4"/>
      <c r="H1248" s="33"/>
      <c r="I1248" s="4"/>
      <c r="J1248" s="4"/>
      <c r="K1248" s="4"/>
      <c r="L1248" s="4"/>
      <c r="M1248" s="5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29"/>
      <c r="AJ1248" s="29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</row>
    <row r="1249">
      <c r="A1249" s="4"/>
      <c r="B1249" s="4"/>
      <c r="C1249" s="4"/>
      <c r="D1249" s="4"/>
      <c r="E1249" s="5"/>
      <c r="F1249" s="4"/>
      <c r="G1249" s="4"/>
      <c r="H1249" s="33"/>
      <c r="I1249" s="4"/>
      <c r="J1249" s="4"/>
      <c r="K1249" s="4"/>
      <c r="L1249" s="4"/>
      <c r="M1249" s="5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29"/>
      <c r="AJ1249" s="29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</row>
    <row r="1250">
      <c r="A1250" s="4"/>
      <c r="B1250" s="4"/>
      <c r="C1250" s="4"/>
      <c r="D1250" s="4"/>
      <c r="E1250" s="5"/>
      <c r="F1250" s="4"/>
      <c r="G1250" s="4"/>
      <c r="H1250" s="33"/>
      <c r="I1250" s="4"/>
      <c r="J1250" s="4"/>
      <c r="K1250" s="4"/>
      <c r="L1250" s="4"/>
      <c r="M1250" s="5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29"/>
      <c r="AJ1250" s="29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</row>
    <row r="1251">
      <c r="A1251" s="4"/>
      <c r="B1251" s="4"/>
      <c r="C1251" s="4"/>
      <c r="D1251" s="4"/>
      <c r="E1251" s="5"/>
      <c r="F1251" s="4"/>
      <c r="G1251" s="4"/>
      <c r="H1251" s="33"/>
      <c r="I1251" s="4"/>
      <c r="J1251" s="4"/>
      <c r="K1251" s="4"/>
      <c r="L1251" s="4"/>
      <c r="M1251" s="5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29"/>
      <c r="AJ1251" s="29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</row>
    <row r="1252">
      <c r="A1252" s="4"/>
      <c r="B1252" s="4"/>
      <c r="C1252" s="4"/>
      <c r="D1252" s="4"/>
      <c r="E1252" s="5"/>
      <c r="F1252" s="4"/>
      <c r="G1252" s="4"/>
      <c r="H1252" s="33"/>
      <c r="I1252" s="4"/>
      <c r="J1252" s="4"/>
      <c r="K1252" s="4"/>
      <c r="L1252" s="4"/>
      <c r="M1252" s="5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29"/>
      <c r="AJ1252" s="29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</row>
    <row r="1253">
      <c r="A1253" s="4"/>
      <c r="B1253" s="4"/>
      <c r="C1253" s="4"/>
      <c r="D1253" s="4"/>
      <c r="E1253" s="5"/>
      <c r="F1253" s="4"/>
      <c r="G1253" s="4"/>
      <c r="H1253" s="33"/>
      <c r="I1253" s="4"/>
      <c r="J1253" s="4"/>
      <c r="K1253" s="4"/>
      <c r="L1253" s="4"/>
      <c r="M1253" s="5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29"/>
      <c r="AJ1253" s="29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</row>
    <row r="1254">
      <c r="A1254" s="4"/>
      <c r="B1254" s="4"/>
      <c r="C1254" s="4"/>
      <c r="D1254" s="4"/>
      <c r="E1254" s="5"/>
      <c r="F1254" s="4"/>
      <c r="G1254" s="4"/>
      <c r="H1254" s="33"/>
      <c r="I1254" s="4"/>
      <c r="J1254" s="4"/>
      <c r="K1254" s="4"/>
      <c r="L1254" s="4"/>
      <c r="M1254" s="5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29"/>
      <c r="AJ1254" s="29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</row>
    <row r="1255">
      <c r="A1255" s="4"/>
      <c r="B1255" s="4"/>
      <c r="C1255" s="4"/>
      <c r="D1255" s="4"/>
      <c r="E1255" s="5"/>
      <c r="F1255" s="4"/>
      <c r="G1255" s="4"/>
      <c r="H1255" s="33"/>
      <c r="I1255" s="4"/>
      <c r="J1255" s="4"/>
      <c r="K1255" s="4"/>
      <c r="L1255" s="4"/>
      <c r="M1255" s="5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29"/>
      <c r="AJ1255" s="29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</row>
    <row r="1256">
      <c r="A1256" s="4"/>
      <c r="B1256" s="4"/>
      <c r="C1256" s="4"/>
      <c r="D1256" s="4"/>
      <c r="E1256" s="5"/>
      <c r="F1256" s="4"/>
      <c r="G1256" s="4"/>
      <c r="H1256" s="33"/>
      <c r="I1256" s="4"/>
      <c r="J1256" s="4"/>
      <c r="K1256" s="4"/>
      <c r="L1256" s="4"/>
      <c r="M1256" s="5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29"/>
      <c r="AJ1256" s="29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</row>
    <row r="1257">
      <c r="A1257" s="4"/>
      <c r="B1257" s="4"/>
      <c r="C1257" s="4"/>
      <c r="D1257" s="4"/>
      <c r="E1257" s="5"/>
      <c r="F1257" s="4"/>
      <c r="G1257" s="4"/>
      <c r="H1257" s="33"/>
      <c r="I1257" s="4"/>
      <c r="J1257" s="4"/>
      <c r="K1257" s="4"/>
      <c r="L1257" s="4"/>
      <c r="M1257" s="5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29"/>
      <c r="AJ1257" s="29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</row>
    <row r="1258">
      <c r="A1258" s="4"/>
      <c r="B1258" s="4"/>
      <c r="C1258" s="4"/>
      <c r="D1258" s="4"/>
      <c r="E1258" s="5"/>
      <c r="F1258" s="4"/>
      <c r="G1258" s="4"/>
      <c r="H1258" s="33"/>
      <c r="I1258" s="4"/>
      <c r="J1258" s="4"/>
      <c r="K1258" s="4"/>
      <c r="L1258" s="4"/>
      <c r="M1258" s="5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29"/>
      <c r="AJ1258" s="29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</row>
    <row r="1259">
      <c r="A1259" s="4"/>
      <c r="B1259" s="4"/>
      <c r="C1259" s="4"/>
      <c r="D1259" s="4"/>
      <c r="E1259" s="5"/>
      <c r="F1259" s="4"/>
      <c r="G1259" s="4"/>
      <c r="H1259" s="33"/>
      <c r="I1259" s="4"/>
      <c r="J1259" s="4"/>
      <c r="K1259" s="4"/>
      <c r="L1259" s="4"/>
      <c r="M1259" s="5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29"/>
      <c r="AJ1259" s="29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</row>
    <row r="1260">
      <c r="A1260" s="4"/>
      <c r="B1260" s="4"/>
      <c r="C1260" s="4"/>
      <c r="D1260" s="4"/>
      <c r="E1260" s="5"/>
      <c r="F1260" s="4"/>
      <c r="G1260" s="4"/>
      <c r="H1260" s="33"/>
      <c r="I1260" s="4"/>
      <c r="J1260" s="4"/>
      <c r="K1260" s="4"/>
      <c r="L1260" s="4"/>
      <c r="M1260" s="5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29"/>
      <c r="AJ1260" s="29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</row>
    <row r="1261">
      <c r="A1261" s="4"/>
      <c r="B1261" s="4"/>
      <c r="C1261" s="4"/>
      <c r="D1261" s="4"/>
      <c r="E1261" s="5"/>
      <c r="F1261" s="4"/>
      <c r="G1261" s="4"/>
      <c r="H1261" s="33"/>
      <c r="I1261" s="4"/>
      <c r="J1261" s="4"/>
      <c r="K1261" s="4"/>
      <c r="L1261" s="4"/>
      <c r="M1261" s="5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29"/>
      <c r="AJ1261" s="29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</row>
    <row r="1262">
      <c r="A1262" s="4"/>
      <c r="B1262" s="4"/>
      <c r="C1262" s="4"/>
      <c r="D1262" s="4"/>
      <c r="E1262" s="5"/>
      <c r="F1262" s="4"/>
      <c r="G1262" s="4"/>
      <c r="H1262" s="33"/>
      <c r="I1262" s="4"/>
      <c r="J1262" s="4"/>
      <c r="K1262" s="4"/>
      <c r="L1262" s="4"/>
      <c r="M1262" s="5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29"/>
      <c r="AJ1262" s="29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</row>
    <row r="1263">
      <c r="A1263" s="4"/>
      <c r="B1263" s="4"/>
      <c r="C1263" s="4"/>
      <c r="D1263" s="4"/>
      <c r="E1263" s="5"/>
      <c r="F1263" s="4"/>
      <c r="G1263" s="4"/>
      <c r="H1263" s="33"/>
      <c r="I1263" s="4"/>
      <c r="J1263" s="4"/>
      <c r="K1263" s="4"/>
      <c r="L1263" s="4"/>
      <c r="M1263" s="5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29"/>
      <c r="AJ1263" s="29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</row>
    <row r="1264">
      <c r="A1264" s="4"/>
      <c r="B1264" s="4"/>
      <c r="C1264" s="4"/>
      <c r="D1264" s="4"/>
      <c r="E1264" s="5"/>
      <c r="F1264" s="4"/>
      <c r="G1264" s="4"/>
      <c r="H1264" s="33"/>
      <c r="I1264" s="4"/>
      <c r="J1264" s="4"/>
      <c r="K1264" s="4"/>
      <c r="L1264" s="4"/>
      <c r="M1264" s="5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29"/>
      <c r="AJ1264" s="29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</row>
    <row r="1265">
      <c r="A1265" s="4"/>
      <c r="B1265" s="4"/>
      <c r="C1265" s="4"/>
      <c r="D1265" s="4"/>
      <c r="E1265" s="5"/>
      <c r="F1265" s="4"/>
      <c r="G1265" s="4"/>
      <c r="H1265" s="33"/>
      <c r="I1265" s="4"/>
      <c r="J1265" s="4"/>
      <c r="K1265" s="4"/>
      <c r="L1265" s="4"/>
      <c r="M1265" s="5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29"/>
      <c r="AJ1265" s="29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</row>
    <row r="1266">
      <c r="A1266" s="4"/>
      <c r="B1266" s="4"/>
      <c r="C1266" s="4"/>
      <c r="D1266" s="4"/>
      <c r="E1266" s="5"/>
      <c r="F1266" s="4"/>
      <c r="G1266" s="4"/>
      <c r="H1266" s="33"/>
      <c r="I1266" s="4"/>
      <c r="J1266" s="4"/>
      <c r="K1266" s="4"/>
      <c r="L1266" s="4"/>
      <c r="M1266" s="5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29"/>
      <c r="AJ1266" s="29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</row>
    <row r="1267">
      <c r="A1267" s="4"/>
      <c r="B1267" s="4"/>
      <c r="C1267" s="4"/>
      <c r="D1267" s="4"/>
      <c r="E1267" s="5"/>
      <c r="F1267" s="4"/>
      <c r="G1267" s="4"/>
      <c r="H1267" s="33"/>
      <c r="I1267" s="4"/>
      <c r="J1267" s="4"/>
      <c r="K1267" s="4"/>
      <c r="L1267" s="4"/>
      <c r="M1267" s="5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29"/>
      <c r="AJ1267" s="29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</row>
    <row r="1268">
      <c r="A1268" s="4"/>
      <c r="B1268" s="4"/>
      <c r="C1268" s="4"/>
      <c r="D1268" s="4"/>
      <c r="E1268" s="5"/>
      <c r="F1268" s="4"/>
      <c r="G1268" s="4"/>
      <c r="H1268" s="33"/>
      <c r="I1268" s="4"/>
      <c r="J1268" s="4"/>
      <c r="K1268" s="4"/>
      <c r="L1268" s="4"/>
      <c r="M1268" s="5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29"/>
      <c r="AJ1268" s="29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</row>
    <row r="1269">
      <c r="A1269" s="4"/>
      <c r="B1269" s="4"/>
      <c r="C1269" s="4"/>
      <c r="D1269" s="4"/>
      <c r="E1269" s="5"/>
      <c r="F1269" s="4"/>
      <c r="G1269" s="4"/>
      <c r="H1269" s="33"/>
      <c r="I1269" s="4"/>
      <c r="J1269" s="4"/>
      <c r="K1269" s="4"/>
      <c r="L1269" s="4"/>
      <c r="M1269" s="5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29"/>
      <c r="AJ1269" s="29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</row>
    <row r="1270">
      <c r="A1270" s="4"/>
      <c r="B1270" s="4"/>
      <c r="C1270" s="4"/>
      <c r="D1270" s="4"/>
      <c r="E1270" s="5"/>
      <c r="F1270" s="4"/>
      <c r="G1270" s="4"/>
      <c r="H1270" s="33"/>
      <c r="I1270" s="4"/>
      <c r="J1270" s="4"/>
      <c r="K1270" s="4"/>
      <c r="L1270" s="4"/>
      <c r="M1270" s="5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29"/>
      <c r="AJ1270" s="29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</row>
    <row r="1271">
      <c r="A1271" s="4"/>
      <c r="B1271" s="4"/>
      <c r="C1271" s="4"/>
      <c r="D1271" s="4"/>
      <c r="E1271" s="5"/>
      <c r="F1271" s="4"/>
      <c r="G1271" s="4"/>
      <c r="H1271" s="33"/>
      <c r="I1271" s="4"/>
      <c r="J1271" s="4"/>
      <c r="K1271" s="4"/>
      <c r="L1271" s="4"/>
      <c r="M1271" s="5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29"/>
      <c r="AJ1271" s="29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</row>
    <row r="1272">
      <c r="A1272" s="4"/>
      <c r="B1272" s="4"/>
      <c r="C1272" s="4"/>
      <c r="D1272" s="4"/>
      <c r="E1272" s="5"/>
      <c r="F1272" s="4"/>
      <c r="G1272" s="4"/>
      <c r="H1272" s="33"/>
      <c r="I1272" s="4"/>
      <c r="J1272" s="4"/>
      <c r="K1272" s="4"/>
      <c r="L1272" s="4"/>
      <c r="M1272" s="5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29"/>
      <c r="AJ1272" s="29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</row>
    <row r="1273">
      <c r="A1273" s="4"/>
      <c r="B1273" s="4"/>
      <c r="C1273" s="4"/>
      <c r="D1273" s="4"/>
      <c r="E1273" s="5"/>
      <c r="F1273" s="4"/>
      <c r="G1273" s="4"/>
      <c r="H1273" s="33"/>
      <c r="I1273" s="4"/>
      <c r="J1273" s="4"/>
      <c r="K1273" s="4"/>
      <c r="L1273" s="4"/>
      <c r="M1273" s="5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29"/>
      <c r="AJ1273" s="29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</row>
    <row r="1274">
      <c r="A1274" s="4"/>
      <c r="B1274" s="4"/>
      <c r="C1274" s="4"/>
      <c r="D1274" s="4"/>
      <c r="E1274" s="5"/>
      <c r="F1274" s="4"/>
      <c r="G1274" s="4"/>
      <c r="H1274" s="33"/>
      <c r="I1274" s="4"/>
      <c r="J1274" s="4"/>
      <c r="K1274" s="4"/>
      <c r="L1274" s="4"/>
      <c r="M1274" s="5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29"/>
      <c r="AJ1274" s="29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</row>
    <row r="1275">
      <c r="A1275" s="4"/>
      <c r="B1275" s="4"/>
      <c r="C1275" s="4"/>
      <c r="D1275" s="4"/>
      <c r="E1275" s="5"/>
      <c r="F1275" s="4"/>
      <c r="G1275" s="4"/>
      <c r="H1275" s="33"/>
      <c r="I1275" s="4"/>
      <c r="J1275" s="4"/>
      <c r="K1275" s="4"/>
      <c r="L1275" s="4"/>
      <c r="M1275" s="5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29"/>
      <c r="AJ1275" s="29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</row>
    <row r="1276">
      <c r="A1276" s="4"/>
      <c r="B1276" s="4"/>
      <c r="C1276" s="4"/>
      <c r="D1276" s="4"/>
      <c r="E1276" s="5"/>
      <c r="F1276" s="4"/>
      <c r="G1276" s="4"/>
      <c r="H1276" s="33"/>
      <c r="I1276" s="4"/>
      <c r="J1276" s="4"/>
      <c r="K1276" s="4"/>
      <c r="L1276" s="4"/>
      <c r="M1276" s="5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29"/>
      <c r="AJ1276" s="29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</row>
    <row r="1277">
      <c r="A1277" s="4"/>
      <c r="B1277" s="4"/>
      <c r="C1277" s="4"/>
      <c r="D1277" s="4"/>
      <c r="E1277" s="5"/>
      <c r="F1277" s="4"/>
      <c r="G1277" s="4"/>
      <c r="H1277" s="33"/>
      <c r="I1277" s="4"/>
      <c r="J1277" s="4"/>
      <c r="K1277" s="4"/>
      <c r="L1277" s="4"/>
      <c r="M1277" s="5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29"/>
      <c r="AJ1277" s="29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</row>
    <row r="1278">
      <c r="A1278" s="4"/>
      <c r="B1278" s="4"/>
      <c r="C1278" s="4"/>
      <c r="D1278" s="4"/>
      <c r="E1278" s="5"/>
      <c r="F1278" s="4"/>
      <c r="G1278" s="4"/>
      <c r="H1278" s="33"/>
      <c r="I1278" s="4"/>
      <c r="J1278" s="4"/>
      <c r="K1278" s="4"/>
      <c r="L1278" s="4"/>
      <c r="M1278" s="5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29"/>
      <c r="AJ1278" s="29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</row>
    <row r="1279">
      <c r="A1279" s="4"/>
      <c r="B1279" s="4"/>
      <c r="C1279" s="4"/>
      <c r="D1279" s="4"/>
      <c r="E1279" s="5"/>
      <c r="F1279" s="4"/>
      <c r="G1279" s="4"/>
      <c r="H1279" s="33"/>
      <c r="I1279" s="4"/>
      <c r="J1279" s="4"/>
      <c r="K1279" s="4"/>
      <c r="L1279" s="4"/>
      <c r="M1279" s="5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29"/>
      <c r="AJ1279" s="29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</row>
    <row r="1280">
      <c r="A1280" s="4"/>
      <c r="B1280" s="4"/>
      <c r="C1280" s="4"/>
      <c r="D1280" s="4"/>
      <c r="E1280" s="5"/>
      <c r="F1280" s="4"/>
      <c r="G1280" s="4"/>
      <c r="H1280" s="33"/>
      <c r="I1280" s="4"/>
      <c r="J1280" s="4"/>
      <c r="K1280" s="4"/>
      <c r="L1280" s="4"/>
      <c r="M1280" s="5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29"/>
      <c r="AJ1280" s="29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</row>
    <row r="1281">
      <c r="A1281" s="4"/>
      <c r="B1281" s="4"/>
      <c r="C1281" s="4"/>
      <c r="D1281" s="4"/>
      <c r="E1281" s="5"/>
      <c r="F1281" s="4"/>
      <c r="G1281" s="4"/>
      <c r="H1281" s="33"/>
      <c r="I1281" s="4"/>
      <c r="J1281" s="4"/>
      <c r="K1281" s="4"/>
      <c r="L1281" s="4"/>
      <c r="M1281" s="5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29"/>
      <c r="AJ1281" s="29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</row>
    <row r="1282">
      <c r="A1282" s="4"/>
      <c r="B1282" s="4"/>
      <c r="C1282" s="4"/>
      <c r="D1282" s="4"/>
      <c r="E1282" s="5"/>
      <c r="F1282" s="4"/>
      <c r="G1282" s="4"/>
      <c r="H1282" s="33"/>
      <c r="I1282" s="4"/>
      <c r="J1282" s="4"/>
      <c r="K1282" s="4"/>
      <c r="L1282" s="4"/>
      <c r="M1282" s="5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29"/>
      <c r="AJ1282" s="29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</row>
    <row r="1283">
      <c r="A1283" s="4"/>
      <c r="B1283" s="4"/>
      <c r="C1283" s="4"/>
      <c r="D1283" s="4"/>
      <c r="E1283" s="5"/>
      <c r="F1283" s="4"/>
      <c r="G1283" s="4"/>
      <c r="H1283" s="33"/>
      <c r="I1283" s="4"/>
      <c r="J1283" s="4"/>
      <c r="K1283" s="4"/>
      <c r="L1283" s="4"/>
      <c r="M1283" s="5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29"/>
      <c r="AJ1283" s="29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</row>
    <row r="1284">
      <c r="A1284" s="4"/>
      <c r="B1284" s="4"/>
      <c r="C1284" s="4"/>
      <c r="D1284" s="4"/>
      <c r="E1284" s="5"/>
      <c r="F1284" s="4"/>
      <c r="G1284" s="4"/>
      <c r="H1284" s="33"/>
      <c r="I1284" s="4"/>
      <c r="J1284" s="4"/>
      <c r="K1284" s="4"/>
      <c r="L1284" s="4"/>
      <c r="M1284" s="5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29"/>
      <c r="AJ1284" s="29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</row>
    <row r="1285">
      <c r="A1285" s="4"/>
      <c r="B1285" s="4"/>
      <c r="C1285" s="4"/>
      <c r="D1285" s="4"/>
      <c r="E1285" s="5"/>
      <c r="F1285" s="4"/>
      <c r="G1285" s="4"/>
      <c r="H1285" s="33"/>
      <c r="I1285" s="4"/>
      <c r="J1285" s="4"/>
      <c r="K1285" s="4"/>
      <c r="L1285" s="4"/>
      <c r="M1285" s="5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29"/>
      <c r="AJ1285" s="29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</row>
    <row r="1286">
      <c r="A1286" s="4"/>
      <c r="B1286" s="4"/>
      <c r="C1286" s="4"/>
      <c r="D1286" s="4"/>
      <c r="E1286" s="5"/>
      <c r="F1286" s="4"/>
      <c r="G1286" s="4"/>
      <c r="H1286" s="33"/>
      <c r="I1286" s="4"/>
      <c r="J1286" s="4"/>
      <c r="K1286" s="4"/>
      <c r="L1286" s="4"/>
      <c r="M1286" s="5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29"/>
      <c r="AJ1286" s="29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</row>
    <row r="1287">
      <c r="A1287" s="4"/>
      <c r="B1287" s="4"/>
      <c r="C1287" s="4"/>
      <c r="D1287" s="4"/>
      <c r="E1287" s="5"/>
      <c r="F1287" s="4"/>
      <c r="G1287" s="4"/>
      <c r="H1287" s="33"/>
      <c r="I1287" s="4"/>
      <c r="J1287" s="4"/>
      <c r="K1287" s="4"/>
      <c r="L1287" s="4"/>
      <c r="M1287" s="5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29"/>
      <c r="AJ1287" s="29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</row>
    <row r="1288">
      <c r="A1288" s="4"/>
      <c r="B1288" s="4"/>
      <c r="C1288" s="4"/>
      <c r="D1288" s="4"/>
      <c r="E1288" s="5"/>
      <c r="F1288" s="4"/>
      <c r="G1288" s="4"/>
      <c r="H1288" s="33"/>
      <c r="I1288" s="4"/>
      <c r="J1288" s="4"/>
      <c r="K1288" s="4"/>
      <c r="L1288" s="4"/>
      <c r="M1288" s="5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29"/>
      <c r="AJ1288" s="29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</row>
    <row r="1289">
      <c r="A1289" s="4"/>
      <c r="B1289" s="4"/>
      <c r="C1289" s="4"/>
      <c r="D1289" s="4"/>
      <c r="E1289" s="5"/>
      <c r="F1289" s="4"/>
      <c r="G1289" s="4"/>
      <c r="H1289" s="33"/>
      <c r="I1289" s="4"/>
      <c r="J1289" s="4"/>
      <c r="K1289" s="4"/>
      <c r="L1289" s="4"/>
      <c r="M1289" s="5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29"/>
      <c r="AJ1289" s="29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</row>
    <row r="1290">
      <c r="A1290" s="4"/>
      <c r="B1290" s="4"/>
      <c r="C1290" s="4"/>
      <c r="D1290" s="4"/>
      <c r="E1290" s="5"/>
      <c r="F1290" s="4"/>
      <c r="G1290" s="4"/>
      <c r="H1290" s="33"/>
      <c r="I1290" s="4"/>
      <c r="J1290" s="4"/>
      <c r="K1290" s="4"/>
      <c r="L1290" s="4"/>
      <c r="M1290" s="5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29"/>
      <c r="AJ1290" s="29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</row>
    <row r="1291">
      <c r="A1291" s="4"/>
      <c r="B1291" s="4"/>
      <c r="C1291" s="4"/>
      <c r="D1291" s="4"/>
      <c r="E1291" s="5"/>
      <c r="F1291" s="4"/>
      <c r="G1291" s="4"/>
      <c r="H1291" s="33"/>
      <c r="I1291" s="4"/>
      <c r="J1291" s="4"/>
      <c r="K1291" s="4"/>
      <c r="L1291" s="4"/>
      <c r="M1291" s="5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29"/>
      <c r="AJ1291" s="29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</row>
    <row r="1292">
      <c r="A1292" s="4"/>
      <c r="B1292" s="4"/>
      <c r="C1292" s="4"/>
      <c r="D1292" s="4"/>
      <c r="E1292" s="5"/>
      <c r="F1292" s="4"/>
      <c r="G1292" s="4"/>
      <c r="H1292" s="33"/>
      <c r="I1292" s="4"/>
      <c r="J1292" s="4"/>
      <c r="K1292" s="4"/>
      <c r="L1292" s="4"/>
      <c r="M1292" s="5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29"/>
      <c r="AJ1292" s="29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</row>
    <row r="1293">
      <c r="A1293" s="4"/>
      <c r="B1293" s="4"/>
      <c r="C1293" s="4"/>
      <c r="D1293" s="4"/>
      <c r="E1293" s="5"/>
      <c r="F1293" s="4"/>
      <c r="G1293" s="4"/>
      <c r="H1293" s="33"/>
      <c r="I1293" s="4"/>
      <c r="J1293" s="4"/>
      <c r="K1293" s="4"/>
      <c r="L1293" s="4"/>
      <c r="M1293" s="5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29"/>
      <c r="AJ1293" s="29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</row>
    <row r="1294">
      <c r="A1294" s="4"/>
      <c r="B1294" s="4"/>
      <c r="C1294" s="4"/>
      <c r="D1294" s="4"/>
      <c r="E1294" s="5"/>
      <c r="F1294" s="4"/>
      <c r="G1294" s="4"/>
      <c r="H1294" s="33"/>
      <c r="I1294" s="4"/>
      <c r="J1294" s="4"/>
      <c r="K1294" s="4"/>
      <c r="L1294" s="4"/>
      <c r="M1294" s="5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29"/>
      <c r="AJ1294" s="29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</row>
    <row r="1295">
      <c r="A1295" s="4"/>
      <c r="B1295" s="4"/>
      <c r="C1295" s="4"/>
      <c r="D1295" s="4"/>
      <c r="E1295" s="5"/>
      <c r="F1295" s="4"/>
      <c r="G1295" s="4"/>
      <c r="H1295" s="33"/>
      <c r="I1295" s="4"/>
      <c r="J1295" s="4"/>
      <c r="K1295" s="4"/>
      <c r="L1295" s="4"/>
      <c r="M1295" s="5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29"/>
      <c r="AJ1295" s="29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</row>
    <row r="1296">
      <c r="A1296" s="4"/>
      <c r="B1296" s="4"/>
      <c r="C1296" s="4"/>
      <c r="D1296" s="4"/>
      <c r="E1296" s="5"/>
      <c r="F1296" s="4"/>
      <c r="G1296" s="4"/>
      <c r="H1296" s="33"/>
      <c r="I1296" s="4"/>
      <c r="J1296" s="4"/>
      <c r="K1296" s="4"/>
      <c r="L1296" s="4"/>
      <c r="M1296" s="5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29"/>
      <c r="AJ1296" s="29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</row>
    <row r="1297">
      <c r="A1297" s="4"/>
      <c r="B1297" s="4"/>
      <c r="C1297" s="4"/>
      <c r="D1297" s="4"/>
      <c r="E1297" s="5"/>
      <c r="F1297" s="4"/>
      <c r="G1297" s="4"/>
      <c r="H1297" s="33"/>
      <c r="I1297" s="4"/>
      <c r="J1297" s="4"/>
      <c r="K1297" s="4"/>
      <c r="L1297" s="4"/>
      <c r="M1297" s="5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29"/>
      <c r="AJ1297" s="29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</row>
    <row r="1298">
      <c r="A1298" s="4"/>
      <c r="B1298" s="4"/>
      <c r="C1298" s="4"/>
      <c r="D1298" s="4"/>
      <c r="E1298" s="5"/>
      <c r="F1298" s="4"/>
      <c r="G1298" s="4"/>
      <c r="H1298" s="33"/>
      <c r="I1298" s="4"/>
      <c r="J1298" s="4"/>
      <c r="K1298" s="4"/>
      <c r="L1298" s="4"/>
      <c r="M1298" s="5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29"/>
      <c r="AJ1298" s="29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</row>
    <row r="1299">
      <c r="A1299" s="4"/>
      <c r="B1299" s="4"/>
      <c r="C1299" s="4"/>
      <c r="D1299" s="4"/>
      <c r="E1299" s="5"/>
      <c r="F1299" s="4"/>
      <c r="G1299" s="4"/>
      <c r="H1299" s="33"/>
      <c r="I1299" s="4"/>
      <c r="J1299" s="4"/>
      <c r="K1299" s="4"/>
      <c r="L1299" s="4"/>
      <c r="M1299" s="5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29"/>
      <c r="AJ1299" s="29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</row>
    <row r="1300">
      <c r="A1300" s="4"/>
      <c r="B1300" s="4"/>
      <c r="C1300" s="4"/>
      <c r="D1300" s="4"/>
      <c r="E1300" s="5"/>
      <c r="F1300" s="4"/>
      <c r="G1300" s="4"/>
      <c r="H1300" s="33"/>
      <c r="I1300" s="4"/>
      <c r="J1300" s="4"/>
      <c r="K1300" s="4"/>
      <c r="L1300" s="4"/>
      <c r="M1300" s="5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29"/>
      <c r="AJ1300" s="29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</row>
    <row r="1301">
      <c r="A1301" s="4"/>
      <c r="B1301" s="4"/>
      <c r="C1301" s="4"/>
      <c r="D1301" s="4"/>
      <c r="E1301" s="5"/>
      <c r="F1301" s="4"/>
      <c r="G1301" s="4"/>
      <c r="H1301" s="33"/>
      <c r="I1301" s="4"/>
      <c r="J1301" s="4"/>
      <c r="K1301" s="4"/>
      <c r="L1301" s="4"/>
      <c r="M1301" s="5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29"/>
      <c r="AJ1301" s="29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</row>
    <row r="1302">
      <c r="A1302" s="4"/>
      <c r="B1302" s="4"/>
      <c r="C1302" s="4"/>
      <c r="D1302" s="4"/>
      <c r="E1302" s="5"/>
      <c r="F1302" s="4"/>
      <c r="G1302" s="4"/>
      <c r="H1302" s="33"/>
      <c r="I1302" s="4"/>
      <c r="J1302" s="4"/>
      <c r="K1302" s="4"/>
      <c r="L1302" s="4"/>
      <c r="M1302" s="5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29"/>
      <c r="AJ1302" s="29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</row>
    <row r="1303">
      <c r="A1303" s="4"/>
      <c r="B1303" s="4"/>
      <c r="C1303" s="4"/>
      <c r="D1303" s="4"/>
      <c r="E1303" s="5"/>
      <c r="F1303" s="4"/>
      <c r="G1303" s="4"/>
      <c r="H1303" s="33"/>
      <c r="I1303" s="4"/>
      <c r="J1303" s="4"/>
      <c r="K1303" s="4"/>
      <c r="L1303" s="4"/>
      <c r="M1303" s="5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29"/>
      <c r="AJ1303" s="29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</row>
    <row r="1304">
      <c r="A1304" s="4"/>
      <c r="B1304" s="4"/>
      <c r="C1304" s="4"/>
      <c r="D1304" s="4"/>
      <c r="E1304" s="5"/>
      <c r="F1304" s="4"/>
      <c r="G1304" s="4"/>
      <c r="H1304" s="33"/>
      <c r="I1304" s="4"/>
      <c r="J1304" s="4"/>
      <c r="K1304" s="4"/>
      <c r="L1304" s="4"/>
      <c r="M1304" s="5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29"/>
      <c r="AJ1304" s="29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</row>
    <row r="1305">
      <c r="A1305" s="4"/>
      <c r="B1305" s="4"/>
      <c r="C1305" s="4"/>
      <c r="D1305" s="4"/>
      <c r="E1305" s="5"/>
      <c r="F1305" s="4"/>
      <c r="G1305" s="4"/>
      <c r="H1305" s="33"/>
      <c r="I1305" s="4"/>
      <c r="J1305" s="4"/>
      <c r="K1305" s="4"/>
      <c r="L1305" s="4"/>
      <c r="M1305" s="5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29"/>
      <c r="AJ1305" s="29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</row>
    <row r="1306">
      <c r="A1306" s="4"/>
      <c r="B1306" s="4"/>
      <c r="C1306" s="4"/>
      <c r="D1306" s="4"/>
      <c r="E1306" s="5"/>
      <c r="F1306" s="4"/>
      <c r="G1306" s="4"/>
      <c r="H1306" s="33"/>
      <c r="I1306" s="4"/>
      <c r="J1306" s="4"/>
      <c r="K1306" s="4"/>
      <c r="L1306" s="4"/>
      <c r="M1306" s="5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29"/>
      <c r="AJ1306" s="29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</row>
    <row r="1307">
      <c r="A1307" s="4"/>
      <c r="B1307" s="4"/>
      <c r="C1307" s="4"/>
      <c r="D1307" s="4"/>
      <c r="E1307" s="5"/>
      <c r="F1307" s="4"/>
      <c r="G1307" s="4"/>
      <c r="H1307" s="33"/>
      <c r="I1307" s="4"/>
      <c r="J1307" s="4"/>
      <c r="K1307" s="4"/>
      <c r="L1307" s="4"/>
      <c r="M1307" s="5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29"/>
      <c r="AJ1307" s="29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</row>
    <row r="1308">
      <c r="A1308" s="4"/>
      <c r="B1308" s="4"/>
      <c r="C1308" s="4"/>
      <c r="D1308" s="4"/>
      <c r="E1308" s="5"/>
      <c r="F1308" s="4"/>
      <c r="G1308" s="4"/>
      <c r="H1308" s="33"/>
      <c r="I1308" s="4"/>
      <c r="J1308" s="4"/>
      <c r="K1308" s="4"/>
      <c r="L1308" s="4"/>
      <c r="M1308" s="5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29"/>
      <c r="AJ1308" s="29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</row>
    <row r="1309">
      <c r="A1309" s="4"/>
      <c r="B1309" s="4"/>
      <c r="C1309" s="4"/>
      <c r="D1309" s="4"/>
      <c r="E1309" s="5"/>
      <c r="F1309" s="4"/>
      <c r="G1309" s="4"/>
      <c r="H1309" s="33"/>
      <c r="I1309" s="4"/>
      <c r="J1309" s="4"/>
      <c r="K1309" s="4"/>
      <c r="L1309" s="4"/>
      <c r="M1309" s="5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29"/>
      <c r="AJ1309" s="29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</row>
    <row r="1310">
      <c r="A1310" s="4"/>
      <c r="B1310" s="4"/>
      <c r="C1310" s="4"/>
      <c r="D1310" s="4"/>
      <c r="E1310" s="5"/>
      <c r="F1310" s="4"/>
      <c r="G1310" s="4"/>
      <c r="H1310" s="33"/>
      <c r="I1310" s="4"/>
      <c r="J1310" s="4"/>
      <c r="K1310" s="4"/>
      <c r="L1310" s="4"/>
      <c r="M1310" s="5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29"/>
      <c r="AJ1310" s="29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</row>
    <row r="1311">
      <c r="A1311" s="4"/>
      <c r="B1311" s="4"/>
      <c r="C1311" s="4"/>
      <c r="D1311" s="4"/>
      <c r="E1311" s="5"/>
      <c r="F1311" s="4"/>
      <c r="G1311" s="4"/>
      <c r="H1311" s="33"/>
      <c r="I1311" s="4"/>
      <c r="J1311" s="4"/>
      <c r="K1311" s="4"/>
      <c r="L1311" s="4"/>
      <c r="M1311" s="5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29"/>
      <c r="AJ1311" s="29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</row>
    <row r="1312">
      <c r="A1312" s="4"/>
      <c r="B1312" s="4"/>
      <c r="C1312" s="4"/>
      <c r="D1312" s="4"/>
      <c r="E1312" s="5"/>
      <c r="F1312" s="4"/>
      <c r="G1312" s="4"/>
      <c r="H1312" s="33"/>
      <c r="I1312" s="4"/>
      <c r="J1312" s="4"/>
      <c r="K1312" s="4"/>
      <c r="L1312" s="4"/>
      <c r="M1312" s="5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29"/>
      <c r="AJ1312" s="29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</row>
    <row r="1313">
      <c r="A1313" s="4"/>
      <c r="B1313" s="4"/>
      <c r="C1313" s="4"/>
      <c r="D1313" s="4"/>
      <c r="E1313" s="5"/>
      <c r="F1313" s="4"/>
      <c r="G1313" s="4"/>
      <c r="H1313" s="33"/>
      <c r="I1313" s="4"/>
      <c r="J1313" s="4"/>
      <c r="K1313" s="4"/>
      <c r="L1313" s="4"/>
      <c r="M1313" s="5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29"/>
      <c r="AJ1313" s="29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</row>
    <row r="1314">
      <c r="A1314" s="4"/>
      <c r="B1314" s="4"/>
      <c r="C1314" s="4"/>
      <c r="D1314" s="4"/>
      <c r="E1314" s="5"/>
      <c r="F1314" s="4"/>
      <c r="G1314" s="4"/>
      <c r="H1314" s="33"/>
      <c r="I1314" s="4"/>
      <c r="J1314" s="4"/>
      <c r="K1314" s="4"/>
      <c r="L1314" s="4"/>
      <c r="M1314" s="5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29"/>
      <c r="AJ1314" s="29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</row>
    <row r="1315">
      <c r="A1315" s="4"/>
      <c r="B1315" s="4"/>
      <c r="C1315" s="4"/>
      <c r="D1315" s="4"/>
      <c r="E1315" s="5"/>
      <c r="F1315" s="4"/>
      <c r="G1315" s="4"/>
      <c r="H1315" s="33"/>
      <c r="I1315" s="4"/>
      <c r="J1315" s="4"/>
      <c r="K1315" s="4"/>
      <c r="L1315" s="4"/>
      <c r="M1315" s="5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29"/>
      <c r="AJ1315" s="29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</row>
    <row r="1316">
      <c r="A1316" s="4"/>
      <c r="B1316" s="4"/>
      <c r="C1316" s="4"/>
      <c r="D1316" s="4"/>
      <c r="E1316" s="5"/>
      <c r="F1316" s="4"/>
      <c r="G1316" s="4"/>
      <c r="H1316" s="33"/>
      <c r="I1316" s="4"/>
      <c r="J1316" s="4"/>
      <c r="K1316" s="4"/>
      <c r="L1316" s="4"/>
      <c r="M1316" s="5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29"/>
      <c r="AJ1316" s="29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</row>
    <row r="1317">
      <c r="A1317" s="4"/>
      <c r="B1317" s="4"/>
      <c r="C1317" s="4"/>
      <c r="D1317" s="4"/>
      <c r="E1317" s="5"/>
      <c r="F1317" s="4"/>
      <c r="G1317" s="4"/>
      <c r="H1317" s="33"/>
      <c r="I1317" s="4"/>
      <c r="J1317" s="4"/>
      <c r="K1317" s="4"/>
      <c r="L1317" s="4"/>
      <c r="M1317" s="5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29"/>
      <c r="AJ1317" s="29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</row>
    <row r="1318">
      <c r="A1318" s="4"/>
      <c r="B1318" s="4"/>
      <c r="C1318" s="4"/>
      <c r="D1318" s="4"/>
      <c r="E1318" s="5"/>
      <c r="F1318" s="4"/>
      <c r="G1318" s="4"/>
      <c r="H1318" s="33"/>
      <c r="I1318" s="4"/>
      <c r="J1318" s="4"/>
      <c r="K1318" s="4"/>
      <c r="L1318" s="4"/>
      <c r="M1318" s="5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29"/>
      <c r="AJ1318" s="29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</row>
    <row r="1319">
      <c r="A1319" s="4"/>
      <c r="B1319" s="4"/>
      <c r="C1319" s="4"/>
      <c r="D1319" s="4"/>
      <c r="E1319" s="5"/>
      <c r="F1319" s="4"/>
      <c r="G1319" s="4"/>
      <c r="H1319" s="33"/>
      <c r="I1319" s="4"/>
      <c r="J1319" s="4"/>
      <c r="K1319" s="4"/>
      <c r="L1319" s="4"/>
      <c r="M1319" s="5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29"/>
      <c r="AJ1319" s="29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</row>
    <row r="1320">
      <c r="A1320" s="4"/>
      <c r="B1320" s="4"/>
      <c r="C1320" s="4"/>
      <c r="D1320" s="4"/>
      <c r="E1320" s="5"/>
      <c r="F1320" s="4"/>
      <c r="G1320" s="4"/>
      <c r="H1320" s="33"/>
      <c r="I1320" s="4"/>
      <c r="J1320" s="4"/>
      <c r="K1320" s="4"/>
      <c r="L1320" s="4"/>
      <c r="M1320" s="5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29"/>
      <c r="AJ1320" s="29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</row>
    <row r="1321">
      <c r="A1321" s="4"/>
      <c r="B1321" s="4"/>
      <c r="C1321" s="4"/>
      <c r="D1321" s="4"/>
      <c r="E1321" s="5"/>
      <c r="F1321" s="4"/>
      <c r="G1321" s="4"/>
      <c r="H1321" s="33"/>
      <c r="I1321" s="4"/>
      <c r="J1321" s="4"/>
      <c r="K1321" s="4"/>
      <c r="L1321" s="4"/>
      <c r="M1321" s="5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29"/>
      <c r="AJ1321" s="29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</row>
    <row r="1322">
      <c r="A1322" s="4"/>
      <c r="B1322" s="4"/>
      <c r="C1322" s="4"/>
      <c r="D1322" s="4"/>
      <c r="E1322" s="5"/>
      <c r="F1322" s="4"/>
      <c r="G1322" s="4"/>
      <c r="H1322" s="33"/>
      <c r="I1322" s="4"/>
      <c r="J1322" s="4"/>
      <c r="K1322" s="4"/>
      <c r="L1322" s="4"/>
      <c r="M1322" s="5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29"/>
      <c r="AJ1322" s="29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</row>
    <row r="1323">
      <c r="A1323" s="4"/>
      <c r="B1323" s="4"/>
      <c r="C1323" s="4"/>
      <c r="D1323" s="4"/>
      <c r="E1323" s="5"/>
      <c r="F1323" s="4"/>
      <c r="G1323" s="4"/>
      <c r="H1323" s="33"/>
      <c r="I1323" s="4"/>
      <c r="J1323" s="4"/>
      <c r="K1323" s="4"/>
      <c r="L1323" s="4"/>
      <c r="M1323" s="5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29"/>
      <c r="AJ1323" s="29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</row>
    <row r="1324">
      <c r="A1324" s="4"/>
      <c r="B1324" s="4"/>
      <c r="C1324" s="4"/>
      <c r="D1324" s="4"/>
      <c r="E1324" s="5"/>
      <c r="F1324" s="4"/>
      <c r="G1324" s="4"/>
      <c r="H1324" s="33"/>
      <c r="I1324" s="4"/>
      <c r="J1324" s="4"/>
      <c r="K1324" s="4"/>
      <c r="L1324" s="4"/>
      <c r="M1324" s="5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29"/>
      <c r="AJ1324" s="29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</row>
    <row r="1325">
      <c r="A1325" s="4"/>
      <c r="B1325" s="4"/>
      <c r="C1325" s="4"/>
      <c r="D1325" s="4"/>
      <c r="E1325" s="5"/>
      <c r="F1325" s="4"/>
      <c r="G1325" s="4"/>
      <c r="H1325" s="33"/>
      <c r="I1325" s="4"/>
      <c r="J1325" s="4"/>
      <c r="K1325" s="4"/>
      <c r="L1325" s="4"/>
      <c r="M1325" s="5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29"/>
      <c r="AJ1325" s="29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</row>
    <row r="1326">
      <c r="A1326" s="4"/>
      <c r="B1326" s="4"/>
      <c r="C1326" s="4"/>
      <c r="D1326" s="4"/>
      <c r="E1326" s="5"/>
      <c r="F1326" s="4"/>
      <c r="G1326" s="4"/>
      <c r="H1326" s="33"/>
      <c r="I1326" s="4"/>
      <c r="J1326" s="4"/>
      <c r="K1326" s="4"/>
      <c r="L1326" s="4"/>
      <c r="M1326" s="5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29"/>
      <c r="AJ1326" s="29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</row>
    <row r="1327">
      <c r="A1327" s="4"/>
      <c r="B1327" s="4"/>
      <c r="C1327" s="4"/>
      <c r="D1327" s="4"/>
      <c r="E1327" s="5"/>
      <c r="F1327" s="4"/>
      <c r="G1327" s="4"/>
      <c r="H1327" s="33"/>
      <c r="I1327" s="4"/>
      <c r="J1327" s="4"/>
      <c r="K1327" s="4"/>
      <c r="L1327" s="4"/>
      <c r="M1327" s="5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29"/>
      <c r="AJ1327" s="29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</row>
    <row r="1328">
      <c r="A1328" s="4"/>
      <c r="B1328" s="4"/>
      <c r="C1328" s="4"/>
      <c r="D1328" s="4"/>
      <c r="E1328" s="5"/>
      <c r="F1328" s="4"/>
      <c r="G1328" s="4"/>
      <c r="H1328" s="33"/>
      <c r="I1328" s="4"/>
      <c r="J1328" s="4"/>
      <c r="K1328" s="4"/>
      <c r="L1328" s="4"/>
      <c r="M1328" s="5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29"/>
      <c r="AJ1328" s="29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</row>
    <row r="1329">
      <c r="A1329" s="4"/>
      <c r="B1329" s="4"/>
      <c r="C1329" s="4"/>
      <c r="D1329" s="4"/>
      <c r="E1329" s="5"/>
      <c r="F1329" s="4"/>
      <c r="G1329" s="4"/>
      <c r="H1329" s="33"/>
      <c r="I1329" s="4"/>
      <c r="J1329" s="4"/>
      <c r="K1329" s="4"/>
      <c r="L1329" s="4"/>
      <c r="M1329" s="5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29"/>
      <c r="AJ1329" s="29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</row>
    <row r="1330">
      <c r="A1330" s="4"/>
      <c r="B1330" s="4"/>
      <c r="C1330" s="4"/>
      <c r="D1330" s="4"/>
      <c r="E1330" s="5"/>
      <c r="F1330" s="4"/>
      <c r="G1330" s="4"/>
      <c r="H1330" s="33"/>
      <c r="I1330" s="4"/>
      <c r="J1330" s="4"/>
      <c r="K1330" s="4"/>
      <c r="L1330" s="4"/>
      <c r="M1330" s="5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29"/>
      <c r="AJ1330" s="29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</row>
    <row r="1331">
      <c r="A1331" s="4"/>
      <c r="B1331" s="4"/>
      <c r="C1331" s="4"/>
      <c r="D1331" s="4"/>
      <c r="E1331" s="5"/>
      <c r="F1331" s="4"/>
      <c r="G1331" s="4"/>
      <c r="H1331" s="33"/>
      <c r="I1331" s="4"/>
      <c r="J1331" s="4"/>
      <c r="K1331" s="4"/>
      <c r="L1331" s="4"/>
      <c r="M1331" s="5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29"/>
      <c r="AJ1331" s="29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</row>
    <row r="1332">
      <c r="A1332" s="4"/>
      <c r="B1332" s="4"/>
      <c r="C1332" s="4"/>
      <c r="D1332" s="4"/>
      <c r="E1332" s="5"/>
      <c r="F1332" s="4"/>
      <c r="G1332" s="4"/>
      <c r="H1332" s="33"/>
      <c r="I1332" s="4"/>
      <c r="J1332" s="4"/>
      <c r="K1332" s="4"/>
      <c r="L1332" s="4"/>
      <c r="M1332" s="5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29"/>
      <c r="AJ1332" s="29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</row>
    <row r="1333">
      <c r="A1333" s="4"/>
      <c r="B1333" s="4"/>
      <c r="C1333" s="4"/>
      <c r="D1333" s="4"/>
      <c r="E1333" s="5"/>
      <c r="F1333" s="4"/>
      <c r="G1333" s="4"/>
      <c r="H1333" s="33"/>
      <c r="I1333" s="4"/>
      <c r="J1333" s="4"/>
      <c r="K1333" s="4"/>
      <c r="L1333" s="4"/>
      <c r="M1333" s="5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29"/>
      <c r="AJ1333" s="29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</row>
    <row r="1334">
      <c r="A1334" s="4"/>
      <c r="B1334" s="4"/>
      <c r="C1334" s="4"/>
      <c r="D1334" s="4"/>
      <c r="E1334" s="5"/>
      <c r="F1334" s="4"/>
      <c r="G1334" s="4"/>
      <c r="H1334" s="33"/>
      <c r="I1334" s="4"/>
      <c r="J1334" s="4"/>
      <c r="K1334" s="4"/>
      <c r="L1334" s="4"/>
      <c r="M1334" s="5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29"/>
      <c r="AJ1334" s="29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</row>
    <row r="1335">
      <c r="A1335" s="4"/>
      <c r="B1335" s="4"/>
      <c r="C1335" s="4"/>
      <c r="D1335" s="4"/>
      <c r="E1335" s="5"/>
      <c r="F1335" s="4"/>
      <c r="G1335" s="4"/>
      <c r="H1335" s="33"/>
      <c r="I1335" s="4"/>
      <c r="J1335" s="4"/>
      <c r="K1335" s="4"/>
      <c r="L1335" s="4"/>
      <c r="M1335" s="5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29"/>
      <c r="AJ1335" s="29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</row>
    <row r="1336">
      <c r="A1336" s="4"/>
      <c r="B1336" s="4"/>
      <c r="C1336" s="4"/>
      <c r="D1336" s="4"/>
      <c r="E1336" s="5"/>
      <c r="F1336" s="4"/>
      <c r="G1336" s="4"/>
      <c r="H1336" s="33"/>
      <c r="I1336" s="4"/>
      <c r="J1336" s="4"/>
      <c r="K1336" s="4"/>
      <c r="L1336" s="4"/>
      <c r="M1336" s="5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29"/>
      <c r="AJ1336" s="29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</row>
    <row r="1337">
      <c r="A1337" s="4"/>
      <c r="B1337" s="4"/>
      <c r="C1337" s="4"/>
      <c r="D1337" s="4"/>
      <c r="E1337" s="5"/>
      <c r="F1337" s="4"/>
      <c r="G1337" s="4"/>
      <c r="H1337" s="33"/>
      <c r="I1337" s="4"/>
      <c r="J1337" s="4"/>
      <c r="K1337" s="4"/>
      <c r="L1337" s="4"/>
      <c r="M1337" s="5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29"/>
      <c r="AJ1337" s="29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</row>
    <row r="1338">
      <c r="A1338" s="4"/>
      <c r="B1338" s="4"/>
      <c r="C1338" s="4"/>
      <c r="D1338" s="4"/>
      <c r="E1338" s="5"/>
      <c r="F1338" s="4"/>
      <c r="G1338" s="4"/>
      <c r="H1338" s="33"/>
      <c r="I1338" s="4"/>
      <c r="J1338" s="4"/>
      <c r="K1338" s="4"/>
      <c r="L1338" s="4"/>
      <c r="M1338" s="5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29"/>
      <c r="AJ1338" s="29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</row>
    <row r="1339">
      <c r="A1339" s="4"/>
      <c r="B1339" s="4"/>
      <c r="C1339" s="4"/>
      <c r="D1339" s="4"/>
      <c r="E1339" s="5"/>
      <c r="F1339" s="4"/>
      <c r="G1339" s="4"/>
      <c r="H1339" s="33"/>
      <c r="I1339" s="4"/>
      <c r="J1339" s="4"/>
      <c r="K1339" s="4"/>
      <c r="L1339" s="4"/>
      <c r="M1339" s="5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29"/>
      <c r="AJ1339" s="29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</row>
    <row r="1340">
      <c r="A1340" s="4"/>
      <c r="B1340" s="4"/>
      <c r="C1340" s="4"/>
      <c r="D1340" s="4"/>
      <c r="E1340" s="5"/>
      <c r="F1340" s="4"/>
      <c r="G1340" s="4"/>
      <c r="H1340" s="33"/>
      <c r="I1340" s="4"/>
      <c r="J1340" s="4"/>
      <c r="K1340" s="4"/>
      <c r="L1340" s="4"/>
      <c r="M1340" s="5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29"/>
      <c r="AJ1340" s="29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</row>
    <row r="1341">
      <c r="A1341" s="4"/>
      <c r="B1341" s="4"/>
      <c r="C1341" s="4"/>
      <c r="D1341" s="4"/>
      <c r="E1341" s="5"/>
      <c r="F1341" s="4"/>
      <c r="G1341" s="4"/>
      <c r="H1341" s="33"/>
      <c r="I1341" s="4"/>
      <c r="J1341" s="4"/>
      <c r="K1341" s="4"/>
      <c r="L1341" s="4"/>
      <c r="M1341" s="5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29"/>
      <c r="AJ1341" s="29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</row>
    <row r="1342">
      <c r="A1342" s="4"/>
      <c r="B1342" s="4"/>
      <c r="C1342" s="4"/>
      <c r="D1342" s="4"/>
      <c r="E1342" s="5"/>
      <c r="F1342" s="4"/>
      <c r="G1342" s="4"/>
      <c r="H1342" s="33"/>
      <c r="I1342" s="4"/>
      <c r="J1342" s="4"/>
      <c r="K1342" s="4"/>
      <c r="L1342" s="4"/>
      <c r="M1342" s="5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29"/>
      <c r="AJ1342" s="29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</row>
    <row r="1343">
      <c r="A1343" s="4"/>
      <c r="B1343" s="4"/>
      <c r="C1343" s="4"/>
      <c r="D1343" s="4"/>
      <c r="E1343" s="5"/>
      <c r="F1343" s="4"/>
      <c r="G1343" s="4"/>
      <c r="H1343" s="33"/>
      <c r="I1343" s="4"/>
      <c r="J1343" s="4"/>
      <c r="K1343" s="4"/>
      <c r="L1343" s="4"/>
      <c r="M1343" s="5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29"/>
      <c r="AJ1343" s="29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</row>
    <row r="1344">
      <c r="A1344" s="4"/>
      <c r="B1344" s="4"/>
      <c r="C1344" s="4"/>
      <c r="D1344" s="4"/>
      <c r="E1344" s="5"/>
      <c r="F1344" s="4"/>
      <c r="G1344" s="4"/>
      <c r="H1344" s="33"/>
      <c r="I1344" s="4"/>
      <c r="J1344" s="4"/>
      <c r="K1344" s="4"/>
      <c r="L1344" s="4"/>
      <c r="M1344" s="5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29"/>
      <c r="AJ1344" s="29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</row>
    <row r="1345">
      <c r="A1345" s="4"/>
      <c r="B1345" s="4"/>
      <c r="C1345" s="4"/>
      <c r="D1345" s="4"/>
      <c r="E1345" s="5"/>
      <c r="F1345" s="4"/>
      <c r="G1345" s="4"/>
      <c r="H1345" s="33"/>
      <c r="I1345" s="4"/>
      <c r="J1345" s="4"/>
      <c r="K1345" s="4"/>
      <c r="L1345" s="4"/>
      <c r="M1345" s="5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29"/>
      <c r="AJ1345" s="29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</row>
    <row r="1346">
      <c r="A1346" s="4"/>
      <c r="B1346" s="4"/>
      <c r="C1346" s="4"/>
      <c r="D1346" s="4"/>
      <c r="E1346" s="5"/>
      <c r="F1346" s="4"/>
      <c r="G1346" s="4"/>
      <c r="H1346" s="33"/>
      <c r="I1346" s="4"/>
      <c r="J1346" s="4"/>
      <c r="K1346" s="4"/>
      <c r="L1346" s="4"/>
      <c r="M1346" s="5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29"/>
      <c r="AJ1346" s="29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</row>
    <row r="1347">
      <c r="A1347" s="4"/>
      <c r="B1347" s="4"/>
      <c r="C1347" s="4"/>
      <c r="D1347" s="4"/>
      <c r="E1347" s="5"/>
      <c r="F1347" s="4"/>
      <c r="G1347" s="4"/>
      <c r="H1347" s="33"/>
      <c r="I1347" s="4"/>
      <c r="J1347" s="4"/>
      <c r="K1347" s="4"/>
      <c r="L1347" s="4"/>
      <c r="M1347" s="5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29"/>
      <c r="AJ1347" s="29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</row>
    <row r="1348">
      <c r="A1348" s="4"/>
      <c r="B1348" s="4"/>
      <c r="C1348" s="4"/>
      <c r="D1348" s="4"/>
      <c r="E1348" s="5"/>
      <c r="F1348" s="4"/>
      <c r="G1348" s="4"/>
      <c r="H1348" s="33"/>
      <c r="I1348" s="4"/>
      <c r="J1348" s="4"/>
      <c r="K1348" s="4"/>
      <c r="L1348" s="4"/>
      <c r="M1348" s="5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29"/>
      <c r="AJ1348" s="29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</row>
    <row r="1349">
      <c r="A1349" s="4"/>
      <c r="B1349" s="4"/>
      <c r="C1349" s="4"/>
      <c r="D1349" s="4"/>
      <c r="E1349" s="5"/>
      <c r="F1349" s="4"/>
      <c r="G1349" s="4"/>
      <c r="H1349" s="33"/>
      <c r="I1349" s="4"/>
      <c r="J1349" s="4"/>
      <c r="K1349" s="4"/>
      <c r="L1349" s="4"/>
      <c r="M1349" s="5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29"/>
      <c r="AJ1349" s="29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</row>
    <row r="1350">
      <c r="A1350" s="4"/>
      <c r="B1350" s="4"/>
      <c r="C1350" s="4"/>
      <c r="D1350" s="4"/>
      <c r="E1350" s="5"/>
      <c r="F1350" s="4"/>
      <c r="G1350" s="4"/>
      <c r="H1350" s="33"/>
      <c r="I1350" s="4"/>
      <c r="J1350" s="4"/>
      <c r="K1350" s="4"/>
      <c r="L1350" s="4"/>
      <c r="M1350" s="5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29"/>
      <c r="AJ1350" s="29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</row>
    <row r="1351">
      <c r="A1351" s="4"/>
      <c r="B1351" s="4"/>
      <c r="C1351" s="4"/>
      <c r="D1351" s="4"/>
      <c r="E1351" s="5"/>
      <c r="F1351" s="4"/>
      <c r="G1351" s="4"/>
      <c r="H1351" s="33"/>
      <c r="I1351" s="4"/>
      <c r="J1351" s="4"/>
      <c r="K1351" s="4"/>
      <c r="L1351" s="4"/>
      <c r="M1351" s="5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29"/>
      <c r="AJ1351" s="29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</row>
    <row r="1352">
      <c r="A1352" s="4"/>
      <c r="B1352" s="4"/>
      <c r="C1352" s="4"/>
      <c r="D1352" s="4"/>
      <c r="E1352" s="5"/>
      <c r="F1352" s="4"/>
      <c r="G1352" s="4"/>
      <c r="H1352" s="33"/>
      <c r="I1352" s="4"/>
      <c r="J1352" s="4"/>
      <c r="K1352" s="4"/>
      <c r="L1352" s="4"/>
      <c r="M1352" s="5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29"/>
      <c r="AJ1352" s="29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</row>
    <row r="1353">
      <c r="A1353" s="4"/>
      <c r="B1353" s="4"/>
      <c r="C1353" s="4"/>
      <c r="D1353" s="4"/>
      <c r="E1353" s="5"/>
      <c r="F1353" s="4"/>
      <c r="G1353" s="4"/>
      <c r="H1353" s="33"/>
      <c r="I1353" s="4"/>
      <c r="J1353" s="4"/>
      <c r="K1353" s="4"/>
      <c r="L1353" s="4"/>
      <c r="M1353" s="5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29"/>
      <c r="AJ1353" s="29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</row>
    <row r="1354">
      <c r="A1354" s="4"/>
      <c r="B1354" s="4"/>
      <c r="C1354" s="4"/>
      <c r="D1354" s="4"/>
      <c r="E1354" s="5"/>
      <c r="F1354" s="4"/>
      <c r="G1354" s="4"/>
      <c r="H1354" s="33"/>
      <c r="I1354" s="4"/>
      <c r="J1354" s="4"/>
      <c r="K1354" s="4"/>
      <c r="L1354" s="4"/>
      <c r="M1354" s="5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29"/>
      <c r="AJ1354" s="29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</row>
    <row r="1355">
      <c r="A1355" s="4"/>
      <c r="B1355" s="4"/>
      <c r="C1355" s="4"/>
      <c r="D1355" s="4"/>
      <c r="E1355" s="5"/>
      <c r="F1355" s="4"/>
      <c r="G1355" s="4"/>
      <c r="H1355" s="33"/>
      <c r="I1355" s="4"/>
      <c r="J1355" s="4"/>
      <c r="K1355" s="4"/>
      <c r="L1355" s="4"/>
      <c r="M1355" s="5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29"/>
      <c r="AJ1355" s="29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</row>
    <row r="1356">
      <c r="A1356" s="4"/>
      <c r="B1356" s="4"/>
      <c r="C1356" s="4"/>
      <c r="D1356" s="4"/>
      <c r="E1356" s="5"/>
      <c r="F1356" s="4"/>
      <c r="G1356" s="4"/>
      <c r="H1356" s="33"/>
      <c r="I1356" s="4"/>
      <c r="J1356" s="4"/>
      <c r="K1356" s="4"/>
      <c r="L1356" s="4"/>
      <c r="M1356" s="5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29"/>
      <c r="AJ1356" s="29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</row>
    <row r="1357">
      <c r="A1357" s="4"/>
      <c r="B1357" s="4"/>
      <c r="C1357" s="4"/>
      <c r="D1357" s="4"/>
      <c r="E1357" s="5"/>
      <c r="F1357" s="4"/>
      <c r="G1357" s="4"/>
      <c r="H1357" s="33"/>
      <c r="I1357" s="4"/>
      <c r="J1357" s="4"/>
      <c r="K1357" s="4"/>
      <c r="L1357" s="4"/>
      <c r="M1357" s="5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29"/>
      <c r="AJ1357" s="29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</row>
    <row r="1358">
      <c r="A1358" s="4"/>
      <c r="B1358" s="4"/>
      <c r="C1358" s="4"/>
      <c r="D1358" s="4"/>
      <c r="E1358" s="5"/>
      <c r="F1358" s="4"/>
      <c r="G1358" s="4"/>
      <c r="H1358" s="33"/>
      <c r="I1358" s="4"/>
      <c r="J1358" s="4"/>
      <c r="K1358" s="4"/>
      <c r="L1358" s="4"/>
      <c r="M1358" s="5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29"/>
      <c r="AJ1358" s="29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</row>
    <row r="1359">
      <c r="A1359" s="4"/>
      <c r="B1359" s="4"/>
      <c r="C1359" s="4"/>
      <c r="D1359" s="4"/>
      <c r="E1359" s="5"/>
      <c r="F1359" s="4"/>
      <c r="G1359" s="4"/>
      <c r="H1359" s="33"/>
      <c r="I1359" s="4"/>
      <c r="J1359" s="4"/>
      <c r="K1359" s="4"/>
      <c r="L1359" s="4"/>
      <c r="M1359" s="5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29"/>
      <c r="AJ1359" s="29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</row>
    <row r="1360">
      <c r="A1360" s="4"/>
      <c r="B1360" s="4"/>
      <c r="C1360" s="4"/>
      <c r="D1360" s="4"/>
      <c r="E1360" s="5"/>
      <c r="F1360" s="4"/>
      <c r="G1360" s="4"/>
      <c r="H1360" s="33"/>
      <c r="I1360" s="4"/>
      <c r="J1360" s="4"/>
      <c r="K1360" s="4"/>
      <c r="L1360" s="4"/>
      <c r="M1360" s="5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29"/>
      <c r="AJ1360" s="29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</row>
    <row r="1361">
      <c r="A1361" s="4"/>
      <c r="B1361" s="4"/>
      <c r="C1361" s="4"/>
      <c r="D1361" s="4"/>
      <c r="E1361" s="5"/>
      <c r="F1361" s="4"/>
      <c r="G1361" s="4"/>
      <c r="H1361" s="33"/>
      <c r="I1361" s="4"/>
      <c r="J1361" s="4"/>
      <c r="K1361" s="4"/>
      <c r="L1361" s="4"/>
      <c r="M1361" s="5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29"/>
      <c r="AJ1361" s="29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</row>
    <row r="1362">
      <c r="A1362" s="4"/>
      <c r="B1362" s="4"/>
      <c r="C1362" s="4"/>
      <c r="D1362" s="4"/>
      <c r="E1362" s="5"/>
      <c r="F1362" s="4"/>
      <c r="G1362" s="4"/>
      <c r="H1362" s="33"/>
      <c r="I1362" s="4"/>
      <c r="J1362" s="4"/>
      <c r="K1362" s="4"/>
      <c r="L1362" s="4"/>
      <c r="M1362" s="5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29"/>
      <c r="AJ1362" s="29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</row>
    <row r="1363">
      <c r="A1363" s="4"/>
      <c r="B1363" s="4"/>
      <c r="C1363" s="4"/>
      <c r="D1363" s="4"/>
      <c r="E1363" s="5"/>
      <c r="F1363" s="4"/>
      <c r="G1363" s="4"/>
      <c r="H1363" s="33"/>
      <c r="I1363" s="4"/>
      <c r="J1363" s="4"/>
      <c r="K1363" s="4"/>
      <c r="L1363" s="4"/>
      <c r="M1363" s="5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29"/>
      <c r="AJ1363" s="29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</row>
    <row r="1364">
      <c r="A1364" s="4"/>
      <c r="B1364" s="4"/>
      <c r="C1364" s="4"/>
      <c r="D1364" s="4"/>
      <c r="E1364" s="5"/>
      <c r="F1364" s="4"/>
      <c r="G1364" s="4"/>
      <c r="H1364" s="33"/>
      <c r="I1364" s="4"/>
      <c r="J1364" s="4"/>
      <c r="K1364" s="4"/>
      <c r="L1364" s="4"/>
      <c r="M1364" s="5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29"/>
      <c r="AJ1364" s="29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</row>
    <row r="1365">
      <c r="A1365" s="4"/>
      <c r="B1365" s="4"/>
      <c r="C1365" s="4"/>
      <c r="D1365" s="4"/>
      <c r="E1365" s="5"/>
      <c r="F1365" s="4"/>
      <c r="G1365" s="4"/>
      <c r="H1365" s="33"/>
      <c r="I1365" s="4"/>
      <c r="J1365" s="4"/>
      <c r="K1365" s="4"/>
      <c r="L1365" s="4"/>
      <c r="M1365" s="5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29"/>
      <c r="AJ1365" s="29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</row>
    <row r="1366">
      <c r="A1366" s="4"/>
      <c r="B1366" s="4"/>
      <c r="C1366" s="4"/>
      <c r="D1366" s="4"/>
      <c r="E1366" s="5"/>
      <c r="F1366" s="4"/>
      <c r="G1366" s="4"/>
      <c r="H1366" s="33"/>
      <c r="I1366" s="4"/>
      <c r="J1366" s="4"/>
      <c r="K1366" s="4"/>
      <c r="L1366" s="4"/>
      <c r="M1366" s="5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29"/>
      <c r="AJ1366" s="29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</row>
    <row r="1367">
      <c r="A1367" s="4"/>
      <c r="B1367" s="4"/>
      <c r="C1367" s="4"/>
      <c r="D1367" s="4"/>
      <c r="E1367" s="5"/>
      <c r="F1367" s="4"/>
      <c r="G1367" s="4"/>
      <c r="H1367" s="33"/>
      <c r="I1367" s="4"/>
      <c r="J1367" s="4"/>
      <c r="K1367" s="4"/>
      <c r="L1367" s="4"/>
      <c r="M1367" s="5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29"/>
      <c r="AJ1367" s="29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</row>
    <row r="1368">
      <c r="A1368" s="4"/>
      <c r="B1368" s="4"/>
      <c r="C1368" s="4"/>
      <c r="D1368" s="4"/>
      <c r="E1368" s="5"/>
      <c r="F1368" s="4"/>
      <c r="G1368" s="4"/>
      <c r="H1368" s="33"/>
      <c r="I1368" s="4"/>
      <c r="J1368" s="4"/>
      <c r="K1368" s="4"/>
      <c r="L1368" s="4"/>
      <c r="M1368" s="5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29"/>
      <c r="AJ1368" s="29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</row>
    <row r="1369">
      <c r="A1369" s="4"/>
      <c r="B1369" s="4"/>
      <c r="C1369" s="4"/>
      <c r="D1369" s="4"/>
      <c r="E1369" s="5"/>
      <c r="F1369" s="4"/>
      <c r="G1369" s="4"/>
      <c r="H1369" s="33"/>
      <c r="I1369" s="4"/>
      <c r="J1369" s="4"/>
      <c r="K1369" s="4"/>
      <c r="L1369" s="4"/>
      <c r="M1369" s="5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29"/>
      <c r="AJ1369" s="29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</row>
    <row r="1370">
      <c r="A1370" s="4"/>
      <c r="B1370" s="4"/>
      <c r="C1370" s="4"/>
      <c r="D1370" s="4"/>
      <c r="E1370" s="5"/>
      <c r="F1370" s="4"/>
      <c r="G1370" s="4"/>
      <c r="H1370" s="33"/>
      <c r="I1370" s="4"/>
      <c r="J1370" s="4"/>
      <c r="K1370" s="4"/>
      <c r="L1370" s="4"/>
      <c r="M1370" s="5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29"/>
      <c r="AJ1370" s="29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</row>
    <row r="1371">
      <c r="A1371" s="4"/>
      <c r="B1371" s="4"/>
      <c r="C1371" s="4"/>
      <c r="D1371" s="4"/>
      <c r="E1371" s="5"/>
      <c r="F1371" s="4"/>
      <c r="G1371" s="4"/>
      <c r="H1371" s="33"/>
      <c r="I1371" s="4"/>
      <c r="J1371" s="4"/>
      <c r="K1371" s="4"/>
      <c r="L1371" s="4"/>
      <c r="M1371" s="5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29"/>
      <c r="AJ1371" s="29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</row>
    <row r="1372">
      <c r="A1372" s="4"/>
      <c r="B1372" s="4"/>
      <c r="C1372" s="4"/>
      <c r="D1372" s="4"/>
      <c r="E1372" s="5"/>
      <c r="F1372" s="4"/>
      <c r="G1372" s="4"/>
      <c r="H1372" s="33"/>
      <c r="I1372" s="4"/>
      <c r="J1372" s="4"/>
      <c r="K1372" s="4"/>
      <c r="L1372" s="4"/>
      <c r="M1372" s="5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29"/>
      <c r="AJ1372" s="29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</row>
    <row r="1373">
      <c r="A1373" s="4"/>
      <c r="B1373" s="4"/>
      <c r="C1373" s="4"/>
      <c r="D1373" s="4"/>
      <c r="E1373" s="5"/>
      <c r="F1373" s="4"/>
      <c r="G1373" s="4"/>
      <c r="H1373" s="33"/>
      <c r="I1373" s="4"/>
      <c r="J1373" s="4"/>
      <c r="K1373" s="4"/>
      <c r="L1373" s="4"/>
      <c r="M1373" s="5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29"/>
      <c r="AJ1373" s="29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</row>
    <row r="1374">
      <c r="A1374" s="4"/>
      <c r="B1374" s="4"/>
      <c r="C1374" s="4"/>
      <c r="D1374" s="4"/>
      <c r="E1374" s="5"/>
      <c r="F1374" s="4"/>
      <c r="G1374" s="4"/>
      <c r="H1374" s="33"/>
      <c r="I1374" s="4"/>
      <c r="J1374" s="4"/>
      <c r="K1374" s="4"/>
      <c r="L1374" s="4"/>
      <c r="M1374" s="5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29"/>
      <c r="AJ1374" s="29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</row>
    <row r="1375">
      <c r="A1375" s="4"/>
      <c r="B1375" s="4"/>
      <c r="C1375" s="4"/>
      <c r="D1375" s="4"/>
      <c r="E1375" s="5"/>
      <c r="F1375" s="4"/>
      <c r="G1375" s="4"/>
      <c r="H1375" s="33"/>
      <c r="I1375" s="4"/>
      <c r="J1375" s="4"/>
      <c r="K1375" s="4"/>
      <c r="L1375" s="4"/>
      <c r="M1375" s="5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29"/>
      <c r="AJ1375" s="29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</row>
    <row r="1376">
      <c r="A1376" s="4"/>
      <c r="B1376" s="4"/>
      <c r="C1376" s="4"/>
      <c r="D1376" s="4"/>
      <c r="E1376" s="5"/>
      <c r="F1376" s="4"/>
      <c r="G1376" s="4"/>
      <c r="H1376" s="33"/>
      <c r="I1376" s="4"/>
      <c r="J1376" s="4"/>
      <c r="K1376" s="4"/>
      <c r="L1376" s="4"/>
      <c r="M1376" s="5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29"/>
      <c r="AJ1376" s="29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</row>
    <row r="1377">
      <c r="A1377" s="4"/>
      <c r="B1377" s="4"/>
      <c r="C1377" s="4"/>
      <c r="D1377" s="4"/>
      <c r="E1377" s="5"/>
      <c r="F1377" s="4"/>
      <c r="G1377" s="4"/>
      <c r="H1377" s="33"/>
      <c r="I1377" s="4"/>
      <c r="J1377" s="4"/>
      <c r="K1377" s="4"/>
      <c r="L1377" s="4"/>
      <c r="M1377" s="5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29"/>
      <c r="AJ1377" s="29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</row>
    <row r="1378">
      <c r="A1378" s="4"/>
      <c r="B1378" s="4"/>
      <c r="C1378" s="4"/>
      <c r="D1378" s="4"/>
      <c r="E1378" s="5"/>
      <c r="F1378" s="4"/>
      <c r="G1378" s="4"/>
      <c r="H1378" s="33"/>
      <c r="I1378" s="4"/>
      <c r="J1378" s="4"/>
      <c r="K1378" s="4"/>
      <c r="L1378" s="4"/>
      <c r="M1378" s="5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29"/>
      <c r="AJ1378" s="29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</row>
    <row r="1379">
      <c r="A1379" s="4"/>
      <c r="B1379" s="4"/>
      <c r="C1379" s="4"/>
      <c r="D1379" s="4"/>
      <c r="E1379" s="5"/>
      <c r="F1379" s="4"/>
      <c r="G1379" s="4"/>
      <c r="H1379" s="33"/>
      <c r="I1379" s="4"/>
      <c r="J1379" s="4"/>
      <c r="K1379" s="4"/>
      <c r="L1379" s="4"/>
      <c r="M1379" s="5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29"/>
      <c r="AJ1379" s="29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</row>
    <row r="1380">
      <c r="A1380" s="4"/>
      <c r="B1380" s="4"/>
      <c r="C1380" s="4"/>
      <c r="D1380" s="4"/>
      <c r="E1380" s="5"/>
      <c r="F1380" s="4"/>
      <c r="G1380" s="4"/>
      <c r="H1380" s="33"/>
      <c r="I1380" s="4"/>
      <c r="J1380" s="4"/>
      <c r="K1380" s="4"/>
      <c r="L1380" s="4"/>
      <c r="M1380" s="5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29"/>
      <c r="AJ1380" s="29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</row>
    <row r="1381">
      <c r="A1381" s="4"/>
      <c r="B1381" s="4"/>
      <c r="C1381" s="4"/>
      <c r="D1381" s="4"/>
      <c r="E1381" s="5"/>
      <c r="F1381" s="4"/>
      <c r="G1381" s="4"/>
      <c r="H1381" s="33"/>
      <c r="I1381" s="4"/>
      <c r="J1381" s="4"/>
      <c r="K1381" s="4"/>
      <c r="L1381" s="4"/>
      <c r="M1381" s="5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29"/>
      <c r="AJ1381" s="29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</row>
    <row r="1382">
      <c r="A1382" s="4"/>
      <c r="B1382" s="4"/>
      <c r="C1382" s="4"/>
      <c r="D1382" s="4"/>
      <c r="E1382" s="5"/>
      <c r="F1382" s="4"/>
      <c r="G1382" s="4"/>
      <c r="H1382" s="33"/>
      <c r="I1382" s="4"/>
      <c r="J1382" s="4"/>
      <c r="K1382" s="4"/>
      <c r="L1382" s="4"/>
      <c r="M1382" s="5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29"/>
      <c r="AJ1382" s="29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</row>
    <row r="1383">
      <c r="A1383" s="4"/>
      <c r="B1383" s="4"/>
      <c r="C1383" s="4"/>
      <c r="D1383" s="4"/>
      <c r="E1383" s="5"/>
      <c r="F1383" s="4"/>
      <c r="G1383" s="4"/>
      <c r="H1383" s="33"/>
      <c r="I1383" s="4"/>
      <c r="J1383" s="4"/>
      <c r="K1383" s="4"/>
      <c r="L1383" s="4"/>
      <c r="M1383" s="5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29"/>
      <c r="AJ1383" s="29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</row>
    <row r="1384">
      <c r="A1384" s="4"/>
      <c r="B1384" s="4"/>
      <c r="C1384" s="4"/>
      <c r="D1384" s="4"/>
      <c r="E1384" s="5"/>
      <c r="F1384" s="4"/>
      <c r="G1384" s="4"/>
      <c r="H1384" s="33"/>
      <c r="I1384" s="4"/>
      <c r="J1384" s="4"/>
      <c r="K1384" s="4"/>
      <c r="L1384" s="4"/>
      <c r="M1384" s="5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29"/>
      <c r="AJ1384" s="29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</row>
    <row r="1385">
      <c r="A1385" s="4"/>
      <c r="B1385" s="4"/>
      <c r="C1385" s="4"/>
      <c r="D1385" s="4"/>
      <c r="E1385" s="5"/>
      <c r="F1385" s="4"/>
      <c r="G1385" s="4"/>
      <c r="H1385" s="33"/>
      <c r="I1385" s="4"/>
      <c r="J1385" s="4"/>
      <c r="K1385" s="4"/>
      <c r="L1385" s="4"/>
      <c r="M1385" s="5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29"/>
      <c r="AJ1385" s="29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</row>
    <row r="1386">
      <c r="A1386" s="4"/>
      <c r="B1386" s="4"/>
      <c r="C1386" s="4"/>
      <c r="D1386" s="4"/>
      <c r="E1386" s="5"/>
      <c r="F1386" s="4"/>
      <c r="G1386" s="4"/>
      <c r="H1386" s="33"/>
      <c r="I1386" s="4"/>
      <c r="J1386" s="4"/>
      <c r="K1386" s="4"/>
      <c r="L1386" s="4"/>
      <c r="M1386" s="5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29"/>
      <c r="AJ1386" s="29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</row>
    <row r="1387">
      <c r="A1387" s="4"/>
      <c r="B1387" s="4"/>
      <c r="C1387" s="4"/>
      <c r="D1387" s="4"/>
      <c r="E1387" s="5"/>
      <c r="F1387" s="4"/>
      <c r="G1387" s="4"/>
      <c r="H1387" s="33"/>
      <c r="I1387" s="4"/>
      <c r="J1387" s="4"/>
      <c r="K1387" s="4"/>
      <c r="L1387" s="4"/>
      <c r="M1387" s="5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29"/>
      <c r="AJ1387" s="29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</row>
    <row r="1388">
      <c r="A1388" s="4"/>
      <c r="B1388" s="4"/>
      <c r="C1388" s="4"/>
      <c r="D1388" s="4"/>
      <c r="E1388" s="5"/>
      <c r="F1388" s="4"/>
      <c r="G1388" s="4"/>
      <c r="H1388" s="33"/>
      <c r="I1388" s="4"/>
      <c r="J1388" s="4"/>
      <c r="K1388" s="4"/>
      <c r="L1388" s="4"/>
      <c r="M1388" s="5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29"/>
      <c r="AJ1388" s="29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</row>
    <row r="1389">
      <c r="A1389" s="4"/>
      <c r="B1389" s="4"/>
      <c r="C1389" s="4"/>
      <c r="D1389" s="4"/>
      <c r="E1389" s="5"/>
      <c r="F1389" s="4"/>
      <c r="G1389" s="4"/>
      <c r="H1389" s="33"/>
      <c r="I1389" s="4"/>
      <c r="J1389" s="4"/>
      <c r="K1389" s="4"/>
      <c r="L1389" s="4"/>
      <c r="M1389" s="5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29"/>
      <c r="AJ1389" s="29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</row>
    <row r="1390">
      <c r="A1390" s="4"/>
      <c r="B1390" s="4"/>
      <c r="C1390" s="4"/>
      <c r="D1390" s="4"/>
      <c r="E1390" s="5"/>
      <c r="F1390" s="4"/>
      <c r="G1390" s="4"/>
      <c r="H1390" s="33"/>
      <c r="I1390" s="4"/>
      <c r="J1390" s="4"/>
      <c r="K1390" s="4"/>
      <c r="L1390" s="4"/>
      <c r="M1390" s="5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29"/>
      <c r="AJ1390" s="29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</row>
    <row r="1391">
      <c r="A1391" s="4"/>
      <c r="B1391" s="4"/>
      <c r="C1391" s="4"/>
      <c r="D1391" s="4"/>
      <c r="E1391" s="5"/>
      <c r="F1391" s="4"/>
      <c r="G1391" s="4"/>
      <c r="H1391" s="33"/>
      <c r="I1391" s="4"/>
      <c r="J1391" s="4"/>
      <c r="K1391" s="4"/>
      <c r="L1391" s="4"/>
      <c r="M1391" s="5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29"/>
      <c r="AJ1391" s="29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</row>
    <row r="1392">
      <c r="A1392" s="4"/>
      <c r="B1392" s="4"/>
      <c r="C1392" s="4"/>
      <c r="D1392" s="4"/>
      <c r="E1392" s="5"/>
      <c r="F1392" s="4"/>
      <c r="G1392" s="4"/>
      <c r="H1392" s="33"/>
      <c r="I1392" s="4"/>
      <c r="J1392" s="4"/>
      <c r="K1392" s="4"/>
      <c r="L1392" s="4"/>
      <c r="M1392" s="5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29"/>
      <c r="AJ1392" s="29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</row>
    <row r="1393">
      <c r="A1393" s="4"/>
      <c r="B1393" s="4"/>
      <c r="C1393" s="4"/>
      <c r="D1393" s="4"/>
      <c r="E1393" s="5"/>
      <c r="F1393" s="4"/>
      <c r="G1393" s="4"/>
      <c r="H1393" s="33"/>
      <c r="I1393" s="4"/>
      <c r="J1393" s="4"/>
      <c r="K1393" s="4"/>
      <c r="L1393" s="4"/>
      <c r="M1393" s="5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29"/>
      <c r="AJ1393" s="29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</row>
    <row r="1394">
      <c r="A1394" s="4"/>
      <c r="B1394" s="4"/>
      <c r="C1394" s="4"/>
      <c r="D1394" s="4"/>
      <c r="E1394" s="5"/>
      <c r="F1394" s="4"/>
      <c r="G1394" s="4"/>
      <c r="H1394" s="33"/>
      <c r="I1394" s="4"/>
      <c r="J1394" s="4"/>
      <c r="K1394" s="4"/>
      <c r="L1394" s="4"/>
      <c r="M1394" s="5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29"/>
      <c r="AJ1394" s="29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</row>
    <row r="1395">
      <c r="A1395" s="4"/>
      <c r="B1395" s="4"/>
      <c r="C1395" s="4"/>
      <c r="D1395" s="4"/>
      <c r="E1395" s="5"/>
      <c r="F1395" s="4"/>
      <c r="G1395" s="4"/>
      <c r="H1395" s="33"/>
      <c r="I1395" s="4"/>
      <c r="J1395" s="4"/>
      <c r="K1395" s="4"/>
      <c r="L1395" s="4"/>
      <c r="M1395" s="5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29"/>
      <c r="AJ1395" s="29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</row>
    <row r="1396">
      <c r="A1396" s="4"/>
      <c r="B1396" s="4"/>
      <c r="C1396" s="4"/>
      <c r="D1396" s="4"/>
      <c r="E1396" s="5"/>
      <c r="F1396" s="4"/>
      <c r="G1396" s="4"/>
      <c r="H1396" s="33"/>
      <c r="I1396" s="4"/>
      <c r="J1396" s="4"/>
      <c r="K1396" s="4"/>
      <c r="L1396" s="4"/>
      <c r="M1396" s="5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29"/>
      <c r="AJ1396" s="29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</row>
    <row r="1397">
      <c r="A1397" s="4"/>
      <c r="B1397" s="4"/>
      <c r="C1397" s="4"/>
      <c r="D1397" s="4"/>
      <c r="E1397" s="5"/>
      <c r="F1397" s="4"/>
      <c r="G1397" s="4"/>
      <c r="H1397" s="33"/>
      <c r="I1397" s="4"/>
      <c r="J1397" s="4"/>
      <c r="K1397" s="4"/>
      <c r="L1397" s="4"/>
      <c r="M1397" s="5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29"/>
      <c r="AJ1397" s="29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</row>
    <row r="1398">
      <c r="A1398" s="4"/>
      <c r="B1398" s="4"/>
      <c r="C1398" s="4"/>
      <c r="D1398" s="4"/>
      <c r="E1398" s="5"/>
      <c r="F1398" s="4"/>
      <c r="G1398" s="4"/>
      <c r="H1398" s="33"/>
      <c r="I1398" s="4"/>
      <c r="J1398" s="4"/>
      <c r="K1398" s="4"/>
      <c r="L1398" s="4"/>
      <c r="M1398" s="5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29"/>
      <c r="AJ1398" s="29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</row>
    <row r="1399">
      <c r="A1399" s="4"/>
      <c r="B1399" s="4"/>
      <c r="C1399" s="4"/>
      <c r="D1399" s="4"/>
      <c r="E1399" s="5"/>
      <c r="F1399" s="4"/>
      <c r="G1399" s="4"/>
      <c r="H1399" s="33"/>
      <c r="I1399" s="4"/>
      <c r="J1399" s="4"/>
      <c r="K1399" s="4"/>
      <c r="L1399" s="4"/>
      <c r="M1399" s="5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29"/>
      <c r="AJ1399" s="29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</row>
    <row r="1400">
      <c r="A1400" s="4"/>
      <c r="B1400" s="4"/>
      <c r="C1400" s="4"/>
      <c r="D1400" s="4"/>
      <c r="E1400" s="5"/>
      <c r="F1400" s="4"/>
      <c r="G1400" s="4"/>
      <c r="H1400" s="33"/>
      <c r="I1400" s="4"/>
      <c r="J1400" s="4"/>
      <c r="K1400" s="4"/>
      <c r="L1400" s="4"/>
      <c r="M1400" s="5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29"/>
      <c r="AJ1400" s="29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</row>
    <row r="1401">
      <c r="A1401" s="4"/>
      <c r="B1401" s="4"/>
      <c r="C1401" s="4"/>
      <c r="D1401" s="4"/>
      <c r="E1401" s="5"/>
      <c r="F1401" s="4"/>
      <c r="G1401" s="4"/>
      <c r="H1401" s="33"/>
      <c r="I1401" s="4"/>
      <c r="J1401" s="4"/>
      <c r="K1401" s="4"/>
      <c r="L1401" s="4"/>
      <c r="M1401" s="5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29"/>
      <c r="AJ1401" s="29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</row>
    <row r="1402">
      <c r="A1402" s="4"/>
      <c r="B1402" s="4"/>
      <c r="C1402" s="4"/>
      <c r="D1402" s="4"/>
      <c r="E1402" s="5"/>
      <c r="F1402" s="4"/>
      <c r="G1402" s="4"/>
      <c r="H1402" s="33"/>
      <c r="I1402" s="4"/>
      <c r="J1402" s="4"/>
      <c r="K1402" s="4"/>
      <c r="L1402" s="4"/>
      <c r="M1402" s="5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29"/>
      <c r="AJ1402" s="29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</row>
    <row r="1403">
      <c r="A1403" s="4"/>
      <c r="B1403" s="4"/>
      <c r="C1403" s="4"/>
      <c r="D1403" s="4"/>
      <c r="E1403" s="5"/>
      <c r="F1403" s="4"/>
      <c r="G1403" s="4"/>
      <c r="H1403" s="33"/>
      <c r="I1403" s="4"/>
      <c r="J1403" s="4"/>
      <c r="K1403" s="4"/>
      <c r="L1403" s="4"/>
      <c r="M1403" s="5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29"/>
      <c r="AJ1403" s="29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</row>
    <row r="1404">
      <c r="A1404" s="4"/>
      <c r="B1404" s="4"/>
      <c r="C1404" s="4"/>
      <c r="D1404" s="4"/>
      <c r="E1404" s="5"/>
      <c r="F1404" s="4"/>
      <c r="G1404" s="4"/>
      <c r="H1404" s="33"/>
      <c r="I1404" s="4"/>
      <c r="J1404" s="4"/>
      <c r="K1404" s="4"/>
      <c r="L1404" s="4"/>
      <c r="M1404" s="5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29"/>
      <c r="AJ1404" s="29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</row>
    <row r="1405">
      <c r="A1405" s="4"/>
      <c r="B1405" s="4"/>
      <c r="C1405" s="4"/>
      <c r="D1405" s="4"/>
      <c r="E1405" s="5"/>
      <c r="F1405" s="4"/>
      <c r="G1405" s="4"/>
      <c r="H1405" s="33"/>
      <c r="I1405" s="4"/>
      <c r="J1405" s="4"/>
      <c r="K1405" s="4"/>
      <c r="L1405" s="4"/>
      <c r="M1405" s="5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29"/>
      <c r="AJ1405" s="29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</row>
    <row r="1406">
      <c r="A1406" s="4"/>
      <c r="B1406" s="4"/>
      <c r="C1406" s="4"/>
      <c r="D1406" s="4"/>
      <c r="E1406" s="5"/>
      <c r="F1406" s="4"/>
      <c r="G1406" s="4"/>
      <c r="H1406" s="33"/>
      <c r="I1406" s="4"/>
      <c r="J1406" s="4"/>
      <c r="K1406" s="4"/>
      <c r="L1406" s="4"/>
      <c r="M1406" s="5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29"/>
      <c r="AJ1406" s="29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</row>
    <row r="1407">
      <c r="A1407" s="4"/>
      <c r="B1407" s="4"/>
      <c r="C1407" s="4"/>
      <c r="D1407" s="4"/>
      <c r="E1407" s="5"/>
      <c r="F1407" s="4"/>
      <c r="G1407" s="4"/>
      <c r="H1407" s="33"/>
      <c r="I1407" s="4"/>
      <c r="J1407" s="4"/>
      <c r="K1407" s="4"/>
      <c r="L1407" s="4"/>
      <c r="M1407" s="5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29"/>
      <c r="AJ1407" s="29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</row>
    <row r="1408">
      <c r="A1408" s="4"/>
      <c r="B1408" s="4"/>
      <c r="C1408" s="4"/>
      <c r="D1408" s="4"/>
      <c r="E1408" s="5"/>
      <c r="F1408" s="4"/>
      <c r="G1408" s="4"/>
      <c r="H1408" s="33"/>
      <c r="I1408" s="4"/>
      <c r="J1408" s="4"/>
      <c r="K1408" s="4"/>
      <c r="L1408" s="4"/>
      <c r="M1408" s="5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29"/>
      <c r="AJ1408" s="29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</row>
    <row r="1409">
      <c r="A1409" s="4"/>
      <c r="B1409" s="4"/>
      <c r="C1409" s="4"/>
      <c r="D1409" s="4"/>
      <c r="E1409" s="5"/>
      <c r="F1409" s="4"/>
      <c r="G1409" s="4"/>
      <c r="H1409" s="33"/>
      <c r="I1409" s="4"/>
      <c r="J1409" s="4"/>
      <c r="K1409" s="4"/>
      <c r="L1409" s="4"/>
      <c r="M1409" s="5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29"/>
      <c r="AJ1409" s="29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</row>
    <row r="1410">
      <c r="A1410" s="4"/>
      <c r="B1410" s="4"/>
      <c r="C1410" s="4"/>
      <c r="D1410" s="4"/>
      <c r="E1410" s="5"/>
      <c r="F1410" s="4"/>
      <c r="G1410" s="4"/>
      <c r="H1410" s="33"/>
      <c r="I1410" s="4"/>
      <c r="J1410" s="4"/>
      <c r="K1410" s="4"/>
      <c r="L1410" s="4"/>
      <c r="M1410" s="5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29"/>
      <c r="AJ1410" s="29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</row>
    <row r="1411">
      <c r="A1411" s="4"/>
      <c r="B1411" s="4"/>
      <c r="C1411" s="4"/>
      <c r="D1411" s="4"/>
      <c r="E1411" s="5"/>
      <c r="F1411" s="4"/>
      <c r="G1411" s="4"/>
      <c r="H1411" s="33"/>
      <c r="I1411" s="4"/>
      <c r="J1411" s="4"/>
      <c r="K1411" s="4"/>
      <c r="L1411" s="4"/>
      <c r="M1411" s="5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29"/>
      <c r="AJ1411" s="29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</row>
    <row r="1412">
      <c r="A1412" s="4"/>
      <c r="B1412" s="4"/>
      <c r="C1412" s="4"/>
      <c r="D1412" s="4"/>
      <c r="E1412" s="5"/>
      <c r="F1412" s="4"/>
      <c r="G1412" s="4"/>
      <c r="H1412" s="33"/>
      <c r="I1412" s="4"/>
      <c r="J1412" s="4"/>
      <c r="K1412" s="4"/>
      <c r="L1412" s="4"/>
      <c r="M1412" s="5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29"/>
      <c r="AJ1412" s="29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</row>
    <row r="1413">
      <c r="A1413" s="4"/>
      <c r="B1413" s="4"/>
      <c r="C1413" s="4"/>
      <c r="D1413" s="4"/>
      <c r="E1413" s="5"/>
      <c r="F1413" s="4"/>
      <c r="G1413" s="4"/>
      <c r="H1413" s="33"/>
      <c r="I1413" s="4"/>
      <c r="J1413" s="4"/>
      <c r="K1413" s="4"/>
      <c r="L1413" s="4"/>
      <c r="M1413" s="5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29"/>
      <c r="AJ1413" s="29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</row>
    <row r="1414">
      <c r="A1414" s="4"/>
      <c r="B1414" s="4"/>
      <c r="C1414" s="4"/>
      <c r="D1414" s="4"/>
      <c r="E1414" s="5"/>
      <c r="F1414" s="4"/>
      <c r="G1414" s="4"/>
      <c r="H1414" s="33"/>
      <c r="I1414" s="4"/>
      <c r="J1414" s="4"/>
      <c r="K1414" s="4"/>
      <c r="L1414" s="4"/>
      <c r="M1414" s="5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29"/>
      <c r="AJ1414" s="29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</row>
    <row r="1415">
      <c r="A1415" s="4"/>
      <c r="B1415" s="4"/>
      <c r="C1415" s="4"/>
      <c r="D1415" s="4"/>
      <c r="E1415" s="5"/>
      <c r="F1415" s="4"/>
      <c r="G1415" s="4"/>
      <c r="H1415" s="33"/>
      <c r="I1415" s="4"/>
      <c r="J1415" s="4"/>
      <c r="K1415" s="4"/>
      <c r="L1415" s="4"/>
      <c r="M1415" s="5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29"/>
      <c r="AJ1415" s="29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</row>
    <row r="1416">
      <c r="A1416" s="4"/>
      <c r="B1416" s="4"/>
      <c r="C1416" s="4"/>
      <c r="D1416" s="4"/>
      <c r="E1416" s="5"/>
      <c r="F1416" s="4"/>
      <c r="G1416" s="4"/>
      <c r="H1416" s="33"/>
      <c r="I1416" s="4"/>
      <c r="J1416" s="4"/>
      <c r="K1416" s="4"/>
      <c r="L1416" s="4"/>
      <c r="M1416" s="5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29"/>
      <c r="AJ1416" s="29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</row>
    <row r="1417">
      <c r="A1417" s="4"/>
      <c r="B1417" s="4"/>
      <c r="C1417" s="4"/>
      <c r="D1417" s="4"/>
      <c r="E1417" s="5"/>
      <c r="F1417" s="4"/>
      <c r="G1417" s="4"/>
      <c r="H1417" s="33"/>
      <c r="I1417" s="4"/>
      <c r="J1417" s="4"/>
      <c r="K1417" s="4"/>
      <c r="L1417" s="4"/>
      <c r="M1417" s="5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29"/>
      <c r="AJ1417" s="29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</row>
    <row r="1418">
      <c r="A1418" s="4"/>
      <c r="B1418" s="4"/>
      <c r="C1418" s="4"/>
      <c r="D1418" s="4"/>
      <c r="E1418" s="5"/>
      <c r="F1418" s="4"/>
      <c r="G1418" s="4"/>
      <c r="H1418" s="33"/>
      <c r="I1418" s="4"/>
      <c r="J1418" s="4"/>
      <c r="K1418" s="4"/>
      <c r="L1418" s="4"/>
      <c r="M1418" s="5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29"/>
      <c r="AJ1418" s="29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</row>
    <row r="1419">
      <c r="A1419" s="4"/>
      <c r="B1419" s="4"/>
      <c r="C1419" s="4"/>
      <c r="D1419" s="4"/>
      <c r="E1419" s="5"/>
      <c r="F1419" s="4"/>
      <c r="G1419" s="4"/>
      <c r="H1419" s="33"/>
      <c r="I1419" s="4"/>
      <c r="J1419" s="4"/>
      <c r="K1419" s="4"/>
      <c r="L1419" s="4"/>
      <c r="M1419" s="5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29"/>
      <c r="AJ1419" s="29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</row>
    <row r="1420">
      <c r="A1420" s="4"/>
      <c r="B1420" s="4"/>
      <c r="C1420" s="4"/>
      <c r="D1420" s="4"/>
      <c r="E1420" s="5"/>
      <c r="F1420" s="4"/>
      <c r="G1420" s="4"/>
      <c r="H1420" s="33"/>
      <c r="I1420" s="4"/>
      <c r="J1420" s="4"/>
      <c r="K1420" s="4"/>
      <c r="L1420" s="4"/>
      <c r="M1420" s="5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29"/>
      <c r="AJ1420" s="29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</row>
    <row r="1421">
      <c r="A1421" s="4"/>
      <c r="B1421" s="4"/>
      <c r="C1421" s="4"/>
      <c r="D1421" s="4"/>
      <c r="E1421" s="5"/>
      <c r="F1421" s="4"/>
      <c r="G1421" s="4"/>
      <c r="H1421" s="33"/>
      <c r="I1421" s="4"/>
      <c r="J1421" s="4"/>
      <c r="K1421" s="4"/>
      <c r="L1421" s="4"/>
      <c r="M1421" s="5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29"/>
      <c r="AJ1421" s="29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</row>
    <row r="1422">
      <c r="A1422" s="4"/>
      <c r="B1422" s="4"/>
      <c r="C1422" s="4"/>
      <c r="D1422" s="4"/>
      <c r="E1422" s="5"/>
      <c r="F1422" s="4"/>
      <c r="G1422" s="4"/>
      <c r="H1422" s="33"/>
      <c r="I1422" s="4"/>
      <c r="J1422" s="4"/>
      <c r="K1422" s="4"/>
      <c r="L1422" s="4"/>
      <c r="M1422" s="5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29"/>
      <c r="AJ1422" s="29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</row>
    <row r="1423">
      <c r="A1423" s="4"/>
      <c r="B1423" s="4"/>
      <c r="C1423" s="4"/>
      <c r="D1423" s="4"/>
      <c r="E1423" s="5"/>
      <c r="F1423" s="4"/>
      <c r="G1423" s="4"/>
      <c r="H1423" s="33"/>
      <c r="I1423" s="4"/>
      <c r="J1423" s="4"/>
      <c r="K1423" s="4"/>
      <c r="L1423" s="4"/>
      <c r="M1423" s="5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29"/>
      <c r="AJ1423" s="29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</row>
    <row r="1424">
      <c r="A1424" s="4"/>
      <c r="B1424" s="4"/>
      <c r="C1424" s="4"/>
      <c r="D1424" s="4"/>
      <c r="E1424" s="5"/>
      <c r="F1424" s="4"/>
      <c r="G1424" s="4"/>
      <c r="H1424" s="33"/>
      <c r="I1424" s="4"/>
      <c r="J1424" s="4"/>
      <c r="K1424" s="4"/>
      <c r="L1424" s="4"/>
      <c r="M1424" s="5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29"/>
      <c r="AJ1424" s="29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</row>
    <row r="1425">
      <c r="A1425" s="4"/>
      <c r="B1425" s="4"/>
      <c r="C1425" s="4"/>
      <c r="D1425" s="4"/>
      <c r="E1425" s="5"/>
      <c r="F1425" s="4"/>
      <c r="G1425" s="4"/>
      <c r="H1425" s="33"/>
      <c r="I1425" s="4"/>
      <c r="J1425" s="4"/>
      <c r="K1425" s="4"/>
      <c r="L1425" s="4"/>
      <c r="M1425" s="5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29"/>
      <c r="AJ1425" s="29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</row>
    <row r="1426">
      <c r="A1426" s="4"/>
      <c r="B1426" s="4"/>
      <c r="C1426" s="4"/>
      <c r="D1426" s="4"/>
      <c r="E1426" s="5"/>
      <c r="F1426" s="4"/>
      <c r="G1426" s="4"/>
      <c r="H1426" s="33"/>
      <c r="I1426" s="4"/>
      <c r="J1426" s="4"/>
      <c r="K1426" s="4"/>
      <c r="L1426" s="4"/>
      <c r="M1426" s="5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29"/>
      <c r="AJ1426" s="29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</row>
    <row r="1427">
      <c r="A1427" s="4"/>
      <c r="B1427" s="4"/>
      <c r="C1427" s="4"/>
      <c r="D1427" s="4"/>
      <c r="E1427" s="5"/>
      <c r="F1427" s="4"/>
      <c r="G1427" s="4"/>
      <c r="H1427" s="33"/>
      <c r="I1427" s="4"/>
      <c r="J1427" s="4"/>
      <c r="K1427" s="4"/>
      <c r="L1427" s="4"/>
      <c r="M1427" s="5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29"/>
      <c r="AJ1427" s="29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</row>
    <row r="1428">
      <c r="A1428" s="4"/>
      <c r="B1428" s="4"/>
      <c r="C1428" s="4"/>
      <c r="D1428" s="4"/>
      <c r="E1428" s="5"/>
      <c r="F1428" s="4"/>
      <c r="G1428" s="4"/>
      <c r="H1428" s="33"/>
      <c r="I1428" s="4"/>
      <c r="J1428" s="4"/>
      <c r="K1428" s="4"/>
      <c r="L1428" s="4"/>
      <c r="M1428" s="5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29"/>
      <c r="AJ1428" s="29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</row>
    <row r="1429">
      <c r="A1429" s="4"/>
      <c r="B1429" s="4"/>
      <c r="C1429" s="4"/>
      <c r="D1429" s="4"/>
      <c r="E1429" s="5"/>
      <c r="F1429" s="4"/>
      <c r="G1429" s="4"/>
      <c r="H1429" s="33"/>
      <c r="I1429" s="4"/>
      <c r="J1429" s="4"/>
      <c r="K1429" s="4"/>
      <c r="L1429" s="4"/>
      <c r="M1429" s="5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29"/>
      <c r="AJ1429" s="29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</row>
    <row r="1430">
      <c r="A1430" s="4"/>
      <c r="B1430" s="4"/>
      <c r="C1430" s="4"/>
      <c r="D1430" s="4"/>
      <c r="E1430" s="5"/>
      <c r="F1430" s="4"/>
      <c r="G1430" s="4"/>
      <c r="H1430" s="33"/>
      <c r="I1430" s="4"/>
      <c r="J1430" s="4"/>
      <c r="K1430" s="4"/>
      <c r="L1430" s="4"/>
      <c r="M1430" s="5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29"/>
      <c r="AJ1430" s="29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</row>
    <row r="1431">
      <c r="A1431" s="4"/>
      <c r="B1431" s="4"/>
      <c r="C1431" s="4"/>
      <c r="D1431" s="4"/>
      <c r="E1431" s="5"/>
      <c r="F1431" s="4"/>
      <c r="G1431" s="4"/>
      <c r="H1431" s="33"/>
      <c r="I1431" s="4"/>
      <c r="J1431" s="4"/>
      <c r="K1431" s="4"/>
      <c r="L1431" s="4"/>
      <c r="M1431" s="5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29"/>
      <c r="AJ1431" s="29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</row>
    <row r="1432">
      <c r="A1432" s="4"/>
      <c r="B1432" s="4"/>
      <c r="C1432" s="4"/>
      <c r="D1432" s="4"/>
      <c r="E1432" s="5"/>
      <c r="F1432" s="4"/>
      <c r="G1432" s="4"/>
      <c r="H1432" s="33"/>
      <c r="I1432" s="4"/>
      <c r="J1432" s="4"/>
      <c r="K1432" s="4"/>
      <c r="L1432" s="4"/>
      <c r="M1432" s="5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29"/>
      <c r="AJ1432" s="29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</row>
    <row r="1433">
      <c r="A1433" s="4"/>
      <c r="B1433" s="4"/>
      <c r="C1433" s="4"/>
      <c r="D1433" s="4"/>
      <c r="E1433" s="5"/>
      <c r="F1433" s="4"/>
      <c r="G1433" s="4"/>
      <c r="H1433" s="33"/>
      <c r="I1433" s="4"/>
      <c r="J1433" s="4"/>
      <c r="K1433" s="4"/>
      <c r="L1433" s="4"/>
      <c r="M1433" s="5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29"/>
      <c r="AJ1433" s="29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</row>
    <row r="1434">
      <c r="A1434" s="4"/>
      <c r="B1434" s="4"/>
      <c r="C1434" s="4"/>
      <c r="D1434" s="4"/>
      <c r="E1434" s="5"/>
      <c r="F1434" s="4"/>
      <c r="G1434" s="4"/>
      <c r="H1434" s="33"/>
      <c r="I1434" s="4"/>
      <c r="J1434" s="4"/>
      <c r="K1434" s="4"/>
      <c r="L1434" s="4"/>
      <c r="M1434" s="5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29"/>
      <c r="AJ1434" s="29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</row>
    <row r="1435">
      <c r="A1435" s="4"/>
      <c r="B1435" s="4"/>
      <c r="C1435" s="4"/>
      <c r="D1435" s="4"/>
      <c r="E1435" s="5"/>
      <c r="F1435" s="4"/>
      <c r="G1435" s="4"/>
      <c r="H1435" s="33"/>
      <c r="I1435" s="4"/>
      <c r="J1435" s="4"/>
      <c r="K1435" s="4"/>
      <c r="L1435" s="4"/>
      <c r="M1435" s="5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29"/>
      <c r="AJ1435" s="29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</row>
    <row r="1436">
      <c r="A1436" s="4"/>
      <c r="B1436" s="4"/>
      <c r="C1436" s="4"/>
      <c r="D1436" s="4"/>
      <c r="E1436" s="5"/>
      <c r="F1436" s="4"/>
      <c r="G1436" s="4"/>
      <c r="H1436" s="33"/>
      <c r="I1436" s="4"/>
      <c r="J1436" s="4"/>
      <c r="K1436" s="4"/>
      <c r="L1436" s="4"/>
      <c r="M1436" s="5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29"/>
      <c r="AJ1436" s="29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</row>
    <row r="1437">
      <c r="A1437" s="4"/>
      <c r="B1437" s="4"/>
      <c r="C1437" s="4"/>
      <c r="D1437" s="4"/>
      <c r="E1437" s="5"/>
      <c r="F1437" s="4"/>
      <c r="G1437" s="4"/>
      <c r="H1437" s="33"/>
      <c r="I1437" s="4"/>
      <c r="J1437" s="4"/>
      <c r="K1437" s="4"/>
      <c r="L1437" s="4"/>
      <c r="M1437" s="5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29"/>
      <c r="AJ1437" s="29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</row>
    <row r="1438">
      <c r="A1438" s="4"/>
      <c r="B1438" s="4"/>
      <c r="C1438" s="4"/>
      <c r="D1438" s="4"/>
      <c r="E1438" s="5"/>
      <c r="F1438" s="4"/>
      <c r="G1438" s="4"/>
      <c r="H1438" s="33"/>
      <c r="I1438" s="4"/>
      <c r="J1438" s="4"/>
      <c r="K1438" s="4"/>
      <c r="L1438" s="4"/>
      <c r="M1438" s="5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29"/>
      <c r="AJ1438" s="29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</row>
    <row r="1439">
      <c r="A1439" s="4"/>
      <c r="B1439" s="4"/>
      <c r="C1439" s="4"/>
      <c r="D1439" s="4"/>
      <c r="E1439" s="5"/>
      <c r="F1439" s="4"/>
      <c r="G1439" s="4"/>
      <c r="H1439" s="33"/>
      <c r="I1439" s="4"/>
      <c r="J1439" s="4"/>
      <c r="K1439" s="4"/>
      <c r="L1439" s="4"/>
      <c r="M1439" s="5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29"/>
      <c r="AJ1439" s="29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</row>
    <row r="1440">
      <c r="A1440" s="4"/>
      <c r="B1440" s="4"/>
      <c r="C1440" s="4"/>
      <c r="D1440" s="4"/>
      <c r="E1440" s="5"/>
      <c r="F1440" s="4"/>
      <c r="G1440" s="4"/>
      <c r="H1440" s="33"/>
      <c r="I1440" s="4"/>
      <c r="J1440" s="4"/>
      <c r="K1440" s="4"/>
      <c r="L1440" s="4"/>
      <c r="M1440" s="5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29"/>
      <c r="AJ1440" s="29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</row>
    <row r="1441">
      <c r="A1441" s="4"/>
      <c r="B1441" s="4"/>
      <c r="C1441" s="4"/>
      <c r="D1441" s="4"/>
      <c r="E1441" s="5"/>
      <c r="F1441" s="4"/>
      <c r="G1441" s="4"/>
      <c r="H1441" s="33"/>
      <c r="I1441" s="4"/>
      <c r="J1441" s="4"/>
      <c r="K1441" s="4"/>
      <c r="L1441" s="4"/>
      <c r="M1441" s="5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29"/>
      <c r="AJ1441" s="29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</row>
    <row r="1442">
      <c r="A1442" s="4"/>
      <c r="B1442" s="4"/>
      <c r="C1442" s="4"/>
      <c r="D1442" s="4"/>
      <c r="E1442" s="5"/>
      <c r="F1442" s="4"/>
      <c r="G1442" s="4"/>
      <c r="H1442" s="33"/>
      <c r="I1442" s="4"/>
      <c r="J1442" s="4"/>
      <c r="K1442" s="4"/>
      <c r="L1442" s="4"/>
      <c r="M1442" s="5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29"/>
      <c r="AJ1442" s="29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</row>
    <row r="1443">
      <c r="A1443" s="4"/>
      <c r="B1443" s="4"/>
      <c r="C1443" s="4"/>
      <c r="D1443" s="4"/>
      <c r="E1443" s="5"/>
      <c r="F1443" s="4"/>
      <c r="G1443" s="4"/>
      <c r="H1443" s="33"/>
      <c r="I1443" s="4"/>
      <c r="J1443" s="4"/>
      <c r="K1443" s="4"/>
      <c r="L1443" s="4"/>
      <c r="M1443" s="5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29"/>
      <c r="AJ1443" s="29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</row>
    <row r="1444">
      <c r="A1444" s="4"/>
      <c r="B1444" s="4"/>
      <c r="C1444" s="4"/>
      <c r="D1444" s="4"/>
      <c r="E1444" s="5"/>
      <c r="F1444" s="4"/>
      <c r="G1444" s="4"/>
      <c r="H1444" s="33"/>
      <c r="I1444" s="4"/>
      <c r="J1444" s="4"/>
      <c r="K1444" s="4"/>
      <c r="L1444" s="4"/>
      <c r="M1444" s="5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29"/>
      <c r="AJ1444" s="29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</row>
    <row r="1445">
      <c r="A1445" s="4"/>
      <c r="B1445" s="4"/>
      <c r="C1445" s="4"/>
      <c r="D1445" s="4"/>
      <c r="E1445" s="5"/>
      <c r="F1445" s="4"/>
      <c r="G1445" s="4"/>
      <c r="H1445" s="33"/>
      <c r="I1445" s="4"/>
      <c r="J1445" s="4"/>
      <c r="K1445" s="4"/>
      <c r="L1445" s="4"/>
      <c r="M1445" s="5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29"/>
      <c r="AJ1445" s="29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</row>
    <row r="1446">
      <c r="A1446" s="4"/>
      <c r="B1446" s="4"/>
      <c r="C1446" s="4"/>
      <c r="D1446" s="4"/>
      <c r="E1446" s="5"/>
      <c r="F1446" s="4"/>
      <c r="G1446" s="4"/>
      <c r="H1446" s="33"/>
      <c r="I1446" s="4"/>
      <c r="J1446" s="4"/>
      <c r="K1446" s="4"/>
      <c r="L1446" s="4"/>
      <c r="M1446" s="5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29"/>
      <c r="AJ1446" s="29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</row>
    <row r="1447">
      <c r="A1447" s="4"/>
      <c r="B1447" s="4"/>
      <c r="C1447" s="4"/>
      <c r="D1447" s="4"/>
      <c r="E1447" s="5"/>
      <c r="F1447" s="4"/>
      <c r="G1447" s="4"/>
      <c r="H1447" s="33"/>
      <c r="I1447" s="4"/>
      <c r="J1447" s="4"/>
      <c r="K1447" s="4"/>
      <c r="L1447" s="4"/>
      <c r="M1447" s="5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29"/>
      <c r="AJ1447" s="29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</row>
    <row r="1448">
      <c r="A1448" s="4"/>
      <c r="B1448" s="4"/>
      <c r="C1448" s="4"/>
      <c r="D1448" s="4"/>
      <c r="E1448" s="5"/>
      <c r="F1448" s="4"/>
      <c r="G1448" s="4"/>
      <c r="H1448" s="33"/>
      <c r="I1448" s="4"/>
      <c r="J1448" s="4"/>
      <c r="K1448" s="4"/>
      <c r="L1448" s="4"/>
      <c r="M1448" s="5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29"/>
      <c r="AJ1448" s="29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</row>
    <row r="1449">
      <c r="A1449" s="4"/>
      <c r="B1449" s="4"/>
      <c r="C1449" s="4"/>
      <c r="D1449" s="4"/>
      <c r="E1449" s="5"/>
      <c r="F1449" s="4"/>
      <c r="G1449" s="4"/>
      <c r="H1449" s="33"/>
      <c r="I1449" s="4"/>
      <c r="J1449" s="4"/>
      <c r="K1449" s="4"/>
      <c r="L1449" s="4"/>
      <c r="M1449" s="5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29"/>
      <c r="AJ1449" s="29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</row>
    <row r="1450">
      <c r="A1450" s="4"/>
      <c r="B1450" s="4"/>
      <c r="C1450" s="4"/>
      <c r="D1450" s="4"/>
      <c r="E1450" s="5"/>
      <c r="F1450" s="4"/>
      <c r="G1450" s="4"/>
      <c r="H1450" s="33"/>
      <c r="I1450" s="4"/>
      <c r="J1450" s="4"/>
      <c r="K1450" s="4"/>
      <c r="L1450" s="4"/>
      <c r="M1450" s="5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29"/>
      <c r="AJ1450" s="29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</row>
    <row r="1451">
      <c r="A1451" s="4"/>
      <c r="B1451" s="4"/>
      <c r="C1451" s="4"/>
      <c r="D1451" s="4"/>
      <c r="E1451" s="5"/>
      <c r="F1451" s="4"/>
      <c r="G1451" s="4"/>
      <c r="H1451" s="33"/>
      <c r="I1451" s="4"/>
      <c r="J1451" s="4"/>
      <c r="K1451" s="4"/>
      <c r="L1451" s="4"/>
      <c r="M1451" s="5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29"/>
      <c r="AJ1451" s="29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</row>
    <row r="1452">
      <c r="A1452" s="4"/>
      <c r="B1452" s="4"/>
      <c r="C1452" s="4"/>
      <c r="D1452" s="4"/>
      <c r="E1452" s="5"/>
      <c r="F1452" s="4"/>
      <c r="G1452" s="4"/>
      <c r="H1452" s="33"/>
      <c r="I1452" s="4"/>
      <c r="J1452" s="4"/>
      <c r="K1452" s="4"/>
      <c r="L1452" s="4"/>
      <c r="M1452" s="5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29"/>
      <c r="AJ1452" s="29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</row>
    <row r="1453">
      <c r="A1453" s="4"/>
      <c r="B1453" s="4"/>
      <c r="C1453" s="4"/>
      <c r="D1453" s="4"/>
      <c r="E1453" s="5"/>
      <c r="F1453" s="4"/>
      <c r="G1453" s="4"/>
      <c r="H1453" s="33"/>
      <c r="I1453" s="4"/>
      <c r="J1453" s="4"/>
      <c r="K1453" s="4"/>
      <c r="L1453" s="4"/>
      <c r="M1453" s="5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29"/>
      <c r="AJ1453" s="29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</row>
    <row r="1454">
      <c r="A1454" s="4"/>
      <c r="B1454" s="4"/>
      <c r="C1454" s="4"/>
      <c r="D1454" s="4"/>
      <c r="E1454" s="5"/>
      <c r="F1454" s="4"/>
      <c r="G1454" s="4"/>
      <c r="H1454" s="33"/>
      <c r="I1454" s="4"/>
      <c r="J1454" s="4"/>
      <c r="K1454" s="4"/>
      <c r="L1454" s="4"/>
      <c r="M1454" s="5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29"/>
      <c r="AJ1454" s="29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</row>
    <row r="1455">
      <c r="A1455" s="4"/>
      <c r="B1455" s="4"/>
      <c r="C1455" s="4"/>
      <c r="D1455" s="4"/>
      <c r="E1455" s="5"/>
      <c r="F1455" s="4"/>
      <c r="G1455" s="4"/>
      <c r="H1455" s="33"/>
      <c r="I1455" s="4"/>
      <c r="J1455" s="4"/>
      <c r="K1455" s="4"/>
      <c r="L1455" s="4"/>
      <c r="M1455" s="5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29"/>
      <c r="AJ1455" s="29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</row>
    <row r="1456">
      <c r="A1456" s="4"/>
      <c r="B1456" s="4"/>
      <c r="C1456" s="4"/>
      <c r="D1456" s="4"/>
      <c r="E1456" s="5"/>
      <c r="F1456" s="4"/>
      <c r="G1456" s="4"/>
      <c r="H1456" s="33"/>
      <c r="I1456" s="4"/>
      <c r="J1456" s="4"/>
      <c r="K1456" s="4"/>
      <c r="L1456" s="4"/>
      <c r="M1456" s="5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29"/>
      <c r="AJ1456" s="29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</row>
    <row r="1457">
      <c r="A1457" s="4"/>
      <c r="B1457" s="4"/>
      <c r="C1457" s="4"/>
      <c r="D1457" s="4"/>
      <c r="E1457" s="5"/>
      <c r="F1457" s="4"/>
      <c r="G1457" s="4"/>
      <c r="H1457" s="33"/>
      <c r="I1457" s="4"/>
      <c r="J1457" s="4"/>
      <c r="K1457" s="4"/>
      <c r="L1457" s="4"/>
      <c r="M1457" s="5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29"/>
      <c r="AJ1457" s="29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</row>
    <row r="1458">
      <c r="A1458" s="4"/>
      <c r="B1458" s="4"/>
      <c r="C1458" s="4"/>
      <c r="D1458" s="4"/>
      <c r="E1458" s="5"/>
      <c r="F1458" s="4"/>
      <c r="G1458" s="4"/>
      <c r="H1458" s="33"/>
      <c r="I1458" s="4"/>
      <c r="J1458" s="4"/>
      <c r="K1458" s="4"/>
      <c r="L1458" s="4"/>
      <c r="M1458" s="5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29"/>
      <c r="AJ1458" s="29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</row>
    <row r="1459">
      <c r="A1459" s="4"/>
      <c r="B1459" s="4"/>
      <c r="C1459" s="4"/>
      <c r="D1459" s="4"/>
      <c r="E1459" s="5"/>
      <c r="F1459" s="4"/>
      <c r="G1459" s="4"/>
      <c r="H1459" s="33"/>
      <c r="I1459" s="4"/>
      <c r="J1459" s="4"/>
      <c r="K1459" s="4"/>
      <c r="L1459" s="4"/>
      <c r="M1459" s="5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29"/>
      <c r="AJ1459" s="29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</row>
    <row r="1460">
      <c r="A1460" s="4"/>
      <c r="B1460" s="4"/>
      <c r="C1460" s="4"/>
      <c r="D1460" s="4"/>
      <c r="E1460" s="5"/>
      <c r="F1460" s="4"/>
      <c r="G1460" s="4"/>
      <c r="H1460" s="33"/>
      <c r="I1460" s="4"/>
      <c r="J1460" s="4"/>
      <c r="K1460" s="4"/>
      <c r="L1460" s="4"/>
      <c r="M1460" s="5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29"/>
      <c r="AJ1460" s="29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</row>
    <row r="1461">
      <c r="A1461" s="4"/>
      <c r="B1461" s="4"/>
      <c r="C1461" s="4"/>
      <c r="D1461" s="4"/>
      <c r="E1461" s="5"/>
      <c r="F1461" s="4"/>
      <c r="G1461" s="4"/>
      <c r="H1461" s="33"/>
      <c r="I1461" s="4"/>
      <c r="J1461" s="4"/>
      <c r="K1461" s="4"/>
      <c r="L1461" s="4"/>
      <c r="M1461" s="5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29"/>
      <c r="AJ1461" s="29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</row>
    <row r="1462">
      <c r="A1462" s="4"/>
      <c r="B1462" s="4"/>
      <c r="C1462" s="4"/>
      <c r="D1462" s="4"/>
      <c r="E1462" s="5"/>
      <c r="F1462" s="4"/>
      <c r="G1462" s="4"/>
      <c r="H1462" s="33"/>
      <c r="I1462" s="4"/>
      <c r="J1462" s="4"/>
      <c r="K1462" s="4"/>
      <c r="L1462" s="4"/>
      <c r="M1462" s="5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29"/>
      <c r="AJ1462" s="29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</row>
    <row r="1463">
      <c r="A1463" s="4"/>
      <c r="B1463" s="4"/>
      <c r="C1463" s="4"/>
      <c r="D1463" s="4"/>
      <c r="E1463" s="5"/>
      <c r="F1463" s="4"/>
      <c r="G1463" s="4"/>
      <c r="H1463" s="33"/>
      <c r="I1463" s="4"/>
      <c r="J1463" s="4"/>
      <c r="K1463" s="4"/>
      <c r="L1463" s="4"/>
      <c r="M1463" s="5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29"/>
      <c r="AJ1463" s="29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</row>
    <row r="1464">
      <c r="A1464" s="4"/>
      <c r="B1464" s="4"/>
      <c r="C1464" s="4"/>
      <c r="D1464" s="4"/>
      <c r="E1464" s="5"/>
      <c r="F1464" s="4"/>
      <c r="G1464" s="4"/>
      <c r="H1464" s="33"/>
      <c r="I1464" s="4"/>
      <c r="J1464" s="4"/>
      <c r="K1464" s="4"/>
      <c r="L1464" s="4"/>
      <c r="M1464" s="5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29"/>
      <c r="AJ1464" s="29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</row>
    <row r="1465">
      <c r="A1465" s="4"/>
      <c r="B1465" s="4"/>
      <c r="C1465" s="4"/>
      <c r="D1465" s="4"/>
      <c r="E1465" s="5"/>
      <c r="F1465" s="4"/>
      <c r="G1465" s="4"/>
      <c r="H1465" s="33"/>
      <c r="I1465" s="4"/>
      <c r="J1465" s="4"/>
      <c r="K1465" s="4"/>
      <c r="L1465" s="4"/>
      <c r="M1465" s="5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29"/>
      <c r="AJ1465" s="29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</row>
    <row r="1466">
      <c r="A1466" s="4"/>
      <c r="B1466" s="4"/>
      <c r="C1466" s="4"/>
      <c r="D1466" s="4"/>
      <c r="E1466" s="5"/>
      <c r="F1466" s="4"/>
      <c r="G1466" s="4"/>
      <c r="H1466" s="33"/>
      <c r="I1466" s="4"/>
      <c r="J1466" s="4"/>
      <c r="K1466" s="4"/>
      <c r="L1466" s="4"/>
      <c r="M1466" s="5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29"/>
      <c r="AJ1466" s="29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</row>
    <row r="1467">
      <c r="A1467" s="4"/>
      <c r="B1467" s="4"/>
      <c r="C1467" s="4"/>
      <c r="D1467" s="4"/>
      <c r="E1467" s="5"/>
      <c r="F1467" s="4"/>
      <c r="G1467" s="4"/>
      <c r="H1467" s="33"/>
      <c r="I1467" s="4"/>
      <c r="J1467" s="4"/>
      <c r="K1467" s="4"/>
      <c r="L1467" s="4"/>
      <c r="M1467" s="5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29"/>
      <c r="AJ1467" s="29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</row>
    <row r="1468">
      <c r="A1468" s="4"/>
      <c r="B1468" s="4"/>
      <c r="C1468" s="4"/>
      <c r="D1468" s="4"/>
      <c r="E1468" s="5"/>
      <c r="F1468" s="4"/>
      <c r="G1468" s="4"/>
      <c r="H1468" s="33"/>
      <c r="I1468" s="4"/>
      <c r="J1468" s="4"/>
      <c r="K1468" s="4"/>
      <c r="L1468" s="4"/>
      <c r="M1468" s="5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29"/>
      <c r="AJ1468" s="29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</row>
    <row r="1469">
      <c r="A1469" s="4"/>
      <c r="B1469" s="4"/>
      <c r="C1469" s="4"/>
      <c r="D1469" s="4"/>
      <c r="E1469" s="5"/>
      <c r="F1469" s="4"/>
      <c r="G1469" s="4"/>
      <c r="H1469" s="33"/>
      <c r="I1469" s="4"/>
      <c r="J1469" s="4"/>
      <c r="K1469" s="4"/>
      <c r="L1469" s="4"/>
      <c r="M1469" s="5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29"/>
      <c r="AJ1469" s="29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</row>
    <row r="1470">
      <c r="A1470" s="4"/>
      <c r="B1470" s="4"/>
      <c r="C1470" s="4"/>
      <c r="D1470" s="4"/>
      <c r="E1470" s="5"/>
      <c r="F1470" s="4"/>
      <c r="G1470" s="4"/>
      <c r="H1470" s="33"/>
      <c r="I1470" s="4"/>
      <c r="J1470" s="4"/>
      <c r="K1470" s="4"/>
      <c r="L1470" s="4"/>
      <c r="M1470" s="5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29"/>
      <c r="AJ1470" s="29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</row>
    <row r="1471">
      <c r="A1471" s="4"/>
      <c r="B1471" s="4"/>
      <c r="C1471" s="4"/>
      <c r="D1471" s="4"/>
      <c r="E1471" s="5"/>
      <c r="F1471" s="4"/>
      <c r="G1471" s="4"/>
      <c r="H1471" s="33"/>
      <c r="I1471" s="4"/>
      <c r="J1471" s="4"/>
      <c r="K1471" s="4"/>
      <c r="L1471" s="4"/>
      <c r="M1471" s="5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29"/>
      <c r="AJ1471" s="29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</row>
    <row r="1472">
      <c r="A1472" s="4"/>
      <c r="B1472" s="4"/>
      <c r="C1472" s="4"/>
      <c r="D1472" s="4"/>
      <c r="E1472" s="5"/>
      <c r="F1472" s="4"/>
      <c r="G1472" s="4"/>
      <c r="H1472" s="33"/>
      <c r="I1472" s="4"/>
      <c r="J1472" s="4"/>
      <c r="K1472" s="4"/>
      <c r="L1472" s="4"/>
      <c r="M1472" s="5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29"/>
      <c r="AJ1472" s="29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</row>
    <row r="1473">
      <c r="A1473" s="4"/>
      <c r="B1473" s="4"/>
      <c r="C1473" s="4"/>
      <c r="D1473" s="4"/>
      <c r="E1473" s="5"/>
      <c r="F1473" s="4"/>
      <c r="G1473" s="4"/>
      <c r="H1473" s="33"/>
      <c r="I1473" s="4"/>
      <c r="J1473" s="4"/>
      <c r="K1473" s="4"/>
      <c r="L1473" s="4"/>
      <c r="M1473" s="5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29"/>
      <c r="AJ1473" s="29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</row>
    <row r="1474">
      <c r="A1474" s="4"/>
      <c r="B1474" s="4"/>
      <c r="C1474" s="4"/>
      <c r="D1474" s="4"/>
      <c r="E1474" s="5"/>
      <c r="F1474" s="4"/>
      <c r="G1474" s="4"/>
      <c r="H1474" s="33"/>
      <c r="I1474" s="4"/>
      <c r="J1474" s="4"/>
      <c r="K1474" s="4"/>
      <c r="L1474" s="4"/>
      <c r="M1474" s="5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29"/>
      <c r="AJ1474" s="29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</row>
    <row r="1475">
      <c r="A1475" s="4"/>
      <c r="B1475" s="4"/>
      <c r="C1475" s="4"/>
      <c r="D1475" s="4"/>
      <c r="E1475" s="5"/>
      <c r="F1475" s="4"/>
      <c r="G1475" s="4"/>
      <c r="H1475" s="33"/>
      <c r="I1475" s="4"/>
      <c r="J1475" s="4"/>
      <c r="K1475" s="4"/>
      <c r="L1475" s="4"/>
      <c r="M1475" s="5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29"/>
      <c r="AJ1475" s="29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</row>
    <row r="1476">
      <c r="A1476" s="4"/>
      <c r="B1476" s="4"/>
      <c r="C1476" s="4"/>
      <c r="D1476" s="4"/>
      <c r="E1476" s="5"/>
      <c r="F1476" s="4"/>
      <c r="G1476" s="4"/>
      <c r="H1476" s="33"/>
      <c r="I1476" s="4"/>
      <c r="J1476" s="4"/>
      <c r="K1476" s="4"/>
      <c r="L1476" s="4"/>
      <c r="M1476" s="5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29"/>
      <c r="AJ1476" s="29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</row>
    <row r="1477">
      <c r="A1477" s="4"/>
      <c r="B1477" s="4"/>
      <c r="C1477" s="4"/>
      <c r="D1477" s="4"/>
      <c r="E1477" s="5"/>
      <c r="F1477" s="4"/>
      <c r="G1477" s="4"/>
      <c r="H1477" s="33"/>
      <c r="I1477" s="4"/>
      <c r="J1477" s="4"/>
      <c r="K1477" s="4"/>
      <c r="L1477" s="4"/>
      <c r="M1477" s="5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29"/>
      <c r="AJ1477" s="29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</row>
    <row r="1478">
      <c r="A1478" s="4"/>
      <c r="B1478" s="4"/>
      <c r="C1478" s="4"/>
      <c r="D1478" s="4"/>
      <c r="E1478" s="5"/>
      <c r="F1478" s="4"/>
      <c r="G1478" s="4"/>
      <c r="H1478" s="33"/>
      <c r="I1478" s="4"/>
      <c r="J1478" s="4"/>
      <c r="K1478" s="4"/>
      <c r="L1478" s="4"/>
      <c r="M1478" s="5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29"/>
      <c r="AJ1478" s="29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</row>
    <row r="1479">
      <c r="A1479" s="4"/>
      <c r="B1479" s="4"/>
      <c r="C1479" s="4"/>
      <c r="D1479" s="4"/>
      <c r="E1479" s="5"/>
      <c r="F1479" s="4"/>
      <c r="G1479" s="4"/>
      <c r="H1479" s="33"/>
      <c r="I1479" s="4"/>
      <c r="J1479" s="4"/>
      <c r="K1479" s="4"/>
      <c r="L1479" s="4"/>
      <c r="M1479" s="5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29"/>
      <c r="AJ1479" s="29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</row>
    <row r="1480">
      <c r="A1480" s="4"/>
      <c r="B1480" s="4"/>
      <c r="C1480" s="4"/>
      <c r="D1480" s="4"/>
      <c r="E1480" s="5"/>
      <c r="F1480" s="4"/>
      <c r="G1480" s="4"/>
      <c r="H1480" s="33"/>
      <c r="I1480" s="4"/>
      <c r="J1480" s="4"/>
      <c r="K1480" s="4"/>
      <c r="L1480" s="4"/>
      <c r="M1480" s="5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29"/>
      <c r="AJ1480" s="29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</row>
    <row r="1481">
      <c r="A1481" s="4"/>
      <c r="B1481" s="4"/>
      <c r="C1481" s="4"/>
      <c r="D1481" s="4"/>
      <c r="E1481" s="5"/>
      <c r="F1481" s="4"/>
      <c r="G1481" s="4"/>
      <c r="H1481" s="33"/>
      <c r="I1481" s="4"/>
      <c r="J1481" s="4"/>
      <c r="K1481" s="4"/>
      <c r="L1481" s="4"/>
      <c r="M1481" s="5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29"/>
      <c r="AJ1481" s="29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</row>
    <row r="1482">
      <c r="A1482" s="4"/>
      <c r="B1482" s="4"/>
      <c r="C1482" s="4"/>
      <c r="D1482" s="4"/>
      <c r="E1482" s="5"/>
      <c r="F1482" s="4"/>
      <c r="G1482" s="4"/>
      <c r="H1482" s="33"/>
      <c r="I1482" s="4"/>
      <c r="J1482" s="4"/>
      <c r="K1482" s="4"/>
      <c r="L1482" s="4"/>
      <c r="M1482" s="5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29"/>
      <c r="AJ1482" s="29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</row>
    <row r="1483">
      <c r="A1483" s="4"/>
      <c r="B1483" s="4"/>
      <c r="C1483" s="4"/>
      <c r="D1483" s="4"/>
      <c r="E1483" s="5"/>
      <c r="F1483" s="4"/>
      <c r="G1483" s="4"/>
      <c r="H1483" s="33"/>
      <c r="I1483" s="4"/>
      <c r="J1483" s="4"/>
      <c r="K1483" s="4"/>
      <c r="L1483" s="4"/>
      <c r="M1483" s="5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29"/>
      <c r="AJ1483" s="29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</row>
    <row r="1484">
      <c r="A1484" s="4"/>
      <c r="B1484" s="4"/>
      <c r="C1484" s="4"/>
      <c r="D1484" s="4"/>
      <c r="E1484" s="5"/>
      <c r="F1484" s="4"/>
      <c r="G1484" s="4"/>
      <c r="H1484" s="33"/>
      <c r="I1484" s="4"/>
      <c r="J1484" s="4"/>
      <c r="K1484" s="4"/>
      <c r="L1484" s="4"/>
      <c r="M1484" s="5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29"/>
      <c r="AJ1484" s="29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</row>
    <row r="1485">
      <c r="A1485" s="4"/>
      <c r="B1485" s="4"/>
      <c r="C1485" s="4"/>
      <c r="D1485" s="4"/>
      <c r="E1485" s="5"/>
      <c r="F1485" s="4"/>
      <c r="G1485" s="4"/>
      <c r="H1485" s="33"/>
      <c r="I1485" s="4"/>
      <c r="J1485" s="4"/>
      <c r="K1485" s="4"/>
      <c r="L1485" s="4"/>
      <c r="M1485" s="5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29"/>
      <c r="AJ1485" s="29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</row>
    <row r="1486">
      <c r="A1486" s="4"/>
      <c r="B1486" s="4"/>
      <c r="C1486" s="4"/>
      <c r="D1486" s="4"/>
      <c r="E1486" s="5"/>
      <c r="F1486" s="4"/>
      <c r="G1486" s="4"/>
      <c r="H1486" s="33"/>
      <c r="I1486" s="4"/>
      <c r="J1486" s="4"/>
      <c r="K1486" s="4"/>
      <c r="L1486" s="4"/>
      <c r="M1486" s="5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29"/>
      <c r="AJ1486" s="29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</row>
    <row r="1487">
      <c r="A1487" s="4"/>
      <c r="B1487" s="4"/>
      <c r="C1487" s="4"/>
      <c r="D1487" s="4"/>
      <c r="E1487" s="5"/>
      <c r="F1487" s="4"/>
      <c r="G1487" s="4"/>
      <c r="H1487" s="33"/>
      <c r="I1487" s="4"/>
      <c r="J1487" s="4"/>
      <c r="K1487" s="4"/>
      <c r="L1487" s="4"/>
      <c r="M1487" s="5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29"/>
      <c r="AJ1487" s="29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</row>
    <row r="1488">
      <c r="A1488" s="4"/>
      <c r="B1488" s="4"/>
      <c r="C1488" s="4"/>
      <c r="D1488" s="4"/>
      <c r="E1488" s="5"/>
      <c r="F1488" s="4"/>
      <c r="G1488" s="4"/>
      <c r="H1488" s="33"/>
      <c r="I1488" s="4"/>
      <c r="J1488" s="4"/>
      <c r="K1488" s="4"/>
      <c r="L1488" s="4"/>
      <c r="M1488" s="5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29"/>
      <c r="AJ1488" s="29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</row>
    <row r="1489">
      <c r="A1489" s="4"/>
      <c r="B1489" s="4"/>
      <c r="C1489" s="4"/>
      <c r="D1489" s="4"/>
      <c r="E1489" s="5"/>
      <c r="F1489" s="4"/>
      <c r="G1489" s="4"/>
      <c r="H1489" s="33"/>
      <c r="I1489" s="4"/>
      <c r="J1489" s="4"/>
      <c r="K1489" s="4"/>
      <c r="L1489" s="4"/>
      <c r="M1489" s="5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29"/>
      <c r="AJ1489" s="29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</row>
    <row r="1490">
      <c r="A1490" s="4"/>
      <c r="B1490" s="4"/>
      <c r="C1490" s="4"/>
      <c r="D1490" s="4"/>
      <c r="E1490" s="5"/>
      <c r="F1490" s="4"/>
      <c r="G1490" s="4"/>
      <c r="H1490" s="33"/>
      <c r="I1490" s="4"/>
      <c r="J1490" s="4"/>
      <c r="K1490" s="4"/>
      <c r="L1490" s="4"/>
      <c r="M1490" s="5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29"/>
      <c r="AJ1490" s="29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</row>
    <row r="1491">
      <c r="A1491" s="4"/>
      <c r="B1491" s="4"/>
      <c r="C1491" s="4"/>
      <c r="D1491" s="4"/>
      <c r="E1491" s="5"/>
      <c r="F1491" s="4"/>
      <c r="G1491" s="4"/>
      <c r="H1491" s="33"/>
      <c r="I1491" s="4"/>
      <c r="J1491" s="4"/>
      <c r="K1491" s="4"/>
      <c r="L1491" s="4"/>
      <c r="M1491" s="5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29"/>
      <c r="AJ1491" s="29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</row>
    <row r="1492">
      <c r="A1492" s="4"/>
      <c r="B1492" s="4"/>
      <c r="C1492" s="4"/>
      <c r="D1492" s="4"/>
      <c r="E1492" s="5"/>
      <c r="F1492" s="4"/>
      <c r="G1492" s="4"/>
      <c r="H1492" s="33"/>
      <c r="I1492" s="4"/>
      <c r="J1492" s="4"/>
      <c r="K1492" s="4"/>
      <c r="L1492" s="4"/>
      <c r="M1492" s="5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29"/>
      <c r="AJ1492" s="29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</row>
    <row r="1493">
      <c r="A1493" s="4"/>
      <c r="B1493" s="4"/>
      <c r="C1493" s="4"/>
      <c r="D1493" s="4"/>
      <c r="E1493" s="5"/>
      <c r="F1493" s="4"/>
      <c r="G1493" s="4"/>
      <c r="H1493" s="33"/>
      <c r="I1493" s="4"/>
      <c r="J1493" s="4"/>
      <c r="K1493" s="4"/>
      <c r="L1493" s="4"/>
      <c r="M1493" s="5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29"/>
      <c r="AJ1493" s="29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</row>
    <row r="1494">
      <c r="A1494" s="4"/>
      <c r="B1494" s="4"/>
      <c r="C1494" s="4"/>
      <c r="D1494" s="4"/>
      <c r="E1494" s="5"/>
      <c r="F1494" s="4"/>
      <c r="G1494" s="4"/>
      <c r="H1494" s="33"/>
      <c r="I1494" s="4"/>
      <c r="J1494" s="4"/>
      <c r="K1494" s="4"/>
      <c r="L1494" s="4"/>
      <c r="M1494" s="5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29"/>
      <c r="AJ1494" s="29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</row>
    <row r="1495">
      <c r="A1495" s="4"/>
      <c r="B1495" s="4"/>
      <c r="C1495" s="4"/>
      <c r="D1495" s="4"/>
      <c r="E1495" s="5"/>
      <c r="F1495" s="4"/>
      <c r="G1495" s="4"/>
      <c r="H1495" s="33"/>
      <c r="I1495" s="4"/>
      <c r="J1495" s="4"/>
      <c r="K1495" s="4"/>
      <c r="L1495" s="4"/>
      <c r="M1495" s="5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29"/>
      <c r="AJ1495" s="29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</row>
    <row r="1496">
      <c r="A1496" s="4"/>
      <c r="B1496" s="4"/>
      <c r="C1496" s="4"/>
      <c r="D1496" s="4"/>
      <c r="E1496" s="5"/>
      <c r="F1496" s="4"/>
      <c r="G1496" s="4"/>
      <c r="H1496" s="33"/>
      <c r="I1496" s="4"/>
      <c r="J1496" s="4"/>
      <c r="K1496" s="4"/>
      <c r="L1496" s="4"/>
      <c r="M1496" s="5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29"/>
      <c r="AJ1496" s="29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</row>
    <row r="1497">
      <c r="A1497" s="4"/>
      <c r="B1497" s="4"/>
      <c r="C1497" s="4"/>
      <c r="D1497" s="4"/>
      <c r="E1497" s="5"/>
      <c r="F1497" s="4"/>
      <c r="G1497" s="4"/>
      <c r="H1497" s="33"/>
      <c r="I1497" s="4"/>
      <c r="J1497" s="4"/>
      <c r="K1497" s="4"/>
      <c r="L1497" s="4"/>
      <c r="M1497" s="5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29"/>
      <c r="AJ1497" s="29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</row>
    <row r="1498">
      <c r="A1498" s="4"/>
      <c r="B1498" s="4"/>
      <c r="C1498" s="4"/>
      <c r="D1498" s="4"/>
      <c r="E1498" s="5"/>
      <c r="F1498" s="4"/>
      <c r="G1498" s="4"/>
      <c r="H1498" s="33"/>
      <c r="I1498" s="4"/>
      <c r="J1498" s="4"/>
      <c r="K1498" s="4"/>
      <c r="L1498" s="4"/>
      <c r="M1498" s="5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29"/>
      <c r="AJ1498" s="29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</row>
    <row r="1499">
      <c r="A1499" s="4"/>
      <c r="B1499" s="4"/>
      <c r="C1499" s="4"/>
      <c r="D1499" s="4"/>
      <c r="E1499" s="5"/>
      <c r="F1499" s="4"/>
      <c r="G1499" s="4"/>
      <c r="H1499" s="33"/>
      <c r="I1499" s="4"/>
      <c r="J1499" s="4"/>
      <c r="K1499" s="4"/>
      <c r="L1499" s="4"/>
      <c r="M1499" s="5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29"/>
      <c r="AJ1499" s="29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</row>
    <row r="1500">
      <c r="A1500" s="4"/>
      <c r="B1500" s="4"/>
      <c r="C1500" s="4"/>
      <c r="D1500" s="4"/>
      <c r="E1500" s="5"/>
      <c r="F1500" s="4"/>
      <c r="G1500" s="4"/>
      <c r="H1500" s="33"/>
      <c r="I1500" s="4"/>
      <c r="J1500" s="4"/>
      <c r="K1500" s="4"/>
      <c r="L1500" s="4"/>
      <c r="M1500" s="5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29"/>
      <c r="AJ1500" s="29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</row>
    <row r="1501">
      <c r="A1501" s="4"/>
      <c r="B1501" s="4"/>
      <c r="C1501" s="4"/>
      <c r="D1501" s="4"/>
      <c r="E1501" s="5"/>
      <c r="F1501" s="4"/>
      <c r="G1501" s="4"/>
      <c r="H1501" s="33"/>
      <c r="I1501" s="4"/>
      <c r="J1501" s="4"/>
      <c r="K1501" s="4"/>
      <c r="L1501" s="4"/>
      <c r="M1501" s="5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29"/>
      <c r="AJ1501" s="29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</row>
    <row r="1502">
      <c r="A1502" s="4"/>
      <c r="B1502" s="4"/>
      <c r="C1502" s="4"/>
      <c r="D1502" s="4"/>
      <c r="E1502" s="5"/>
      <c r="F1502" s="4"/>
      <c r="G1502" s="4"/>
      <c r="H1502" s="33"/>
      <c r="I1502" s="4"/>
      <c r="J1502" s="4"/>
      <c r="K1502" s="4"/>
      <c r="L1502" s="4"/>
      <c r="M1502" s="5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29"/>
      <c r="AJ1502" s="29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</row>
    <row r="1503">
      <c r="A1503" s="4"/>
      <c r="B1503" s="4"/>
      <c r="C1503" s="4"/>
      <c r="D1503" s="4"/>
      <c r="E1503" s="5"/>
      <c r="F1503" s="4"/>
      <c r="G1503" s="4"/>
      <c r="H1503" s="33"/>
      <c r="I1503" s="4"/>
      <c r="J1503" s="4"/>
      <c r="K1503" s="4"/>
      <c r="L1503" s="4"/>
      <c r="M1503" s="5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29"/>
      <c r="AJ1503" s="29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</row>
    <row r="1504">
      <c r="A1504" s="4"/>
      <c r="B1504" s="4"/>
      <c r="C1504" s="4"/>
      <c r="D1504" s="4"/>
      <c r="E1504" s="5"/>
      <c r="F1504" s="4"/>
      <c r="G1504" s="4"/>
      <c r="H1504" s="33"/>
      <c r="I1504" s="4"/>
      <c r="J1504" s="4"/>
      <c r="K1504" s="4"/>
      <c r="L1504" s="4"/>
      <c r="M1504" s="5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29"/>
      <c r="AJ1504" s="29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</row>
    <row r="1505">
      <c r="A1505" s="4"/>
      <c r="B1505" s="4"/>
      <c r="C1505" s="4"/>
      <c r="D1505" s="4"/>
      <c r="E1505" s="5"/>
      <c r="F1505" s="4"/>
      <c r="G1505" s="4"/>
      <c r="H1505" s="33"/>
      <c r="I1505" s="4"/>
      <c r="J1505" s="4"/>
      <c r="K1505" s="4"/>
      <c r="L1505" s="4"/>
      <c r="M1505" s="5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29"/>
      <c r="AJ1505" s="29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</row>
    <row r="1506">
      <c r="A1506" s="4"/>
      <c r="B1506" s="4"/>
      <c r="C1506" s="4"/>
      <c r="D1506" s="4"/>
      <c r="E1506" s="5"/>
      <c r="F1506" s="4"/>
      <c r="G1506" s="4"/>
      <c r="H1506" s="33"/>
      <c r="I1506" s="4"/>
      <c r="J1506" s="4"/>
      <c r="K1506" s="4"/>
      <c r="L1506" s="4"/>
      <c r="M1506" s="5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29"/>
      <c r="AJ1506" s="29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</row>
    <row r="1507">
      <c r="A1507" s="4"/>
      <c r="B1507" s="4"/>
      <c r="C1507" s="4"/>
      <c r="D1507" s="4"/>
      <c r="E1507" s="5"/>
      <c r="F1507" s="4"/>
      <c r="G1507" s="4"/>
      <c r="H1507" s="33"/>
      <c r="I1507" s="4"/>
      <c r="J1507" s="4"/>
      <c r="K1507" s="4"/>
      <c r="L1507" s="4"/>
      <c r="M1507" s="5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29"/>
      <c r="AJ1507" s="29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</row>
    <row r="1508">
      <c r="A1508" s="4"/>
      <c r="B1508" s="4"/>
      <c r="C1508" s="4"/>
      <c r="D1508" s="4"/>
      <c r="E1508" s="5"/>
      <c r="F1508" s="4"/>
      <c r="G1508" s="4"/>
      <c r="H1508" s="33"/>
      <c r="I1508" s="4"/>
      <c r="J1508" s="4"/>
      <c r="K1508" s="4"/>
      <c r="L1508" s="4"/>
      <c r="M1508" s="5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29"/>
      <c r="AJ1508" s="29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</row>
    <row r="1509">
      <c r="A1509" s="4"/>
      <c r="B1509" s="4"/>
      <c r="C1509" s="4"/>
      <c r="D1509" s="4"/>
      <c r="E1509" s="5"/>
      <c r="F1509" s="4"/>
      <c r="G1509" s="4"/>
      <c r="H1509" s="33"/>
      <c r="I1509" s="4"/>
      <c r="J1509" s="4"/>
      <c r="K1509" s="4"/>
      <c r="L1509" s="4"/>
      <c r="M1509" s="5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29"/>
      <c r="AJ1509" s="29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</row>
    <row r="1510">
      <c r="A1510" s="4"/>
      <c r="B1510" s="4"/>
      <c r="C1510" s="4"/>
      <c r="D1510" s="4"/>
      <c r="E1510" s="5"/>
      <c r="F1510" s="4"/>
      <c r="G1510" s="4"/>
      <c r="H1510" s="33"/>
      <c r="I1510" s="4"/>
      <c r="J1510" s="4"/>
      <c r="K1510" s="4"/>
      <c r="L1510" s="4"/>
      <c r="M1510" s="5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29"/>
      <c r="AJ1510" s="29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</row>
    <row r="1511">
      <c r="A1511" s="4"/>
      <c r="B1511" s="4"/>
      <c r="C1511" s="4"/>
      <c r="D1511" s="4"/>
      <c r="E1511" s="5"/>
      <c r="F1511" s="4"/>
      <c r="G1511" s="4"/>
      <c r="H1511" s="33"/>
      <c r="I1511" s="4"/>
      <c r="J1511" s="4"/>
      <c r="K1511" s="4"/>
      <c r="L1511" s="4"/>
      <c r="M1511" s="5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29"/>
      <c r="AJ1511" s="29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</row>
    <row r="1512">
      <c r="A1512" s="4"/>
      <c r="B1512" s="4"/>
      <c r="C1512" s="4"/>
      <c r="D1512" s="4"/>
      <c r="E1512" s="5"/>
      <c r="F1512" s="4"/>
      <c r="G1512" s="4"/>
      <c r="H1512" s="33"/>
      <c r="I1512" s="4"/>
      <c r="J1512" s="4"/>
      <c r="K1512" s="4"/>
      <c r="L1512" s="4"/>
      <c r="M1512" s="5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29"/>
      <c r="AJ1512" s="29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</row>
    <row r="1513">
      <c r="A1513" s="4"/>
      <c r="B1513" s="4"/>
      <c r="C1513" s="4"/>
      <c r="D1513" s="4"/>
      <c r="E1513" s="5"/>
      <c r="F1513" s="4"/>
      <c r="G1513" s="4"/>
      <c r="H1513" s="33"/>
      <c r="I1513" s="4"/>
      <c r="J1513" s="4"/>
      <c r="K1513" s="4"/>
      <c r="L1513" s="4"/>
      <c r="M1513" s="5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29"/>
      <c r="AJ1513" s="29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</row>
    <row r="1514">
      <c r="A1514" s="4"/>
      <c r="B1514" s="4"/>
      <c r="C1514" s="4"/>
      <c r="D1514" s="4"/>
      <c r="E1514" s="5"/>
      <c r="F1514" s="4"/>
      <c r="G1514" s="4"/>
      <c r="H1514" s="33"/>
      <c r="I1514" s="4"/>
      <c r="J1514" s="4"/>
      <c r="K1514" s="4"/>
      <c r="L1514" s="4"/>
      <c r="M1514" s="5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29"/>
      <c r="AJ1514" s="29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</row>
    <row r="1515">
      <c r="A1515" s="4"/>
      <c r="B1515" s="4"/>
      <c r="C1515" s="4"/>
      <c r="D1515" s="4"/>
      <c r="E1515" s="5"/>
      <c r="F1515" s="4"/>
      <c r="G1515" s="4"/>
      <c r="H1515" s="33"/>
      <c r="I1515" s="4"/>
      <c r="J1515" s="4"/>
      <c r="K1515" s="4"/>
      <c r="L1515" s="4"/>
      <c r="M1515" s="5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29"/>
      <c r="AJ1515" s="29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</row>
    <row r="1516">
      <c r="A1516" s="4"/>
      <c r="B1516" s="4"/>
      <c r="C1516" s="4"/>
      <c r="D1516" s="4"/>
      <c r="E1516" s="5"/>
      <c r="F1516" s="4"/>
      <c r="G1516" s="4"/>
      <c r="H1516" s="33"/>
      <c r="I1516" s="4"/>
      <c r="J1516" s="4"/>
      <c r="K1516" s="4"/>
      <c r="L1516" s="4"/>
      <c r="M1516" s="5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29"/>
      <c r="AJ1516" s="29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</row>
    <row r="1517">
      <c r="A1517" s="4"/>
      <c r="B1517" s="4"/>
      <c r="C1517" s="4"/>
      <c r="D1517" s="4"/>
      <c r="E1517" s="5"/>
      <c r="F1517" s="4"/>
      <c r="G1517" s="4"/>
      <c r="H1517" s="33"/>
      <c r="I1517" s="4"/>
      <c r="J1517" s="4"/>
      <c r="K1517" s="4"/>
      <c r="L1517" s="4"/>
      <c r="M1517" s="5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29"/>
      <c r="AJ1517" s="29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</row>
    <row r="1518">
      <c r="A1518" s="4"/>
      <c r="B1518" s="4"/>
      <c r="C1518" s="4"/>
      <c r="D1518" s="4"/>
      <c r="E1518" s="5"/>
      <c r="F1518" s="4"/>
      <c r="G1518" s="4"/>
      <c r="H1518" s="33"/>
      <c r="I1518" s="4"/>
      <c r="J1518" s="4"/>
      <c r="K1518" s="4"/>
      <c r="L1518" s="4"/>
      <c r="M1518" s="5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29"/>
      <c r="AJ1518" s="29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</row>
    <row r="1519">
      <c r="A1519" s="4"/>
      <c r="B1519" s="4"/>
      <c r="C1519" s="4"/>
      <c r="D1519" s="4"/>
      <c r="E1519" s="5"/>
      <c r="F1519" s="4"/>
      <c r="G1519" s="4"/>
      <c r="H1519" s="33"/>
      <c r="I1519" s="4"/>
      <c r="J1519" s="4"/>
      <c r="K1519" s="4"/>
      <c r="L1519" s="4"/>
      <c r="M1519" s="5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29"/>
      <c r="AJ1519" s="29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</row>
    <row r="1520">
      <c r="A1520" s="4"/>
      <c r="B1520" s="4"/>
      <c r="C1520" s="4"/>
      <c r="D1520" s="4"/>
      <c r="E1520" s="5"/>
      <c r="F1520" s="4"/>
      <c r="G1520" s="4"/>
      <c r="H1520" s="33"/>
      <c r="I1520" s="4"/>
      <c r="J1520" s="4"/>
      <c r="K1520" s="4"/>
      <c r="L1520" s="4"/>
      <c r="M1520" s="5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29"/>
      <c r="AJ1520" s="29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</row>
    <row r="1521">
      <c r="A1521" s="4"/>
      <c r="B1521" s="4"/>
      <c r="C1521" s="4"/>
      <c r="D1521" s="4"/>
      <c r="E1521" s="5"/>
      <c r="F1521" s="4"/>
      <c r="G1521" s="4"/>
      <c r="H1521" s="33"/>
      <c r="I1521" s="4"/>
      <c r="J1521" s="4"/>
      <c r="K1521" s="4"/>
      <c r="L1521" s="4"/>
      <c r="M1521" s="5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29"/>
      <c r="AJ1521" s="29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</row>
    <row r="1522">
      <c r="A1522" s="4"/>
      <c r="B1522" s="4"/>
      <c r="C1522" s="4"/>
      <c r="D1522" s="4"/>
      <c r="E1522" s="5"/>
      <c r="F1522" s="4"/>
      <c r="G1522" s="4"/>
      <c r="H1522" s="33"/>
      <c r="I1522" s="4"/>
      <c r="J1522" s="4"/>
      <c r="K1522" s="4"/>
      <c r="L1522" s="4"/>
      <c r="M1522" s="5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29"/>
      <c r="AJ1522" s="29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</row>
    <row r="1523">
      <c r="A1523" s="4"/>
      <c r="B1523" s="4"/>
      <c r="C1523" s="4"/>
      <c r="D1523" s="4"/>
      <c r="E1523" s="5"/>
      <c r="F1523" s="4"/>
      <c r="G1523" s="4"/>
      <c r="H1523" s="33"/>
      <c r="I1523" s="4"/>
      <c r="J1523" s="4"/>
      <c r="K1523" s="4"/>
      <c r="L1523" s="4"/>
      <c r="M1523" s="5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29"/>
      <c r="AJ1523" s="29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</row>
    <row r="1524">
      <c r="A1524" s="4"/>
      <c r="B1524" s="4"/>
      <c r="C1524" s="4"/>
      <c r="D1524" s="4"/>
      <c r="E1524" s="5"/>
      <c r="F1524" s="4"/>
      <c r="G1524" s="4"/>
      <c r="H1524" s="33"/>
      <c r="I1524" s="4"/>
      <c r="J1524" s="4"/>
      <c r="K1524" s="4"/>
      <c r="L1524" s="4"/>
      <c r="M1524" s="5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29"/>
      <c r="AJ1524" s="29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</row>
    <row r="1525">
      <c r="A1525" s="4"/>
      <c r="B1525" s="4"/>
      <c r="C1525" s="4"/>
      <c r="D1525" s="4"/>
      <c r="E1525" s="5"/>
      <c r="F1525" s="4"/>
      <c r="G1525" s="4"/>
      <c r="H1525" s="33"/>
      <c r="I1525" s="4"/>
      <c r="J1525" s="4"/>
      <c r="K1525" s="4"/>
      <c r="L1525" s="4"/>
      <c r="M1525" s="5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29"/>
      <c r="AJ1525" s="29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</row>
    <row r="1526">
      <c r="A1526" s="4"/>
      <c r="B1526" s="4"/>
      <c r="C1526" s="4"/>
      <c r="D1526" s="4"/>
      <c r="E1526" s="5"/>
      <c r="F1526" s="4"/>
      <c r="G1526" s="4"/>
      <c r="H1526" s="33"/>
      <c r="I1526" s="4"/>
      <c r="J1526" s="4"/>
      <c r="K1526" s="4"/>
      <c r="L1526" s="4"/>
      <c r="M1526" s="5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29"/>
      <c r="AJ1526" s="29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</row>
    <row r="1527">
      <c r="A1527" s="4"/>
      <c r="B1527" s="4"/>
      <c r="C1527" s="4"/>
      <c r="D1527" s="4"/>
      <c r="E1527" s="5"/>
      <c r="F1527" s="4"/>
      <c r="G1527" s="4"/>
      <c r="H1527" s="33"/>
      <c r="I1527" s="4"/>
      <c r="J1527" s="4"/>
      <c r="K1527" s="4"/>
      <c r="L1527" s="4"/>
      <c r="M1527" s="5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29"/>
      <c r="AJ1527" s="29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</row>
    <row r="1528">
      <c r="A1528" s="4"/>
      <c r="B1528" s="4"/>
      <c r="C1528" s="4"/>
      <c r="D1528" s="4"/>
      <c r="E1528" s="5"/>
      <c r="F1528" s="4"/>
      <c r="G1528" s="4"/>
      <c r="H1528" s="33"/>
      <c r="I1528" s="4"/>
      <c r="J1528" s="4"/>
      <c r="K1528" s="4"/>
      <c r="L1528" s="4"/>
      <c r="M1528" s="5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29"/>
      <c r="AJ1528" s="29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</row>
    <row r="1529">
      <c r="A1529" s="4"/>
      <c r="B1529" s="4"/>
      <c r="C1529" s="4"/>
      <c r="D1529" s="4"/>
      <c r="E1529" s="5"/>
      <c r="F1529" s="4"/>
      <c r="G1529" s="4"/>
      <c r="H1529" s="33"/>
      <c r="I1529" s="4"/>
      <c r="J1529" s="4"/>
      <c r="K1529" s="4"/>
      <c r="L1529" s="4"/>
      <c r="M1529" s="5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29"/>
      <c r="AJ1529" s="29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</row>
    <row r="1530">
      <c r="A1530" s="4"/>
      <c r="B1530" s="4"/>
      <c r="C1530" s="4"/>
      <c r="D1530" s="4"/>
      <c r="E1530" s="5"/>
      <c r="F1530" s="4"/>
      <c r="G1530" s="4"/>
      <c r="H1530" s="33"/>
      <c r="I1530" s="4"/>
      <c r="J1530" s="4"/>
      <c r="K1530" s="4"/>
      <c r="L1530" s="4"/>
      <c r="M1530" s="5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29"/>
      <c r="AJ1530" s="29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</row>
    <row r="1531">
      <c r="A1531" s="4"/>
      <c r="B1531" s="4"/>
      <c r="C1531" s="4"/>
      <c r="D1531" s="4"/>
      <c r="E1531" s="5"/>
      <c r="F1531" s="4"/>
      <c r="G1531" s="4"/>
      <c r="H1531" s="33"/>
      <c r="I1531" s="4"/>
      <c r="J1531" s="4"/>
      <c r="K1531" s="4"/>
      <c r="L1531" s="4"/>
      <c r="M1531" s="5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29"/>
      <c r="AJ1531" s="29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</row>
    <row r="1532">
      <c r="A1532" s="4"/>
      <c r="B1532" s="4"/>
      <c r="C1532" s="4"/>
      <c r="D1532" s="4"/>
      <c r="E1532" s="5"/>
      <c r="F1532" s="4"/>
      <c r="G1532" s="4"/>
      <c r="H1532" s="33"/>
      <c r="I1532" s="4"/>
      <c r="J1532" s="4"/>
      <c r="K1532" s="4"/>
      <c r="L1532" s="4"/>
      <c r="M1532" s="5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29"/>
      <c r="AJ1532" s="29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</row>
    <row r="1533">
      <c r="A1533" s="4"/>
      <c r="B1533" s="4"/>
      <c r="C1533" s="4"/>
      <c r="D1533" s="4"/>
      <c r="E1533" s="5"/>
      <c r="F1533" s="4"/>
      <c r="G1533" s="4"/>
      <c r="H1533" s="33"/>
      <c r="I1533" s="4"/>
      <c r="J1533" s="4"/>
      <c r="K1533" s="4"/>
      <c r="L1533" s="4"/>
      <c r="M1533" s="5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29"/>
      <c r="AJ1533" s="29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</row>
    <row r="1534">
      <c r="A1534" s="4"/>
      <c r="B1534" s="4"/>
      <c r="C1534" s="4"/>
      <c r="D1534" s="4"/>
      <c r="E1534" s="5"/>
      <c r="F1534" s="4"/>
      <c r="G1534" s="4"/>
      <c r="H1534" s="33"/>
      <c r="I1534" s="4"/>
      <c r="J1534" s="4"/>
      <c r="K1534" s="4"/>
      <c r="L1534" s="4"/>
      <c r="M1534" s="5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29"/>
      <c r="AJ1534" s="29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</row>
    <row r="1535">
      <c r="A1535" s="4"/>
      <c r="B1535" s="4"/>
      <c r="C1535" s="4"/>
      <c r="D1535" s="4"/>
      <c r="E1535" s="5"/>
      <c r="F1535" s="4"/>
      <c r="G1535" s="4"/>
      <c r="H1535" s="33"/>
      <c r="I1535" s="4"/>
      <c r="J1535" s="4"/>
      <c r="K1535" s="4"/>
      <c r="L1535" s="4"/>
      <c r="M1535" s="5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29"/>
      <c r="AJ1535" s="29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</row>
    <row r="1536">
      <c r="A1536" s="4"/>
      <c r="B1536" s="4"/>
      <c r="C1536" s="4"/>
      <c r="D1536" s="4"/>
      <c r="E1536" s="5"/>
      <c r="F1536" s="4"/>
      <c r="G1536" s="4"/>
      <c r="H1536" s="33"/>
      <c r="I1536" s="4"/>
      <c r="J1536" s="4"/>
      <c r="K1536" s="4"/>
      <c r="L1536" s="4"/>
      <c r="M1536" s="5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29"/>
      <c r="AJ1536" s="29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</row>
    <row r="1537">
      <c r="A1537" s="4"/>
      <c r="B1537" s="4"/>
      <c r="C1537" s="4"/>
      <c r="D1537" s="4"/>
      <c r="E1537" s="5"/>
      <c r="F1537" s="4"/>
      <c r="G1537" s="4"/>
      <c r="H1537" s="33"/>
      <c r="I1537" s="4"/>
      <c r="J1537" s="4"/>
      <c r="K1537" s="4"/>
      <c r="L1537" s="4"/>
      <c r="M1537" s="5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29"/>
      <c r="AJ1537" s="29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</row>
    <row r="1538">
      <c r="A1538" s="4"/>
      <c r="B1538" s="4"/>
      <c r="C1538" s="4"/>
      <c r="D1538" s="4"/>
      <c r="E1538" s="5"/>
      <c r="F1538" s="4"/>
      <c r="G1538" s="4"/>
      <c r="H1538" s="33"/>
      <c r="I1538" s="4"/>
      <c r="J1538" s="4"/>
      <c r="K1538" s="4"/>
      <c r="L1538" s="4"/>
      <c r="M1538" s="5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29"/>
      <c r="AJ1538" s="29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</row>
    <row r="1539">
      <c r="A1539" s="4"/>
      <c r="B1539" s="4"/>
      <c r="C1539" s="4"/>
      <c r="D1539" s="4"/>
      <c r="E1539" s="5"/>
      <c r="F1539" s="4"/>
      <c r="G1539" s="4"/>
      <c r="H1539" s="33"/>
      <c r="I1539" s="4"/>
      <c r="J1539" s="4"/>
      <c r="K1539" s="4"/>
      <c r="L1539" s="4"/>
      <c r="M1539" s="5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29"/>
      <c r="AJ1539" s="29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</row>
    <row r="1540">
      <c r="A1540" s="4"/>
      <c r="B1540" s="4"/>
      <c r="C1540" s="4"/>
      <c r="D1540" s="4"/>
      <c r="E1540" s="5"/>
      <c r="F1540" s="4"/>
      <c r="G1540" s="4"/>
      <c r="H1540" s="33"/>
      <c r="I1540" s="4"/>
      <c r="J1540" s="4"/>
      <c r="K1540" s="4"/>
      <c r="L1540" s="4"/>
      <c r="M1540" s="5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29"/>
      <c r="AJ1540" s="29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</row>
    <row r="1541">
      <c r="A1541" s="4"/>
      <c r="B1541" s="4"/>
      <c r="C1541" s="4"/>
      <c r="D1541" s="4"/>
      <c r="E1541" s="5"/>
      <c r="F1541" s="4"/>
      <c r="G1541" s="4"/>
      <c r="H1541" s="33"/>
      <c r="I1541" s="4"/>
      <c r="J1541" s="4"/>
      <c r="K1541" s="4"/>
      <c r="L1541" s="4"/>
      <c r="M1541" s="5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29"/>
      <c r="AJ1541" s="29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</row>
    <row r="1542">
      <c r="A1542" s="4"/>
      <c r="B1542" s="4"/>
      <c r="C1542" s="4"/>
      <c r="D1542" s="4"/>
      <c r="E1542" s="5"/>
      <c r="F1542" s="4"/>
      <c r="G1542" s="4"/>
      <c r="H1542" s="33"/>
      <c r="I1542" s="4"/>
      <c r="J1542" s="4"/>
      <c r="K1542" s="4"/>
      <c r="L1542" s="4"/>
      <c r="M1542" s="5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29"/>
      <c r="AJ1542" s="29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</row>
    <row r="1543">
      <c r="A1543" s="4"/>
      <c r="B1543" s="4"/>
      <c r="C1543" s="4"/>
      <c r="D1543" s="4"/>
      <c r="E1543" s="5"/>
      <c r="F1543" s="4"/>
      <c r="G1543" s="4"/>
      <c r="H1543" s="33"/>
      <c r="I1543" s="4"/>
      <c r="J1543" s="4"/>
      <c r="K1543" s="4"/>
      <c r="L1543" s="4"/>
      <c r="M1543" s="5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29"/>
      <c r="AJ1543" s="29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</row>
    <row r="1544">
      <c r="A1544" s="4"/>
      <c r="B1544" s="4"/>
      <c r="C1544" s="4"/>
      <c r="D1544" s="4"/>
      <c r="E1544" s="5"/>
      <c r="F1544" s="4"/>
      <c r="G1544" s="4"/>
      <c r="H1544" s="33"/>
      <c r="I1544" s="4"/>
      <c r="J1544" s="4"/>
      <c r="K1544" s="4"/>
      <c r="L1544" s="4"/>
      <c r="M1544" s="5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29"/>
      <c r="AJ1544" s="29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</row>
    <row r="1545">
      <c r="A1545" s="4"/>
      <c r="B1545" s="4"/>
      <c r="C1545" s="4"/>
      <c r="D1545" s="4"/>
      <c r="E1545" s="5"/>
      <c r="F1545" s="4"/>
      <c r="G1545" s="4"/>
      <c r="H1545" s="33"/>
      <c r="I1545" s="4"/>
      <c r="J1545" s="4"/>
      <c r="K1545" s="4"/>
      <c r="L1545" s="4"/>
      <c r="M1545" s="5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29"/>
      <c r="AJ1545" s="29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</row>
    <row r="1546">
      <c r="A1546" s="4"/>
      <c r="B1546" s="4"/>
      <c r="C1546" s="4"/>
      <c r="D1546" s="4"/>
      <c r="E1546" s="5"/>
      <c r="F1546" s="4"/>
      <c r="G1546" s="4"/>
      <c r="H1546" s="33"/>
      <c r="I1546" s="4"/>
      <c r="J1546" s="4"/>
      <c r="K1546" s="4"/>
      <c r="L1546" s="4"/>
      <c r="M1546" s="5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29"/>
      <c r="AJ1546" s="29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</row>
    <row r="1547">
      <c r="A1547" s="4"/>
      <c r="B1547" s="4"/>
      <c r="C1547" s="4"/>
      <c r="D1547" s="4"/>
      <c r="E1547" s="5"/>
      <c r="F1547" s="4"/>
      <c r="G1547" s="4"/>
      <c r="H1547" s="33"/>
      <c r="I1547" s="4"/>
      <c r="J1547" s="4"/>
      <c r="K1547" s="4"/>
      <c r="L1547" s="4"/>
      <c r="M1547" s="5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29"/>
      <c r="AJ1547" s="29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</row>
    <row r="1548">
      <c r="A1548" s="4"/>
      <c r="B1548" s="4"/>
      <c r="C1548" s="4"/>
      <c r="D1548" s="4"/>
      <c r="E1548" s="5"/>
      <c r="F1548" s="4"/>
      <c r="G1548" s="4"/>
      <c r="H1548" s="33"/>
      <c r="I1548" s="4"/>
      <c r="J1548" s="4"/>
      <c r="K1548" s="4"/>
      <c r="L1548" s="4"/>
      <c r="M1548" s="5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29"/>
      <c r="AJ1548" s="29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</row>
    <row r="1549">
      <c r="A1549" s="4"/>
      <c r="B1549" s="4"/>
      <c r="C1549" s="4"/>
      <c r="D1549" s="4"/>
      <c r="E1549" s="5"/>
      <c r="F1549" s="4"/>
      <c r="G1549" s="4"/>
      <c r="H1549" s="33"/>
      <c r="I1549" s="4"/>
      <c r="J1549" s="4"/>
      <c r="K1549" s="4"/>
      <c r="L1549" s="4"/>
      <c r="M1549" s="5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29"/>
      <c r="AJ1549" s="29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</row>
    <row r="1550">
      <c r="A1550" s="4"/>
      <c r="B1550" s="4"/>
      <c r="C1550" s="4"/>
      <c r="D1550" s="4"/>
      <c r="E1550" s="5"/>
      <c r="F1550" s="4"/>
      <c r="G1550" s="4"/>
      <c r="H1550" s="33"/>
      <c r="I1550" s="4"/>
      <c r="J1550" s="4"/>
      <c r="K1550" s="4"/>
      <c r="L1550" s="4"/>
      <c r="M1550" s="5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29"/>
      <c r="AJ1550" s="29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</row>
    <row r="1551">
      <c r="A1551" s="4"/>
      <c r="B1551" s="4"/>
      <c r="C1551" s="4"/>
      <c r="D1551" s="4"/>
      <c r="E1551" s="5"/>
      <c r="F1551" s="4"/>
      <c r="G1551" s="4"/>
      <c r="H1551" s="33"/>
      <c r="I1551" s="4"/>
      <c r="J1551" s="4"/>
      <c r="K1551" s="4"/>
      <c r="L1551" s="4"/>
      <c r="M1551" s="5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29"/>
      <c r="AJ1551" s="29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</row>
    <row r="1552">
      <c r="A1552" s="4"/>
      <c r="B1552" s="4"/>
      <c r="C1552" s="4"/>
      <c r="D1552" s="4"/>
      <c r="E1552" s="5"/>
      <c r="F1552" s="4"/>
      <c r="G1552" s="4"/>
      <c r="H1552" s="33"/>
      <c r="I1552" s="4"/>
      <c r="J1552" s="4"/>
      <c r="K1552" s="4"/>
      <c r="L1552" s="4"/>
      <c r="M1552" s="5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29"/>
      <c r="AJ1552" s="29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</row>
    <row r="1553">
      <c r="A1553" s="4"/>
      <c r="B1553" s="4"/>
      <c r="C1553" s="4"/>
      <c r="D1553" s="4"/>
      <c r="E1553" s="5"/>
      <c r="F1553" s="4"/>
      <c r="G1553" s="4"/>
      <c r="H1553" s="33"/>
      <c r="I1553" s="4"/>
      <c r="J1553" s="4"/>
      <c r="K1553" s="4"/>
      <c r="L1553" s="4"/>
      <c r="M1553" s="5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29"/>
      <c r="AJ1553" s="29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</row>
    <row r="1554">
      <c r="A1554" s="4"/>
      <c r="B1554" s="4"/>
      <c r="C1554" s="4"/>
      <c r="D1554" s="4"/>
      <c r="E1554" s="5"/>
      <c r="F1554" s="4"/>
      <c r="G1554" s="4"/>
      <c r="H1554" s="33"/>
      <c r="I1554" s="4"/>
      <c r="J1554" s="4"/>
      <c r="K1554" s="4"/>
      <c r="L1554" s="4"/>
      <c r="M1554" s="5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29"/>
      <c r="AJ1554" s="29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</row>
    <row r="1555">
      <c r="A1555" s="4"/>
      <c r="B1555" s="4"/>
      <c r="C1555" s="4"/>
      <c r="D1555" s="4"/>
      <c r="E1555" s="5"/>
      <c r="F1555" s="4"/>
      <c r="G1555" s="4"/>
      <c r="H1555" s="33"/>
      <c r="I1555" s="4"/>
      <c r="J1555" s="4"/>
      <c r="K1555" s="4"/>
      <c r="L1555" s="4"/>
      <c r="M1555" s="5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29"/>
      <c r="AJ1555" s="29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</row>
    <row r="1556">
      <c r="A1556" s="4"/>
      <c r="B1556" s="4"/>
      <c r="C1556" s="4"/>
      <c r="D1556" s="4"/>
      <c r="E1556" s="5"/>
      <c r="F1556" s="4"/>
      <c r="G1556" s="4"/>
      <c r="H1556" s="33"/>
      <c r="I1556" s="4"/>
      <c r="J1556" s="4"/>
      <c r="K1556" s="4"/>
      <c r="L1556" s="4"/>
      <c r="M1556" s="5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29"/>
      <c r="AJ1556" s="29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</row>
    <row r="1557">
      <c r="A1557" s="4"/>
      <c r="B1557" s="4"/>
      <c r="C1557" s="4"/>
      <c r="D1557" s="4"/>
      <c r="E1557" s="5"/>
      <c r="F1557" s="4"/>
      <c r="G1557" s="4"/>
      <c r="H1557" s="33"/>
      <c r="I1557" s="4"/>
      <c r="J1557" s="4"/>
      <c r="K1557" s="4"/>
      <c r="L1557" s="4"/>
      <c r="M1557" s="5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29"/>
      <c r="AJ1557" s="29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</row>
    <row r="1558">
      <c r="A1558" s="4"/>
      <c r="B1558" s="4"/>
      <c r="C1558" s="4"/>
      <c r="D1558" s="4"/>
      <c r="E1558" s="5"/>
      <c r="F1558" s="4"/>
      <c r="G1558" s="4"/>
      <c r="H1558" s="33"/>
      <c r="I1558" s="4"/>
      <c r="J1558" s="4"/>
      <c r="K1558" s="4"/>
      <c r="L1558" s="4"/>
      <c r="M1558" s="5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29"/>
      <c r="AJ1558" s="29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</row>
    <row r="1559">
      <c r="A1559" s="4"/>
      <c r="B1559" s="4"/>
      <c r="C1559" s="4"/>
      <c r="D1559" s="4"/>
      <c r="E1559" s="5"/>
      <c r="F1559" s="4"/>
      <c r="G1559" s="4"/>
      <c r="H1559" s="33"/>
      <c r="I1559" s="4"/>
      <c r="J1559" s="4"/>
      <c r="K1559" s="4"/>
      <c r="L1559" s="4"/>
      <c r="M1559" s="5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29"/>
      <c r="AJ1559" s="29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</row>
    <row r="1560">
      <c r="A1560" s="4"/>
      <c r="B1560" s="4"/>
      <c r="C1560" s="4"/>
      <c r="D1560" s="4"/>
      <c r="E1560" s="5"/>
      <c r="F1560" s="4"/>
      <c r="G1560" s="4"/>
      <c r="H1560" s="33"/>
      <c r="I1560" s="4"/>
      <c r="J1560" s="4"/>
      <c r="K1560" s="4"/>
      <c r="L1560" s="4"/>
      <c r="M1560" s="5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29"/>
      <c r="AJ1560" s="29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</row>
    <row r="1561">
      <c r="A1561" s="4"/>
      <c r="B1561" s="4"/>
      <c r="C1561" s="4"/>
      <c r="D1561" s="4"/>
      <c r="E1561" s="5"/>
      <c r="F1561" s="4"/>
      <c r="G1561" s="4"/>
      <c r="H1561" s="33"/>
      <c r="I1561" s="4"/>
      <c r="J1561" s="4"/>
      <c r="K1561" s="4"/>
      <c r="L1561" s="4"/>
      <c r="M1561" s="5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29"/>
      <c r="AJ1561" s="29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</row>
    <row r="1562">
      <c r="A1562" s="4"/>
      <c r="B1562" s="4"/>
      <c r="C1562" s="4"/>
      <c r="D1562" s="4"/>
      <c r="E1562" s="5"/>
      <c r="F1562" s="4"/>
      <c r="G1562" s="4"/>
      <c r="H1562" s="33"/>
      <c r="I1562" s="4"/>
      <c r="J1562" s="4"/>
      <c r="K1562" s="4"/>
      <c r="L1562" s="4"/>
      <c r="M1562" s="5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29"/>
      <c r="AJ1562" s="29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</row>
    <row r="1563">
      <c r="A1563" s="4"/>
      <c r="B1563" s="4"/>
      <c r="C1563" s="4"/>
      <c r="D1563" s="4"/>
      <c r="E1563" s="5"/>
      <c r="F1563" s="4"/>
      <c r="G1563" s="4"/>
      <c r="H1563" s="33"/>
      <c r="I1563" s="4"/>
      <c r="J1563" s="4"/>
      <c r="K1563" s="4"/>
      <c r="L1563" s="4"/>
      <c r="M1563" s="5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29"/>
      <c r="AJ1563" s="29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</row>
    <row r="1564">
      <c r="A1564" s="4"/>
      <c r="B1564" s="4"/>
      <c r="C1564" s="4"/>
      <c r="D1564" s="4"/>
      <c r="E1564" s="5"/>
      <c r="F1564" s="4"/>
      <c r="G1564" s="4"/>
      <c r="H1564" s="33"/>
      <c r="I1564" s="4"/>
      <c r="J1564" s="4"/>
      <c r="K1564" s="4"/>
      <c r="L1564" s="4"/>
      <c r="M1564" s="5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29"/>
      <c r="AJ1564" s="29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</row>
    <row r="1565">
      <c r="A1565" s="4"/>
      <c r="B1565" s="4"/>
      <c r="C1565" s="4"/>
      <c r="D1565" s="4"/>
      <c r="E1565" s="5"/>
      <c r="F1565" s="4"/>
      <c r="G1565" s="4"/>
      <c r="H1565" s="33"/>
      <c r="I1565" s="4"/>
      <c r="J1565" s="4"/>
      <c r="K1565" s="4"/>
      <c r="L1565" s="4"/>
      <c r="M1565" s="5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29"/>
      <c r="AJ1565" s="29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</row>
    <row r="1566">
      <c r="A1566" s="4"/>
      <c r="B1566" s="4"/>
      <c r="C1566" s="4"/>
      <c r="D1566" s="4"/>
      <c r="E1566" s="5"/>
      <c r="F1566" s="4"/>
      <c r="G1566" s="4"/>
      <c r="H1566" s="33"/>
      <c r="I1566" s="4"/>
      <c r="J1566" s="4"/>
      <c r="K1566" s="4"/>
      <c r="L1566" s="4"/>
      <c r="M1566" s="5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29"/>
      <c r="AJ1566" s="29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</row>
    <row r="1567">
      <c r="A1567" s="4"/>
      <c r="B1567" s="4"/>
      <c r="C1567" s="4"/>
      <c r="D1567" s="4"/>
      <c r="E1567" s="5"/>
      <c r="F1567" s="4"/>
      <c r="G1567" s="4"/>
      <c r="H1567" s="33"/>
      <c r="I1567" s="4"/>
      <c r="J1567" s="4"/>
      <c r="K1567" s="4"/>
      <c r="L1567" s="4"/>
      <c r="M1567" s="5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29"/>
      <c r="AJ1567" s="29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</row>
    <row r="1568">
      <c r="A1568" s="4"/>
      <c r="B1568" s="4"/>
      <c r="C1568" s="4"/>
      <c r="D1568" s="4"/>
      <c r="E1568" s="5"/>
      <c r="F1568" s="4"/>
      <c r="G1568" s="4"/>
      <c r="H1568" s="33"/>
      <c r="I1568" s="4"/>
      <c r="J1568" s="4"/>
      <c r="K1568" s="4"/>
      <c r="L1568" s="4"/>
      <c r="M1568" s="5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29"/>
      <c r="AJ1568" s="29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</row>
    <row r="1569">
      <c r="A1569" s="4"/>
      <c r="B1569" s="4"/>
      <c r="C1569" s="4"/>
      <c r="D1569" s="4"/>
      <c r="E1569" s="5"/>
      <c r="F1569" s="4"/>
      <c r="G1569" s="4"/>
      <c r="H1569" s="33"/>
      <c r="I1569" s="4"/>
      <c r="J1569" s="4"/>
      <c r="K1569" s="4"/>
      <c r="L1569" s="4"/>
      <c r="M1569" s="5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29"/>
      <c r="AJ1569" s="29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</row>
    <row r="1570">
      <c r="A1570" s="4"/>
      <c r="B1570" s="4"/>
      <c r="C1570" s="4"/>
      <c r="D1570" s="4"/>
      <c r="E1570" s="5"/>
      <c r="F1570" s="4"/>
      <c r="G1570" s="4"/>
      <c r="H1570" s="33"/>
      <c r="I1570" s="4"/>
      <c r="J1570" s="4"/>
      <c r="K1570" s="4"/>
      <c r="L1570" s="4"/>
      <c r="M1570" s="5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29"/>
      <c r="AJ1570" s="29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</row>
    <row r="1571">
      <c r="A1571" s="4"/>
      <c r="B1571" s="4"/>
      <c r="C1571" s="4"/>
      <c r="D1571" s="4"/>
      <c r="E1571" s="5"/>
      <c r="F1571" s="4"/>
      <c r="G1571" s="4"/>
      <c r="H1571" s="33"/>
      <c r="I1571" s="4"/>
      <c r="J1571" s="4"/>
      <c r="K1571" s="4"/>
      <c r="L1571" s="4"/>
      <c r="M1571" s="5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29"/>
      <c r="AJ1571" s="29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</row>
    <row r="1572">
      <c r="A1572" s="4"/>
      <c r="B1572" s="4"/>
      <c r="C1572" s="4"/>
      <c r="D1572" s="4"/>
      <c r="E1572" s="5"/>
      <c r="F1572" s="4"/>
      <c r="G1572" s="4"/>
      <c r="H1572" s="33"/>
      <c r="I1572" s="4"/>
      <c r="J1572" s="4"/>
      <c r="K1572" s="4"/>
      <c r="L1572" s="4"/>
      <c r="M1572" s="5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29"/>
      <c r="AJ1572" s="29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</row>
    <row r="1573">
      <c r="A1573" s="4"/>
      <c r="B1573" s="4"/>
      <c r="C1573" s="4"/>
      <c r="D1573" s="4"/>
      <c r="E1573" s="5"/>
      <c r="F1573" s="4"/>
      <c r="G1573" s="4"/>
      <c r="H1573" s="33"/>
      <c r="I1573" s="4"/>
      <c r="J1573" s="4"/>
      <c r="K1573" s="4"/>
      <c r="L1573" s="4"/>
      <c r="M1573" s="5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29"/>
      <c r="AJ1573" s="29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</row>
    <row r="1574">
      <c r="A1574" s="4"/>
      <c r="B1574" s="4"/>
      <c r="C1574" s="4"/>
      <c r="D1574" s="4"/>
      <c r="E1574" s="5"/>
      <c r="F1574" s="4"/>
      <c r="G1574" s="4"/>
      <c r="H1574" s="33"/>
      <c r="I1574" s="4"/>
      <c r="J1574" s="4"/>
      <c r="K1574" s="4"/>
      <c r="L1574" s="4"/>
      <c r="M1574" s="5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29"/>
      <c r="AJ1574" s="29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</row>
    <row r="1575">
      <c r="A1575" s="4"/>
      <c r="B1575" s="4"/>
      <c r="C1575" s="4"/>
      <c r="D1575" s="4"/>
      <c r="E1575" s="5"/>
      <c r="F1575" s="4"/>
      <c r="G1575" s="4"/>
      <c r="H1575" s="33"/>
      <c r="I1575" s="4"/>
      <c r="J1575" s="4"/>
      <c r="K1575" s="4"/>
      <c r="L1575" s="4"/>
      <c r="M1575" s="5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29"/>
      <c r="AJ1575" s="29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</row>
    <row r="1576">
      <c r="A1576" s="4"/>
      <c r="B1576" s="4"/>
      <c r="C1576" s="4"/>
      <c r="D1576" s="4"/>
      <c r="E1576" s="5"/>
      <c r="F1576" s="4"/>
      <c r="G1576" s="4"/>
      <c r="H1576" s="33"/>
      <c r="I1576" s="4"/>
      <c r="J1576" s="4"/>
      <c r="K1576" s="4"/>
      <c r="L1576" s="4"/>
      <c r="M1576" s="5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29"/>
      <c r="AJ1576" s="29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</row>
    <row r="1577">
      <c r="A1577" s="4"/>
      <c r="B1577" s="4"/>
      <c r="C1577" s="4"/>
      <c r="D1577" s="4"/>
      <c r="E1577" s="5"/>
      <c r="F1577" s="4"/>
      <c r="G1577" s="4"/>
      <c r="H1577" s="33"/>
      <c r="I1577" s="4"/>
      <c r="J1577" s="4"/>
      <c r="K1577" s="4"/>
      <c r="L1577" s="4"/>
      <c r="M1577" s="5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29"/>
      <c r="AJ1577" s="29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</row>
    <row r="1578">
      <c r="A1578" s="4"/>
      <c r="B1578" s="4"/>
      <c r="C1578" s="4"/>
      <c r="D1578" s="4"/>
      <c r="E1578" s="5"/>
      <c r="F1578" s="4"/>
      <c r="G1578" s="4"/>
      <c r="H1578" s="33"/>
      <c r="I1578" s="4"/>
      <c r="J1578" s="4"/>
      <c r="K1578" s="4"/>
      <c r="L1578" s="4"/>
      <c r="M1578" s="5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29"/>
      <c r="AJ1578" s="29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</row>
    <row r="1579">
      <c r="A1579" s="4"/>
      <c r="B1579" s="4"/>
      <c r="C1579" s="4"/>
      <c r="D1579" s="4"/>
      <c r="E1579" s="5"/>
      <c r="F1579" s="4"/>
      <c r="G1579" s="4"/>
      <c r="H1579" s="33"/>
      <c r="I1579" s="4"/>
      <c r="J1579" s="4"/>
      <c r="K1579" s="4"/>
      <c r="L1579" s="4"/>
      <c r="M1579" s="5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29"/>
      <c r="AJ1579" s="29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</row>
    <row r="1580">
      <c r="A1580" s="4"/>
      <c r="B1580" s="4"/>
      <c r="C1580" s="4"/>
      <c r="D1580" s="4"/>
      <c r="E1580" s="5"/>
      <c r="F1580" s="4"/>
      <c r="G1580" s="4"/>
      <c r="H1580" s="33"/>
      <c r="I1580" s="4"/>
      <c r="J1580" s="4"/>
      <c r="K1580" s="4"/>
      <c r="L1580" s="4"/>
      <c r="M1580" s="5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29"/>
      <c r="AJ1580" s="29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</row>
    <row r="1581">
      <c r="A1581" s="4"/>
      <c r="B1581" s="4"/>
      <c r="C1581" s="4"/>
      <c r="D1581" s="4"/>
      <c r="E1581" s="5"/>
      <c r="F1581" s="4"/>
      <c r="G1581" s="4"/>
      <c r="H1581" s="33"/>
      <c r="I1581" s="4"/>
      <c r="J1581" s="4"/>
      <c r="K1581" s="4"/>
      <c r="L1581" s="4"/>
      <c r="M1581" s="5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29"/>
      <c r="AJ1581" s="29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</row>
    <row r="1582">
      <c r="A1582" s="4"/>
      <c r="B1582" s="4"/>
      <c r="C1582" s="4"/>
      <c r="D1582" s="4"/>
      <c r="E1582" s="5"/>
      <c r="F1582" s="4"/>
      <c r="G1582" s="4"/>
      <c r="H1582" s="33"/>
      <c r="I1582" s="4"/>
      <c r="J1582" s="4"/>
      <c r="K1582" s="4"/>
      <c r="L1582" s="4"/>
      <c r="M1582" s="5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29"/>
      <c r="AJ1582" s="29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</row>
    <row r="1583">
      <c r="A1583" s="4"/>
      <c r="B1583" s="4"/>
      <c r="C1583" s="4"/>
      <c r="D1583" s="4"/>
      <c r="E1583" s="5"/>
      <c r="F1583" s="4"/>
      <c r="G1583" s="4"/>
      <c r="H1583" s="33"/>
      <c r="I1583" s="4"/>
      <c r="J1583" s="4"/>
      <c r="K1583" s="4"/>
      <c r="L1583" s="4"/>
      <c r="M1583" s="5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29"/>
      <c r="AJ1583" s="29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</row>
    <row r="1584">
      <c r="A1584" s="4"/>
      <c r="B1584" s="4"/>
      <c r="C1584" s="4"/>
      <c r="D1584" s="4"/>
      <c r="E1584" s="5"/>
      <c r="F1584" s="4"/>
      <c r="G1584" s="4"/>
      <c r="H1584" s="33"/>
      <c r="I1584" s="4"/>
      <c r="J1584" s="4"/>
      <c r="K1584" s="4"/>
      <c r="L1584" s="4"/>
      <c r="M1584" s="5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29"/>
      <c r="AJ1584" s="29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</row>
    <row r="1585">
      <c r="A1585" s="4"/>
      <c r="B1585" s="4"/>
      <c r="C1585" s="4"/>
      <c r="D1585" s="4"/>
      <c r="E1585" s="5"/>
      <c r="F1585" s="4"/>
      <c r="G1585" s="4"/>
      <c r="H1585" s="33"/>
      <c r="I1585" s="4"/>
      <c r="J1585" s="4"/>
      <c r="K1585" s="4"/>
      <c r="L1585" s="4"/>
      <c r="M1585" s="5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29"/>
      <c r="AJ1585" s="29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</row>
    <row r="1586">
      <c r="A1586" s="4"/>
      <c r="B1586" s="4"/>
      <c r="C1586" s="4"/>
      <c r="D1586" s="4"/>
      <c r="E1586" s="5"/>
      <c r="F1586" s="4"/>
      <c r="G1586" s="4"/>
      <c r="H1586" s="33"/>
      <c r="I1586" s="4"/>
      <c r="J1586" s="4"/>
      <c r="K1586" s="4"/>
      <c r="L1586" s="4"/>
      <c r="M1586" s="5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29"/>
      <c r="AJ1586" s="29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</row>
    <row r="1587">
      <c r="A1587" s="4"/>
      <c r="B1587" s="4"/>
      <c r="C1587" s="4"/>
      <c r="D1587" s="4"/>
      <c r="E1587" s="5"/>
      <c r="F1587" s="4"/>
      <c r="G1587" s="4"/>
      <c r="H1587" s="33"/>
      <c r="I1587" s="4"/>
      <c r="J1587" s="4"/>
      <c r="K1587" s="4"/>
      <c r="L1587" s="4"/>
      <c r="M1587" s="5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29"/>
      <c r="AJ1587" s="29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</row>
    <row r="1588">
      <c r="A1588" s="4"/>
      <c r="B1588" s="4"/>
      <c r="C1588" s="4"/>
      <c r="D1588" s="4"/>
      <c r="E1588" s="5"/>
      <c r="F1588" s="4"/>
      <c r="G1588" s="4"/>
      <c r="H1588" s="33"/>
      <c r="I1588" s="4"/>
      <c r="J1588" s="4"/>
      <c r="K1588" s="4"/>
      <c r="L1588" s="4"/>
      <c r="M1588" s="5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29"/>
      <c r="AJ1588" s="29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</row>
    <row r="1589">
      <c r="A1589" s="4"/>
      <c r="B1589" s="4"/>
      <c r="C1589" s="4"/>
      <c r="D1589" s="4"/>
      <c r="E1589" s="5"/>
      <c r="F1589" s="4"/>
      <c r="G1589" s="4"/>
      <c r="H1589" s="33"/>
      <c r="I1589" s="4"/>
      <c r="J1589" s="4"/>
      <c r="K1589" s="4"/>
      <c r="L1589" s="4"/>
      <c r="M1589" s="5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29"/>
      <c r="AJ1589" s="29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</row>
    <row r="1590">
      <c r="A1590" s="4"/>
      <c r="B1590" s="4"/>
      <c r="C1590" s="4"/>
      <c r="D1590" s="4"/>
      <c r="E1590" s="5"/>
      <c r="F1590" s="4"/>
      <c r="G1590" s="4"/>
      <c r="H1590" s="33"/>
      <c r="I1590" s="4"/>
      <c r="J1590" s="4"/>
      <c r="K1590" s="4"/>
      <c r="L1590" s="4"/>
      <c r="M1590" s="5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29"/>
      <c r="AJ1590" s="29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</row>
    <row r="1591">
      <c r="A1591" s="4"/>
      <c r="B1591" s="4"/>
      <c r="C1591" s="4"/>
      <c r="D1591" s="4"/>
      <c r="E1591" s="5"/>
      <c r="F1591" s="4"/>
      <c r="G1591" s="4"/>
      <c r="H1591" s="33"/>
      <c r="I1591" s="4"/>
      <c r="J1591" s="4"/>
      <c r="K1591" s="4"/>
      <c r="L1591" s="4"/>
      <c r="M1591" s="5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29"/>
      <c r="AJ1591" s="29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</row>
    <row r="1592">
      <c r="A1592" s="4"/>
      <c r="B1592" s="4"/>
      <c r="C1592" s="4"/>
      <c r="D1592" s="4"/>
      <c r="E1592" s="5"/>
      <c r="F1592" s="4"/>
      <c r="G1592" s="4"/>
      <c r="H1592" s="33"/>
      <c r="I1592" s="4"/>
      <c r="J1592" s="4"/>
      <c r="K1592" s="4"/>
      <c r="L1592" s="4"/>
      <c r="M1592" s="5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29"/>
      <c r="AJ1592" s="29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</row>
    <row r="1593">
      <c r="A1593" s="4"/>
      <c r="B1593" s="4"/>
      <c r="C1593" s="4"/>
      <c r="D1593" s="4"/>
      <c r="E1593" s="5"/>
      <c r="F1593" s="4"/>
      <c r="G1593" s="4"/>
      <c r="H1593" s="33"/>
      <c r="I1593" s="4"/>
      <c r="J1593" s="4"/>
      <c r="K1593" s="4"/>
      <c r="L1593" s="4"/>
      <c r="M1593" s="5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29"/>
      <c r="AJ1593" s="29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</row>
    <row r="1594">
      <c r="A1594" s="4"/>
      <c r="B1594" s="4"/>
      <c r="C1594" s="4"/>
      <c r="D1594" s="4"/>
      <c r="E1594" s="5"/>
      <c r="F1594" s="4"/>
      <c r="G1594" s="4"/>
      <c r="H1594" s="33"/>
      <c r="I1594" s="4"/>
      <c r="J1594" s="4"/>
      <c r="K1594" s="4"/>
      <c r="L1594" s="4"/>
      <c r="M1594" s="5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29"/>
      <c r="AJ1594" s="29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</row>
    <row r="1595">
      <c r="A1595" s="4"/>
      <c r="B1595" s="4"/>
      <c r="C1595" s="4"/>
      <c r="D1595" s="4"/>
      <c r="E1595" s="5"/>
      <c r="F1595" s="4"/>
      <c r="G1595" s="4"/>
      <c r="H1595" s="33"/>
      <c r="I1595" s="4"/>
      <c r="J1595" s="4"/>
      <c r="K1595" s="4"/>
      <c r="L1595" s="4"/>
      <c r="M1595" s="5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29"/>
      <c r="AJ1595" s="29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</row>
    <row r="1596">
      <c r="A1596" s="4"/>
      <c r="B1596" s="4"/>
      <c r="C1596" s="4"/>
      <c r="D1596" s="4"/>
      <c r="E1596" s="5"/>
      <c r="F1596" s="4"/>
      <c r="G1596" s="4"/>
      <c r="H1596" s="33"/>
      <c r="I1596" s="4"/>
      <c r="J1596" s="4"/>
      <c r="K1596" s="4"/>
      <c r="L1596" s="4"/>
      <c r="M1596" s="5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29"/>
      <c r="AJ1596" s="29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</row>
    <row r="1597">
      <c r="A1597" s="4"/>
      <c r="B1597" s="4"/>
      <c r="C1597" s="4"/>
      <c r="D1597" s="4"/>
      <c r="E1597" s="5"/>
      <c r="F1597" s="4"/>
      <c r="G1597" s="4"/>
      <c r="H1597" s="33"/>
      <c r="I1597" s="4"/>
      <c r="J1597" s="4"/>
      <c r="K1597" s="4"/>
      <c r="L1597" s="4"/>
      <c r="M1597" s="5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29"/>
      <c r="AJ1597" s="29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</row>
    <row r="1598">
      <c r="A1598" s="4"/>
      <c r="B1598" s="4"/>
      <c r="C1598" s="4"/>
      <c r="D1598" s="4"/>
      <c r="E1598" s="5"/>
      <c r="F1598" s="4"/>
      <c r="G1598" s="4"/>
      <c r="H1598" s="33"/>
      <c r="I1598" s="4"/>
      <c r="J1598" s="4"/>
      <c r="K1598" s="4"/>
      <c r="L1598" s="4"/>
      <c r="M1598" s="5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29"/>
      <c r="AJ1598" s="29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</row>
    <row r="1599">
      <c r="A1599" s="4"/>
      <c r="B1599" s="4"/>
      <c r="C1599" s="4"/>
      <c r="D1599" s="4"/>
      <c r="E1599" s="5"/>
      <c r="F1599" s="4"/>
      <c r="G1599" s="4"/>
      <c r="H1599" s="33"/>
      <c r="I1599" s="4"/>
      <c r="J1599" s="4"/>
      <c r="K1599" s="4"/>
      <c r="L1599" s="4"/>
      <c r="M1599" s="5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29"/>
      <c r="AJ1599" s="29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</row>
    <row r="1600">
      <c r="A1600" s="4"/>
      <c r="B1600" s="4"/>
      <c r="C1600" s="4"/>
      <c r="D1600" s="4"/>
      <c r="E1600" s="5"/>
      <c r="F1600" s="4"/>
      <c r="G1600" s="4"/>
      <c r="H1600" s="33"/>
      <c r="I1600" s="4"/>
      <c r="J1600" s="4"/>
      <c r="K1600" s="4"/>
      <c r="L1600" s="4"/>
      <c r="M1600" s="5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29"/>
      <c r="AJ1600" s="29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</row>
    <row r="1601">
      <c r="A1601" s="4"/>
      <c r="B1601" s="4"/>
      <c r="C1601" s="4"/>
      <c r="D1601" s="4"/>
      <c r="E1601" s="5"/>
      <c r="F1601" s="4"/>
      <c r="G1601" s="4"/>
      <c r="H1601" s="33"/>
      <c r="I1601" s="4"/>
      <c r="J1601" s="4"/>
      <c r="K1601" s="4"/>
      <c r="L1601" s="4"/>
      <c r="M1601" s="5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29"/>
      <c r="AJ1601" s="29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</row>
    <row r="1602">
      <c r="A1602" s="4"/>
      <c r="B1602" s="4"/>
      <c r="C1602" s="4"/>
      <c r="D1602" s="4"/>
      <c r="E1602" s="5"/>
      <c r="F1602" s="4"/>
      <c r="G1602" s="4"/>
      <c r="H1602" s="33"/>
      <c r="I1602" s="4"/>
      <c r="J1602" s="4"/>
      <c r="K1602" s="4"/>
      <c r="L1602" s="4"/>
      <c r="M1602" s="5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29"/>
      <c r="AJ1602" s="29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</row>
    <row r="1603">
      <c r="A1603" s="4"/>
      <c r="B1603" s="4"/>
      <c r="C1603" s="4"/>
      <c r="D1603" s="4"/>
      <c r="E1603" s="5"/>
      <c r="F1603" s="4"/>
      <c r="G1603" s="4"/>
      <c r="H1603" s="33"/>
      <c r="I1603" s="4"/>
      <c r="J1603" s="4"/>
      <c r="K1603" s="4"/>
      <c r="L1603" s="4"/>
      <c r="M1603" s="5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29"/>
      <c r="AJ1603" s="29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</row>
    <row r="1604">
      <c r="A1604" s="4"/>
      <c r="B1604" s="4"/>
      <c r="C1604" s="4"/>
      <c r="D1604" s="4"/>
      <c r="E1604" s="5"/>
      <c r="F1604" s="4"/>
      <c r="G1604" s="4"/>
      <c r="H1604" s="33"/>
      <c r="I1604" s="4"/>
      <c r="J1604" s="4"/>
      <c r="K1604" s="4"/>
      <c r="L1604" s="4"/>
      <c r="M1604" s="5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29"/>
      <c r="AJ1604" s="29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</row>
    <row r="1605">
      <c r="A1605" s="4"/>
      <c r="B1605" s="4"/>
      <c r="C1605" s="4"/>
      <c r="D1605" s="4"/>
      <c r="E1605" s="5"/>
      <c r="F1605" s="4"/>
      <c r="G1605" s="4"/>
      <c r="H1605" s="33"/>
      <c r="I1605" s="4"/>
      <c r="J1605" s="4"/>
      <c r="K1605" s="4"/>
      <c r="L1605" s="4"/>
      <c r="M1605" s="5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29"/>
      <c r="AJ1605" s="29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</row>
    <row r="1606">
      <c r="A1606" s="4"/>
      <c r="B1606" s="4"/>
      <c r="C1606" s="4"/>
      <c r="D1606" s="4"/>
      <c r="E1606" s="5"/>
      <c r="F1606" s="4"/>
      <c r="G1606" s="4"/>
      <c r="H1606" s="33"/>
      <c r="I1606" s="4"/>
      <c r="J1606" s="4"/>
      <c r="K1606" s="4"/>
      <c r="L1606" s="4"/>
      <c r="M1606" s="5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29"/>
      <c r="AJ1606" s="29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</row>
    <row r="1607">
      <c r="A1607" s="4"/>
      <c r="B1607" s="4"/>
      <c r="C1607" s="4"/>
      <c r="D1607" s="4"/>
      <c r="E1607" s="5"/>
      <c r="F1607" s="4"/>
      <c r="G1607" s="4"/>
      <c r="H1607" s="33"/>
      <c r="I1607" s="4"/>
      <c r="J1607" s="4"/>
      <c r="K1607" s="4"/>
      <c r="L1607" s="4"/>
      <c r="M1607" s="5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29"/>
      <c r="AJ1607" s="29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</row>
    <row r="1608">
      <c r="A1608" s="4"/>
      <c r="B1608" s="4"/>
      <c r="C1608" s="4"/>
      <c r="D1608" s="4"/>
      <c r="E1608" s="5"/>
      <c r="F1608" s="4"/>
      <c r="G1608" s="4"/>
      <c r="H1608" s="33"/>
      <c r="I1608" s="4"/>
      <c r="J1608" s="4"/>
      <c r="K1608" s="4"/>
      <c r="L1608" s="4"/>
      <c r="M1608" s="5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29"/>
      <c r="AJ1608" s="29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</row>
    <row r="1609">
      <c r="A1609" s="4"/>
      <c r="B1609" s="4"/>
      <c r="C1609" s="4"/>
      <c r="D1609" s="4"/>
      <c r="E1609" s="5"/>
      <c r="F1609" s="4"/>
      <c r="G1609" s="4"/>
      <c r="H1609" s="33"/>
      <c r="I1609" s="4"/>
      <c r="J1609" s="4"/>
      <c r="K1609" s="4"/>
      <c r="L1609" s="4"/>
      <c r="M1609" s="5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29"/>
      <c r="AJ1609" s="29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</row>
    <row r="1610">
      <c r="A1610" s="4"/>
      <c r="B1610" s="4"/>
      <c r="C1610" s="4"/>
      <c r="D1610" s="4"/>
      <c r="E1610" s="5"/>
      <c r="F1610" s="4"/>
      <c r="G1610" s="4"/>
      <c r="H1610" s="33"/>
      <c r="I1610" s="4"/>
      <c r="J1610" s="4"/>
      <c r="K1610" s="4"/>
      <c r="L1610" s="4"/>
      <c r="M1610" s="5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29"/>
      <c r="AJ1610" s="29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</row>
    <row r="1611">
      <c r="A1611" s="4"/>
      <c r="B1611" s="4"/>
      <c r="C1611" s="4"/>
      <c r="D1611" s="4"/>
      <c r="E1611" s="5"/>
      <c r="F1611" s="4"/>
      <c r="G1611" s="4"/>
      <c r="H1611" s="33"/>
      <c r="I1611" s="4"/>
      <c r="J1611" s="4"/>
      <c r="K1611" s="4"/>
      <c r="L1611" s="4"/>
      <c r="M1611" s="5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29"/>
      <c r="AJ1611" s="29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</row>
    <row r="1612">
      <c r="A1612" s="4"/>
      <c r="B1612" s="4"/>
      <c r="C1612" s="4"/>
      <c r="D1612" s="4"/>
      <c r="E1612" s="5"/>
      <c r="F1612" s="4"/>
      <c r="G1612" s="4"/>
      <c r="H1612" s="33"/>
      <c r="I1612" s="4"/>
      <c r="J1612" s="4"/>
      <c r="K1612" s="4"/>
      <c r="L1612" s="4"/>
      <c r="M1612" s="5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29"/>
      <c r="AJ1612" s="29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</row>
    <row r="1613">
      <c r="A1613" s="4"/>
      <c r="B1613" s="4"/>
      <c r="C1613" s="4"/>
      <c r="D1613" s="4"/>
      <c r="E1613" s="5"/>
      <c r="F1613" s="4"/>
      <c r="G1613" s="4"/>
      <c r="H1613" s="33"/>
      <c r="I1613" s="4"/>
      <c r="J1613" s="4"/>
      <c r="K1613" s="4"/>
      <c r="L1613" s="4"/>
      <c r="M1613" s="5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29"/>
      <c r="AJ1613" s="29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</row>
    <row r="1614">
      <c r="A1614" s="4"/>
      <c r="B1614" s="4"/>
      <c r="C1614" s="4"/>
      <c r="D1614" s="4"/>
      <c r="E1614" s="5"/>
      <c r="F1614" s="4"/>
      <c r="G1614" s="4"/>
      <c r="H1614" s="33"/>
      <c r="I1614" s="4"/>
      <c r="J1614" s="4"/>
      <c r="K1614" s="4"/>
      <c r="L1614" s="4"/>
      <c r="M1614" s="5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29"/>
      <c r="AJ1614" s="29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</row>
    <row r="1615">
      <c r="A1615" s="4"/>
      <c r="B1615" s="4"/>
      <c r="C1615" s="4"/>
      <c r="D1615" s="4"/>
      <c r="E1615" s="5"/>
      <c r="F1615" s="4"/>
      <c r="G1615" s="4"/>
      <c r="H1615" s="33"/>
      <c r="I1615" s="4"/>
      <c r="J1615" s="4"/>
      <c r="K1615" s="4"/>
      <c r="L1615" s="4"/>
      <c r="M1615" s="5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29"/>
      <c r="AJ1615" s="29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</row>
    <row r="1616">
      <c r="A1616" s="4"/>
      <c r="B1616" s="4"/>
      <c r="C1616" s="4"/>
      <c r="D1616" s="4"/>
      <c r="E1616" s="5"/>
      <c r="F1616" s="4"/>
      <c r="G1616" s="4"/>
      <c r="H1616" s="33"/>
      <c r="I1616" s="4"/>
      <c r="J1616" s="4"/>
      <c r="K1616" s="4"/>
      <c r="L1616" s="4"/>
      <c r="M1616" s="5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29"/>
      <c r="AJ1616" s="29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</row>
    <row r="1617">
      <c r="A1617" s="4"/>
      <c r="B1617" s="4"/>
      <c r="C1617" s="4"/>
      <c r="D1617" s="4"/>
      <c r="E1617" s="5"/>
      <c r="F1617" s="4"/>
      <c r="G1617" s="4"/>
      <c r="H1617" s="33"/>
      <c r="I1617" s="4"/>
      <c r="J1617" s="4"/>
      <c r="K1617" s="4"/>
      <c r="L1617" s="4"/>
      <c r="M1617" s="5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29"/>
      <c r="AJ1617" s="29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</row>
    <row r="1618">
      <c r="A1618" s="4"/>
      <c r="B1618" s="4"/>
      <c r="C1618" s="4"/>
      <c r="D1618" s="4"/>
      <c r="E1618" s="5"/>
      <c r="F1618" s="4"/>
      <c r="G1618" s="4"/>
      <c r="H1618" s="33"/>
      <c r="I1618" s="4"/>
      <c r="J1618" s="4"/>
      <c r="K1618" s="4"/>
      <c r="L1618" s="4"/>
      <c r="M1618" s="5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29"/>
      <c r="AJ1618" s="29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</row>
    <row r="1619">
      <c r="A1619" s="4"/>
      <c r="B1619" s="4"/>
      <c r="C1619" s="4"/>
      <c r="D1619" s="4"/>
      <c r="E1619" s="5"/>
      <c r="F1619" s="4"/>
      <c r="G1619" s="4"/>
      <c r="H1619" s="33"/>
      <c r="I1619" s="4"/>
      <c r="J1619" s="4"/>
      <c r="K1619" s="4"/>
      <c r="L1619" s="4"/>
      <c r="M1619" s="5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29"/>
      <c r="AJ1619" s="29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</row>
    <row r="1620">
      <c r="A1620" s="4"/>
      <c r="B1620" s="4"/>
      <c r="C1620" s="4"/>
      <c r="D1620" s="4"/>
      <c r="E1620" s="5"/>
      <c r="F1620" s="4"/>
      <c r="G1620" s="4"/>
      <c r="H1620" s="33"/>
      <c r="I1620" s="4"/>
      <c r="J1620" s="4"/>
      <c r="K1620" s="4"/>
      <c r="L1620" s="4"/>
      <c r="M1620" s="5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29"/>
      <c r="AJ1620" s="29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</row>
    <row r="1621">
      <c r="A1621" s="4"/>
      <c r="B1621" s="4"/>
      <c r="C1621" s="4"/>
      <c r="D1621" s="4"/>
      <c r="E1621" s="5"/>
      <c r="F1621" s="4"/>
      <c r="G1621" s="4"/>
      <c r="H1621" s="33"/>
      <c r="I1621" s="4"/>
      <c r="J1621" s="4"/>
      <c r="K1621" s="4"/>
      <c r="L1621" s="4"/>
      <c r="M1621" s="5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29"/>
      <c r="AJ1621" s="29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</row>
    <row r="1622">
      <c r="A1622" s="4"/>
      <c r="B1622" s="4"/>
      <c r="C1622" s="4"/>
      <c r="D1622" s="4"/>
      <c r="E1622" s="5"/>
      <c r="F1622" s="4"/>
      <c r="G1622" s="4"/>
      <c r="H1622" s="33"/>
      <c r="I1622" s="4"/>
      <c r="J1622" s="4"/>
      <c r="K1622" s="4"/>
      <c r="L1622" s="4"/>
      <c r="M1622" s="5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29"/>
      <c r="AJ1622" s="29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</row>
    <row r="1623">
      <c r="A1623" s="4"/>
      <c r="B1623" s="4"/>
      <c r="C1623" s="4"/>
      <c r="D1623" s="4"/>
      <c r="E1623" s="5"/>
      <c r="F1623" s="4"/>
      <c r="G1623" s="4"/>
      <c r="H1623" s="33"/>
      <c r="I1623" s="4"/>
      <c r="J1623" s="4"/>
      <c r="K1623" s="4"/>
      <c r="L1623" s="4"/>
      <c r="M1623" s="5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29"/>
      <c r="AJ1623" s="29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</row>
    <row r="1624">
      <c r="A1624" s="4"/>
      <c r="B1624" s="4"/>
      <c r="C1624" s="4"/>
      <c r="D1624" s="4"/>
      <c r="E1624" s="5"/>
      <c r="F1624" s="4"/>
      <c r="G1624" s="4"/>
      <c r="H1624" s="33"/>
      <c r="I1624" s="4"/>
      <c r="J1624" s="4"/>
      <c r="K1624" s="4"/>
      <c r="L1624" s="4"/>
      <c r="M1624" s="5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29"/>
      <c r="AJ1624" s="29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</row>
    <row r="1625">
      <c r="A1625" s="4"/>
      <c r="B1625" s="4"/>
      <c r="C1625" s="4"/>
      <c r="D1625" s="4"/>
      <c r="E1625" s="5"/>
      <c r="F1625" s="4"/>
      <c r="G1625" s="4"/>
      <c r="H1625" s="33"/>
      <c r="I1625" s="4"/>
      <c r="J1625" s="4"/>
      <c r="K1625" s="4"/>
      <c r="L1625" s="4"/>
      <c r="M1625" s="5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29"/>
      <c r="AJ1625" s="29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</row>
    <row r="1626">
      <c r="A1626" s="4"/>
      <c r="B1626" s="4"/>
      <c r="C1626" s="4"/>
      <c r="D1626" s="4"/>
      <c r="E1626" s="5"/>
      <c r="F1626" s="4"/>
      <c r="G1626" s="4"/>
      <c r="H1626" s="33"/>
      <c r="I1626" s="4"/>
      <c r="J1626" s="4"/>
      <c r="K1626" s="4"/>
      <c r="L1626" s="4"/>
      <c r="M1626" s="5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29"/>
      <c r="AJ1626" s="29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</row>
    <row r="1627">
      <c r="A1627" s="4"/>
      <c r="B1627" s="4"/>
      <c r="C1627" s="4"/>
      <c r="D1627" s="4"/>
      <c r="E1627" s="5"/>
      <c r="F1627" s="4"/>
      <c r="G1627" s="4"/>
      <c r="H1627" s="33"/>
      <c r="I1627" s="4"/>
      <c r="J1627" s="4"/>
      <c r="K1627" s="4"/>
      <c r="L1627" s="4"/>
      <c r="M1627" s="5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29"/>
      <c r="AJ1627" s="29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</row>
    <row r="1628">
      <c r="A1628" s="4"/>
      <c r="B1628" s="4"/>
      <c r="C1628" s="4"/>
      <c r="D1628" s="4"/>
      <c r="E1628" s="5"/>
      <c r="F1628" s="4"/>
      <c r="G1628" s="4"/>
      <c r="H1628" s="33"/>
      <c r="I1628" s="4"/>
      <c r="J1628" s="4"/>
      <c r="K1628" s="4"/>
      <c r="L1628" s="4"/>
      <c r="M1628" s="5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29"/>
      <c r="AJ1628" s="29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</row>
    <row r="1629">
      <c r="A1629" s="4"/>
      <c r="B1629" s="4"/>
      <c r="C1629" s="4"/>
      <c r="D1629" s="4"/>
      <c r="E1629" s="5"/>
      <c r="F1629" s="4"/>
      <c r="G1629" s="4"/>
      <c r="H1629" s="33"/>
      <c r="I1629" s="4"/>
      <c r="J1629" s="4"/>
      <c r="K1629" s="4"/>
      <c r="L1629" s="4"/>
      <c r="M1629" s="5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29"/>
      <c r="AJ1629" s="29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</row>
    <row r="1630">
      <c r="A1630" s="4"/>
      <c r="B1630" s="4"/>
      <c r="C1630" s="4"/>
      <c r="D1630" s="4"/>
      <c r="E1630" s="5"/>
      <c r="F1630" s="4"/>
      <c r="G1630" s="4"/>
      <c r="H1630" s="33"/>
      <c r="I1630" s="4"/>
      <c r="J1630" s="4"/>
      <c r="K1630" s="4"/>
      <c r="L1630" s="4"/>
      <c r="M1630" s="5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29"/>
      <c r="AJ1630" s="29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</row>
    <row r="1631">
      <c r="A1631" s="4"/>
      <c r="B1631" s="4"/>
      <c r="C1631" s="4"/>
      <c r="D1631" s="4"/>
      <c r="E1631" s="5"/>
      <c r="F1631" s="4"/>
      <c r="G1631" s="4"/>
      <c r="H1631" s="33"/>
      <c r="I1631" s="4"/>
      <c r="J1631" s="4"/>
      <c r="K1631" s="4"/>
      <c r="L1631" s="4"/>
      <c r="M1631" s="5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29"/>
      <c r="AJ1631" s="29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</row>
    <row r="1632">
      <c r="A1632" s="4"/>
      <c r="B1632" s="4"/>
      <c r="C1632" s="4"/>
      <c r="D1632" s="4"/>
      <c r="E1632" s="5"/>
      <c r="F1632" s="4"/>
      <c r="G1632" s="4"/>
      <c r="H1632" s="33"/>
      <c r="I1632" s="4"/>
      <c r="J1632" s="4"/>
      <c r="K1632" s="4"/>
      <c r="L1632" s="4"/>
      <c r="M1632" s="5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29"/>
      <c r="AJ1632" s="29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</row>
    <row r="1633">
      <c r="A1633" s="4"/>
      <c r="B1633" s="4"/>
      <c r="C1633" s="4"/>
      <c r="D1633" s="4"/>
      <c r="E1633" s="5"/>
      <c r="F1633" s="4"/>
      <c r="G1633" s="4"/>
      <c r="H1633" s="33"/>
      <c r="I1633" s="4"/>
      <c r="J1633" s="4"/>
      <c r="K1633" s="4"/>
      <c r="L1633" s="4"/>
      <c r="M1633" s="5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29"/>
      <c r="AJ1633" s="29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</row>
    <row r="1634">
      <c r="A1634" s="4"/>
      <c r="B1634" s="4"/>
      <c r="C1634" s="4"/>
      <c r="D1634" s="4"/>
      <c r="E1634" s="5"/>
      <c r="F1634" s="4"/>
      <c r="G1634" s="4"/>
      <c r="H1634" s="33"/>
      <c r="I1634" s="4"/>
      <c r="J1634" s="4"/>
      <c r="K1634" s="4"/>
      <c r="L1634" s="4"/>
      <c r="M1634" s="5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29"/>
      <c r="AJ1634" s="29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</row>
    <row r="1635">
      <c r="A1635" s="4"/>
      <c r="B1635" s="4"/>
      <c r="C1635" s="4"/>
      <c r="D1635" s="4"/>
      <c r="E1635" s="5"/>
      <c r="F1635" s="4"/>
      <c r="G1635" s="4"/>
      <c r="H1635" s="33"/>
      <c r="I1635" s="4"/>
      <c r="J1635" s="4"/>
      <c r="K1635" s="4"/>
      <c r="L1635" s="4"/>
      <c r="M1635" s="5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29"/>
      <c r="AJ1635" s="29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</row>
    <row r="1636">
      <c r="A1636" s="4"/>
      <c r="B1636" s="4"/>
      <c r="C1636" s="4"/>
      <c r="D1636" s="4"/>
      <c r="E1636" s="5"/>
      <c r="F1636" s="4"/>
      <c r="G1636" s="4"/>
      <c r="H1636" s="33"/>
      <c r="I1636" s="4"/>
      <c r="J1636" s="4"/>
      <c r="K1636" s="4"/>
      <c r="L1636" s="4"/>
      <c r="M1636" s="5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29"/>
      <c r="AJ1636" s="29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</row>
    <row r="1637">
      <c r="A1637" s="4"/>
      <c r="B1637" s="4"/>
      <c r="C1637" s="4"/>
      <c r="D1637" s="4"/>
      <c r="E1637" s="5"/>
      <c r="F1637" s="4"/>
      <c r="G1637" s="4"/>
      <c r="H1637" s="33"/>
      <c r="I1637" s="4"/>
      <c r="J1637" s="4"/>
      <c r="K1637" s="4"/>
      <c r="L1637" s="4"/>
      <c r="M1637" s="5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29"/>
      <c r="AJ1637" s="29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</row>
    <row r="1638">
      <c r="A1638" s="4"/>
      <c r="B1638" s="4"/>
      <c r="C1638" s="4"/>
      <c r="D1638" s="4"/>
      <c r="E1638" s="5"/>
      <c r="F1638" s="4"/>
      <c r="G1638" s="4"/>
      <c r="H1638" s="33"/>
      <c r="I1638" s="4"/>
      <c r="J1638" s="4"/>
      <c r="K1638" s="4"/>
      <c r="L1638" s="4"/>
      <c r="M1638" s="5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29"/>
      <c r="AJ1638" s="29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</row>
    <row r="1639">
      <c r="A1639" s="4"/>
      <c r="B1639" s="4"/>
      <c r="C1639" s="4"/>
      <c r="D1639" s="4"/>
      <c r="E1639" s="5"/>
      <c r="F1639" s="4"/>
      <c r="G1639" s="4"/>
      <c r="H1639" s="33"/>
      <c r="I1639" s="4"/>
      <c r="J1639" s="4"/>
      <c r="K1639" s="4"/>
      <c r="L1639" s="4"/>
      <c r="M1639" s="5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29"/>
      <c r="AJ1639" s="29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</row>
    <row r="1640">
      <c r="A1640" s="4"/>
      <c r="B1640" s="4"/>
      <c r="C1640" s="4"/>
      <c r="D1640" s="4"/>
      <c r="E1640" s="5"/>
      <c r="F1640" s="4"/>
      <c r="G1640" s="4"/>
      <c r="H1640" s="33"/>
      <c r="I1640" s="4"/>
      <c r="J1640" s="4"/>
      <c r="K1640" s="4"/>
      <c r="L1640" s="4"/>
      <c r="M1640" s="5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29"/>
      <c r="AJ1640" s="29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</row>
    <row r="1641">
      <c r="A1641" s="4"/>
      <c r="B1641" s="4"/>
      <c r="C1641" s="4"/>
      <c r="D1641" s="4"/>
      <c r="E1641" s="5"/>
      <c r="F1641" s="4"/>
      <c r="G1641" s="4"/>
      <c r="H1641" s="33"/>
      <c r="I1641" s="4"/>
      <c r="J1641" s="4"/>
      <c r="K1641" s="4"/>
      <c r="L1641" s="4"/>
      <c r="M1641" s="5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29"/>
      <c r="AJ1641" s="29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</row>
    <row r="1642">
      <c r="A1642" s="4"/>
      <c r="B1642" s="4"/>
      <c r="C1642" s="4"/>
      <c r="D1642" s="4"/>
      <c r="E1642" s="5"/>
      <c r="F1642" s="4"/>
      <c r="G1642" s="4"/>
      <c r="H1642" s="33"/>
      <c r="I1642" s="4"/>
      <c r="J1642" s="4"/>
      <c r="K1642" s="4"/>
      <c r="L1642" s="4"/>
      <c r="M1642" s="5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29"/>
      <c r="AJ1642" s="29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</row>
    <row r="1643">
      <c r="A1643" s="4"/>
      <c r="B1643" s="4"/>
      <c r="C1643" s="4"/>
      <c r="D1643" s="4"/>
      <c r="E1643" s="5"/>
      <c r="F1643" s="4"/>
      <c r="G1643" s="4"/>
      <c r="H1643" s="33"/>
      <c r="I1643" s="4"/>
      <c r="J1643" s="4"/>
      <c r="K1643" s="4"/>
      <c r="L1643" s="4"/>
      <c r="M1643" s="5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29"/>
      <c r="AJ1643" s="29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</row>
    <row r="1644">
      <c r="A1644" s="4"/>
      <c r="B1644" s="4"/>
      <c r="C1644" s="4"/>
      <c r="D1644" s="4"/>
      <c r="E1644" s="5"/>
      <c r="F1644" s="4"/>
      <c r="G1644" s="4"/>
      <c r="H1644" s="33"/>
      <c r="I1644" s="4"/>
      <c r="J1644" s="4"/>
      <c r="K1644" s="4"/>
      <c r="L1644" s="4"/>
      <c r="M1644" s="5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29"/>
      <c r="AJ1644" s="29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</row>
    <row r="1645">
      <c r="A1645" s="4"/>
      <c r="B1645" s="4"/>
      <c r="C1645" s="4"/>
      <c r="D1645" s="4"/>
      <c r="E1645" s="5"/>
      <c r="F1645" s="4"/>
      <c r="G1645" s="4"/>
      <c r="H1645" s="33"/>
      <c r="I1645" s="4"/>
      <c r="J1645" s="4"/>
      <c r="K1645" s="4"/>
      <c r="L1645" s="4"/>
      <c r="M1645" s="5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29"/>
      <c r="AJ1645" s="29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</row>
    <row r="1646">
      <c r="A1646" s="4"/>
      <c r="B1646" s="4"/>
      <c r="C1646" s="4"/>
      <c r="D1646" s="4"/>
      <c r="E1646" s="5"/>
      <c r="F1646" s="4"/>
      <c r="G1646" s="4"/>
      <c r="H1646" s="33"/>
      <c r="I1646" s="4"/>
      <c r="J1646" s="4"/>
      <c r="K1646" s="4"/>
      <c r="L1646" s="4"/>
      <c r="M1646" s="5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29"/>
      <c r="AJ1646" s="29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</row>
    <row r="1647">
      <c r="A1647" s="4"/>
      <c r="B1647" s="4"/>
      <c r="C1647" s="4"/>
      <c r="D1647" s="4"/>
      <c r="E1647" s="5"/>
      <c r="F1647" s="4"/>
      <c r="G1647" s="4"/>
      <c r="H1647" s="33"/>
      <c r="I1647" s="4"/>
      <c r="J1647" s="4"/>
      <c r="K1647" s="4"/>
      <c r="L1647" s="4"/>
      <c r="M1647" s="5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29"/>
      <c r="AJ1647" s="29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</row>
    <row r="1648">
      <c r="A1648" s="4"/>
      <c r="B1648" s="4"/>
      <c r="C1648" s="4"/>
      <c r="D1648" s="4"/>
      <c r="E1648" s="5"/>
      <c r="F1648" s="4"/>
      <c r="G1648" s="4"/>
      <c r="H1648" s="33"/>
      <c r="I1648" s="4"/>
      <c r="J1648" s="4"/>
      <c r="K1648" s="4"/>
      <c r="L1648" s="4"/>
      <c r="M1648" s="5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29"/>
      <c r="AJ1648" s="29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</row>
    <row r="1649">
      <c r="A1649" s="4"/>
      <c r="B1649" s="4"/>
      <c r="C1649" s="4"/>
      <c r="D1649" s="4"/>
      <c r="E1649" s="5"/>
      <c r="F1649" s="4"/>
      <c r="G1649" s="4"/>
      <c r="H1649" s="33"/>
      <c r="I1649" s="4"/>
      <c r="J1649" s="4"/>
      <c r="K1649" s="4"/>
      <c r="L1649" s="4"/>
      <c r="M1649" s="5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29"/>
      <c r="AJ1649" s="29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</row>
    <row r="1650">
      <c r="A1650" s="4"/>
      <c r="B1650" s="4"/>
      <c r="C1650" s="4"/>
      <c r="D1650" s="4"/>
      <c r="E1650" s="5"/>
      <c r="F1650" s="4"/>
      <c r="G1650" s="4"/>
      <c r="H1650" s="33"/>
      <c r="I1650" s="4"/>
      <c r="J1650" s="4"/>
      <c r="K1650" s="4"/>
      <c r="L1650" s="4"/>
      <c r="M1650" s="5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29"/>
      <c r="AJ1650" s="29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</row>
    <row r="1651">
      <c r="A1651" s="4"/>
      <c r="B1651" s="4"/>
      <c r="C1651" s="4"/>
      <c r="D1651" s="4"/>
      <c r="E1651" s="5"/>
      <c r="F1651" s="4"/>
      <c r="G1651" s="4"/>
      <c r="H1651" s="33"/>
      <c r="I1651" s="4"/>
      <c r="J1651" s="4"/>
      <c r="K1651" s="4"/>
      <c r="L1651" s="4"/>
      <c r="M1651" s="5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29"/>
      <c r="AJ1651" s="29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</row>
    <row r="1652">
      <c r="A1652" s="4"/>
      <c r="B1652" s="4"/>
      <c r="C1652" s="4"/>
      <c r="D1652" s="4"/>
      <c r="E1652" s="5"/>
      <c r="F1652" s="4"/>
      <c r="G1652" s="4"/>
      <c r="H1652" s="33"/>
      <c r="I1652" s="4"/>
      <c r="J1652" s="4"/>
      <c r="K1652" s="4"/>
      <c r="L1652" s="4"/>
      <c r="M1652" s="5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29"/>
      <c r="AJ1652" s="29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</row>
    <row r="1653">
      <c r="A1653" s="4"/>
      <c r="B1653" s="4"/>
      <c r="C1653" s="4"/>
      <c r="D1653" s="4"/>
      <c r="E1653" s="5"/>
      <c r="F1653" s="4"/>
      <c r="G1653" s="4"/>
      <c r="H1653" s="33"/>
      <c r="I1653" s="4"/>
      <c r="J1653" s="4"/>
      <c r="K1653" s="4"/>
      <c r="L1653" s="4"/>
      <c r="M1653" s="5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29"/>
      <c r="AJ1653" s="29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</row>
  </sheetData>
  <conditionalFormatting sqref="AI2:AJ1000 AM2:AN16">
    <cfRule type="cellIs" dxfId="0" priority="1" operator="lessThan">
      <formula>0</formula>
    </cfRule>
  </conditionalFormatting>
  <conditionalFormatting sqref="AI2:AJ1000 AM2:AN16">
    <cfRule type="cellIs" dxfId="1" priority="2" operator="greaterThan">
      <formula>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tr">
        <f>IFERROR(__xludf.DUMMYFUNCTION("IMPORTRANGE(""https://docs.google.com/spreadsheets/d/1D6uzcbxSwPrh4oDMzqUQcTT-8H5GNx5DfmYrtr-kz2w"",""Funil Pré-Vendas Mari!A:Z"")"),"Linha de receita")</f>
        <v>Linha de receita</v>
      </c>
      <c r="B1" s="9" t="str">
        <f>IFERROR(__xludf.DUMMYFUNCTION("""COMPUTED_VALUE"""),"MQL Meta")</f>
        <v>MQL Meta</v>
      </c>
      <c r="C1" s="9" t="str">
        <f>IFERROR(__xludf.DUMMYFUNCTION("""COMPUTED_VALUE"""),"MQL Realizado")</f>
        <v>MQL Realizado</v>
      </c>
      <c r="D1" s="9" t="str">
        <f>IFERROR(__xludf.DUMMYFUNCTION("""COMPUTED_VALUE"""),"Gap")</f>
        <v>Gap</v>
      </c>
      <c r="E1" s="9" t="str">
        <f>IFERROR(__xludf.DUMMYFUNCTION("""COMPUTED_VALUE"""),"Gap %")</f>
        <v>Gap %</v>
      </c>
      <c r="F1" s="10" t="str">
        <f>IFERROR(__xludf.DUMMYFUNCTION("""COMPUTED_VALUE"""),"MQL &gt; SAL Meta")</f>
        <v>MQL &gt; SAL Meta</v>
      </c>
      <c r="G1" s="9" t="str">
        <f>IFERROR(__xludf.DUMMYFUNCTION("""COMPUTED_VALUE"""),"MQL &gt; SAL Realizado")</f>
        <v>MQL &gt; SAL Realizado</v>
      </c>
      <c r="H1" s="9" t="str">
        <f>IFERROR(__xludf.DUMMYFUNCTION("""COMPUTED_VALUE"""),"Gap MQL &gt; SAL p.p.")</f>
        <v>Gap MQL &gt; SAL p.p.</v>
      </c>
      <c r="I1" s="34" t="str">
        <f>IFERROR(__xludf.DUMMYFUNCTION("""COMPUTED_VALUE"""),"SAL Meta")</f>
        <v>SAL Meta</v>
      </c>
      <c r="J1" s="9" t="str">
        <f>IFERROR(__xludf.DUMMYFUNCTION("""COMPUTED_VALUE"""),"SAL Realizado")</f>
        <v>SAL Realizado</v>
      </c>
      <c r="K1" s="9" t="str">
        <f>IFERROR(__xludf.DUMMYFUNCTION("""COMPUTED_VALUE"""),"Gap SAL")</f>
        <v>Gap SAL</v>
      </c>
      <c r="L1" s="9" t="str">
        <f>IFERROR(__xludf.DUMMYFUNCTION("""COMPUTED_VALUE"""),"Gap SAL %")</f>
        <v>Gap SAL %</v>
      </c>
      <c r="M1" s="9" t="str">
        <f>IFERROR(__xludf.DUMMYFUNCTION("""COMPUTED_VALUE"""),"SAL &gt; Opp Meta")</f>
        <v>SAL &gt; Opp Meta</v>
      </c>
      <c r="N1" s="9" t="str">
        <f>IFERROR(__xludf.DUMMYFUNCTION("""COMPUTED_VALUE"""),"SAL &gt; Opp Realizado")</f>
        <v>SAL &gt; Opp Realizado</v>
      </c>
      <c r="O1" s="9" t="str">
        <f>IFERROR(__xludf.DUMMYFUNCTION("""COMPUTED_VALUE"""),"Gap SAL &gt; Opp p.p.")</f>
        <v>Gap SAL &gt; Opp p.p.</v>
      </c>
      <c r="P1" s="9" t="str">
        <f>IFERROR(__xludf.DUMMYFUNCTION("""COMPUTED_VALUE"""),"Opp Meta")</f>
        <v>Opp Meta</v>
      </c>
      <c r="Q1" s="9" t="str">
        <f>IFERROR(__xludf.DUMMYFUNCTION("""COMPUTED_VALUE"""),"Opp Realizado")</f>
        <v>Opp Realizado</v>
      </c>
      <c r="R1" s="9" t="str">
        <f>IFERROR(__xludf.DUMMYFUNCTION("""COMPUTED_VALUE"""),"Gap Opp")</f>
        <v>Gap Opp</v>
      </c>
      <c r="S1" s="9" t="str">
        <f>IFERROR(__xludf.DUMMYFUNCTION("""COMPUTED_VALUE"""),"Gap Opp %")</f>
        <v>Gap Opp %</v>
      </c>
      <c r="T1" s="9" t="str">
        <f>IFERROR(__xludf.DUMMYFUNCTION("""COMPUTED_VALUE"""),"Receita Meta")</f>
        <v>Receita Meta</v>
      </c>
      <c r="U1" s="9" t="str">
        <f>IFERROR(__xludf.DUMMYFUNCTION("""COMPUTED_VALUE"""),"Receita por SAL Meta")</f>
        <v>Receita por SAL Meta</v>
      </c>
      <c r="V1" s="9" t="str">
        <f>IFERROR(__xludf.DUMMYFUNCTION("""COMPUTED_VALUE"""),"Gap Potencial de Receita")</f>
        <v>Gap Potencial de Receita</v>
      </c>
      <c r="W1" s="9" t="str">
        <f>IFERROR(__xludf.DUMMYFUNCTION("""COMPUTED_VALUE"""),"Gap Potencial de Receita %")</f>
        <v>Gap Potencial de Receita %</v>
      </c>
      <c r="X1" s="9"/>
      <c r="Y1" s="9"/>
      <c r="Z1" s="9"/>
    </row>
    <row r="2">
      <c r="A2" s="9" t="str">
        <f>IFERROR(__xludf.DUMMYFUNCTION("""COMPUTED_VALUE"""),"[IM] Chat")</f>
        <v>[IM] Chat</v>
      </c>
      <c r="B2" s="11">
        <f>IFERROR(__xludf.DUMMYFUNCTION("""COMPUTED_VALUE"""),329.58064516129014)</f>
        <v>329.5806452</v>
      </c>
      <c r="C2" s="11">
        <f>IFERROR(__xludf.DUMMYFUNCTION("""COMPUTED_VALUE"""),330.0)</f>
        <v>330</v>
      </c>
      <c r="D2" s="11">
        <f>IFERROR(__xludf.DUMMYFUNCTION("""COMPUTED_VALUE"""),0.41935483870986445)</f>
        <v>0.4193548387</v>
      </c>
      <c r="E2" s="10">
        <f>IFERROR(__xludf.DUMMYFUNCTION("""COMPUTED_VALUE"""),0.0012723891553299213)</f>
        <v>0.001272389155</v>
      </c>
      <c r="F2" s="10">
        <f>IFERROR(__xludf.DUMMYFUNCTION("""COMPUTED_VALUE"""),0.814661134163209)</f>
        <v>0.8146611342</v>
      </c>
      <c r="G2" s="10">
        <f>IFERROR(__xludf.DUMMYFUNCTION("""COMPUTED_VALUE"""),0.7484848484848485)</f>
        <v>0.7484848485</v>
      </c>
      <c r="H2" s="35">
        <f>IFERROR(__xludf.DUMMYFUNCTION("""COMPUTED_VALUE"""),-6.617628567836043)</f>
        <v>-6.617628568</v>
      </c>
      <c r="I2" s="11">
        <f>IFERROR(__xludf.DUMMYFUNCTION("""COMPUTED_VALUE"""),268.49654218533874)</f>
        <v>268.4965422</v>
      </c>
      <c r="J2" s="11">
        <f>IFERROR(__xludf.DUMMYFUNCTION("""COMPUTED_VALUE"""),247.0)</f>
        <v>247</v>
      </c>
      <c r="K2" s="11">
        <f>IFERROR(__xludf.DUMMYFUNCTION("""COMPUTED_VALUE"""),-21.49654218533874)</f>
        <v>-21.49654219</v>
      </c>
      <c r="L2" s="10">
        <f>IFERROR(__xludf.DUMMYFUNCTION("""COMPUTED_VALUE"""),-0.08006264069687732)</f>
        <v>-0.0800626407</v>
      </c>
      <c r="M2" s="10">
        <f>IFERROR(__xludf.DUMMYFUNCTION("""COMPUTED_VALUE"""),0.3047987616099072)</f>
        <v>0.3047987616</v>
      </c>
      <c r="N2" s="10">
        <f>IFERROR(__xludf.DUMMYFUNCTION("""COMPUTED_VALUE"""),0.27530364372469635)</f>
        <v>0.2753036437</v>
      </c>
      <c r="O2" s="35">
        <f>IFERROR(__xludf.DUMMYFUNCTION("""COMPUTED_VALUE"""),-2.9495117885210864)</f>
        <v>-2.949511789</v>
      </c>
      <c r="P2" s="11">
        <f>IFERROR(__xludf.DUMMYFUNCTION("""COMPUTED_VALUE"""),81.83741355463346)</f>
        <v>81.83741355</v>
      </c>
      <c r="Q2" s="11">
        <f>IFERROR(__xludf.DUMMYFUNCTION("""COMPUTED_VALUE"""),68.0)</f>
        <v>68</v>
      </c>
      <c r="R2" s="11">
        <f>IFERROR(__xludf.DUMMYFUNCTION("""COMPUTED_VALUE"""),-13.837413554633457)</f>
        <v>-13.83741355</v>
      </c>
      <c r="S2" s="10">
        <f>IFERROR(__xludf.DUMMYFUNCTION("""COMPUTED_VALUE"""),-0.16908419943398875)</f>
        <v>-0.1690841994</v>
      </c>
      <c r="T2" s="11">
        <f>IFERROR(__xludf.DUMMYFUNCTION("""COMPUTED_VALUE"""),302865.5147197787)</f>
        <v>302865.5147</v>
      </c>
      <c r="U2" s="36">
        <f>IFERROR(__xludf.DUMMYFUNCTION("""COMPUTED_VALUE"""),1128.0052705882358)</f>
        <v>1128.005271</v>
      </c>
      <c r="V2" s="36">
        <f>IFERROR(__xludf.DUMMYFUNCTION("""COMPUTED_VALUE"""),-24248.212884484452)</f>
        <v>-24248.21288</v>
      </c>
      <c r="W2" s="10">
        <f>IFERROR(__xludf.DUMMYFUNCTION("""COMPUTED_VALUE"""),-0.08006264069687732)</f>
        <v>-0.0800626407</v>
      </c>
      <c r="X2" s="9"/>
      <c r="Y2" s="9"/>
      <c r="Z2" s="9"/>
    </row>
    <row r="3">
      <c r="A3" s="9" t="str">
        <f>IFERROR(__xludf.DUMMYFUNCTION("""COMPUTED_VALUE"""),"[IM] Link de Indicação")</f>
        <v>[IM] Link de Indicação</v>
      </c>
      <c r="B3" s="11">
        <f>IFERROR(__xludf.DUMMYFUNCTION("""COMPUTED_VALUE"""),71.29032258064512)</f>
        <v>71.29032258</v>
      </c>
      <c r="C3" s="11">
        <f>IFERROR(__xludf.DUMMYFUNCTION("""COMPUTED_VALUE"""),74.0)</f>
        <v>74</v>
      </c>
      <c r="D3" s="11">
        <f>IFERROR(__xludf.DUMMYFUNCTION("""COMPUTED_VALUE"""),2.7096774193548754)</f>
        <v>2.709677419</v>
      </c>
      <c r="E3" s="10">
        <f>IFERROR(__xludf.DUMMYFUNCTION("""COMPUTED_VALUE"""),0.03800904977375619)</f>
        <v>0.03800904977</v>
      </c>
      <c r="F3" s="10">
        <f>IFERROR(__xludf.DUMMYFUNCTION("""COMPUTED_VALUE"""),0.8)</f>
        <v>0.8</v>
      </c>
      <c r="G3" s="10">
        <f>IFERROR(__xludf.DUMMYFUNCTION("""COMPUTED_VALUE"""),0.8243243243243243)</f>
        <v>0.8243243243</v>
      </c>
      <c r="H3" s="35">
        <f>IFERROR(__xludf.DUMMYFUNCTION("""COMPUTED_VALUE"""),2.43243243243243)</f>
        <v>2.432432432</v>
      </c>
      <c r="I3" s="11">
        <f>IFERROR(__xludf.DUMMYFUNCTION("""COMPUTED_VALUE"""),57.0322580645161)</f>
        <v>57.03225806</v>
      </c>
      <c r="J3" s="11">
        <f>IFERROR(__xludf.DUMMYFUNCTION("""COMPUTED_VALUE"""),61.0)</f>
        <v>61</v>
      </c>
      <c r="K3" s="11">
        <f>IFERROR(__xludf.DUMMYFUNCTION("""COMPUTED_VALUE"""),3.9677419354839003)</f>
        <v>3.967741935</v>
      </c>
      <c r="L3" s="10">
        <f>IFERROR(__xludf.DUMMYFUNCTION("""COMPUTED_VALUE"""),0.06957013574660688)</f>
        <v>0.06957013575</v>
      </c>
      <c r="M3" s="10">
        <f>IFERROR(__xludf.DUMMYFUNCTION("""COMPUTED_VALUE"""),0.30859728506787343)</f>
        <v>0.3085972851</v>
      </c>
      <c r="N3" s="10">
        <f>IFERROR(__xludf.DUMMYFUNCTION("""COMPUTED_VALUE"""),0.3114754098360656)</f>
        <v>0.3114754098</v>
      </c>
      <c r="O3" s="35">
        <f>IFERROR(__xludf.DUMMYFUNCTION("""COMPUTED_VALUE"""),0.28781247681921585)</f>
        <v>0.2878124768</v>
      </c>
      <c r="P3" s="11">
        <f>IFERROR(__xludf.DUMMYFUNCTION("""COMPUTED_VALUE"""),17.599999999999998)</f>
        <v>17.6</v>
      </c>
      <c r="Q3" s="11">
        <f>IFERROR(__xludf.DUMMYFUNCTION("""COMPUTED_VALUE"""),19.0)</f>
        <v>19</v>
      </c>
      <c r="R3" s="11">
        <f>IFERROR(__xludf.DUMMYFUNCTION("""COMPUTED_VALUE"""),1.4000000000000021)</f>
        <v>1.4</v>
      </c>
      <c r="S3" s="10">
        <f>IFERROR(__xludf.DUMMYFUNCTION("""COMPUTED_VALUE"""),0.07954545454545468)</f>
        <v>0.07954545455</v>
      </c>
      <c r="T3" s="11">
        <f>IFERROR(__xludf.DUMMYFUNCTION("""COMPUTED_VALUE"""),62004.0658944)</f>
        <v>62004.06589</v>
      </c>
      <c r="U3" s="36">
        <f>IFERROR(__xludf.DUMMYFUNCTION("""COMPUTED_VALUE"""),1087.1753635330322)</f>
        <v>1087.175364</v>
      </c>
      <c r="V3" s="36">
        <f>IFERROR(__xludf.DUMMYFUNCTION("""COMPUTED_VALUE"""),4313.6312811149655)</f>
        <v>4313.631281</v>
      </c>
      <c r="W3" s="10">
        <f>IFERROR(__xludf.DUMMYFUNCTION("""COMPUTED_VALUE"""),0.06957013574660686)</f>
        <v>0.06957013575</v>
      </c>
      <c r="X3" s="9"/>
      <c r="Y3" s="9"/>
      <c r="Z3" s="9"/>
    </row>
    <row r="4">
      <c r="A4" s="9" t="str">
        <f>IFERROR(__xludf.DUMMYFUNCTION("""COMPUTED_VALUE"""),"Instagram")</f>
        <v>Instagram</v>
      </c>
      <c r="B4" s="11">
        <f>IFERROR(__xludf.DUMMYFUNCTION("""COMPUTED_VALUE"""),1250.3225806451608)</f>
        <v>1250.322581</v>
      </c>
      <c r="C4" s="11">
        <f>IFERROR(__xludf.DUMMYFUNCTION("""COMPUTED_VALUE"""),947.0)</f>
        <v>947</v>
      </c>
      <c r="D4" s="11">
        <f>IFERROR(__xludf.DUMMYFUNCTION("""COMPUTED_VALUE"""),-303.32258064516077)</f>
        <v>-303.3225806</v>
      </c>
      <c r="E4" s="10">
        <f>IFERROR(__xludf.DUMMYFUNCTION("""COMPUTED_VALUE"""),-0.2425954592363258)</f>
        <v>-0.2425954592</v>
      </c>
      <c r="F4" s="10">
        <f>IFERROR(__xludf.DUMMYFUNCTION("""COMPUTED_VALUE"""),0.7882218697919465)</f>
        <v>0.7882218698</v>
      </c>
      <c r="G4" s="10">
        <f>IFERROR(__xludf.DUMMYFUNCTION("""COMPUTED_VALUE"""),0.8796198521647307)</f>
        <v>0.8796198522</v>
      </c>
      <c r="H4" s="35">
        <f>IFERROR(__xludf.DUMMYFUNCTION("""COMPUTED_VALUE"""),9.139798237278418)</f>
        <v>9.139798237</v>
      </c>
      <c r="I4" s="11">
        <f>IFERROR(__xludf.DUMMYFUNCTION("""COMPUTED_VALUE"""),985.5316023592205)</f>
        <v>985.5316024</v>
      </c>
      <c r="J4" s="11">
        <f>IFERROR(__xludf.DUMMYFUNCTION("""COMPUTED_VALUE"""),833.0)</f>
        <v>833</v>
      </c>
      <c r="K4" s="11">
        <f>IFERROR(__xludf.DUMMYFUNCTION("""COMPUTED_VALUE"""),-152.53160235922053)</f>
        <v>-152.5316024</v>
      </c>
      <c r="L4" s="10">
        <f>IFERROR(__xludf.DUMMYFUNCTION("""COMPUTED_VALUE"""),-0.15477088912631706)</f>
        <v>-0.1547708891</v>
      </c>
      <c r="M4" s="10">
        <f>IFERROR(__xludf.DUMMYFUNCTION("""COMPUTED_VALUE"""),0.366544922676706)</f>
        <v>0.3665449227</v>
      </c>
      <c r="N4" s="10" t="str">
        <f>IFERROR(__xludf.DUMMYFUNCTION("""COMPUTED_VALUE"""),"#REF!")</f>
        <v>#REF!</v>
      </c>
      <c r="O4" s="35" t="str">
        <f>IFERROR(__xludf.DUMMYFUNCTION("""COMPUTED_VALUE"""),"#REF!")</f>
        <v>#REF!</v>
      </c>
      <c r="P4" s="11">
        <f>IFERROR(__xludf.DUMMYFUNCTION("""COMPUTED_VALUE"""),361.2416049822107)</f>
        <v>361.241605</v>
      </c>
      <c r="Q4" s="11" t="str">
        <f>IFERROR(__xludf.DUMMYFUNCTION("""COMPUTED_VALUE"""),"#REF!")</f>
        <v>#REF!</v>
      </c>
      <c r="R4" s="9" t="str">
        <f>IFERROR(__xludf.DUMMYFUNCTION("""COMPUTED_VALUE"""),"#REF!")</f>
        <v>#REF!</v>
      </c>
      <c r="S4" s="10" t="str">
        <f>IFERROR(__xludf.DUMMYFUNCTION("""COMPUTED_VALUE"""),"#REF!")</f>
        <v>#REF!</v>
      </c>
      <c r="T4" s="11">
        <f>IFERROR(__xludf.DUMMYFUNCTION("""COMPUTED_VALUE"""),1506746.286993485)</f>
        <v>1506746.287</v>
      </c>
      <c r="U4" s="36">
        <f>IFERROR(__xludf.DUMMYFUNCTION("""COMPUTED_VALUE"""),1528.866535975662)</f>
        <v>1528.866536</v>
      </c>
      <c r="V4" s="36">
        <f>IFERROR(__xludf.DUMMYFUNCTION("""COMPUTED_VALUE"""),-403615.2997057589)</f>
        <v>-403615.2997</v>
      </c>
      <c r="W4" s="10">
        <f>IFERROR(__xludf.DUMMYFUNCTION("""COMPUTED_VALUE"""),-0.267872105071598)</f>
        <v>-0.2678721051</v>
      </c>
      <c r="X4" s="9"/>
      <c r="Y4" s="9"/>
      <c r="Z4" s="9"/>
    </row>
    <row r="5">
      <c r="A5" s="9" t="str">
        <f>IFERROR(__xludf.DUMMYFUNCTION("""COMPUTED_VALUE"""),"Form G4 Instagram G4")</f>
        <v>Form G4 Instagram G4</v>
      </c>
      <c r="B5" s="11">
        <f>IFERROR(__xludf.DUMMYFUNCTION("""COMPUTED_VALUE"""),767.7419354838706)</f>
        <v>767.7419355</v>
      </c>
      <c r="C5" s="11">
        <f>IFERROR(__xludf.DUMMYFUNCTION("""COMPUTED_VALUE"""),708.0)</f>
        <v>708</v>
      </c>
      <c r="D5" s="11">
        <f>IFERROR(__xludf.DUMMYFUNCTION("""COMPUTED_VALUE"""),-59.741935483870634)</f>
        <v>-59.74193548</v>
      </c>
      <c r="E5" s="10">
        <f>IFERROR(__xludf.DUMMYFUNCTION("""COMPUTED_VALUE"""),-0.07781512605041976)</f>
        <v>-0.07781512605</v>
      </c>
      <c r="F5" s="10">
        <f>IFERROR(__xludf.DUMMYFUNCTION("""COMPUTED_VALUE"""),0.7999999999999999)</f>
        <v>0.8</v>
      </c>
      <c r="G5" s="10">
        <f>IFERROR(__xludf.DUMMYFUNCTION("""COMPUTED_VALUE"""),0.7669491525423728)</f>
        <v>0.7669491525</v>
      </c>
      <c r="H5" s="35">
        <f>IFERROR(__xludf.DUMMYFUNCTION("""COMPUTED_VALUE"""),-3.3050847457627097)</f>
        <v>-3.305084746</v>
      </c>
      <c r="I5" s="11">
        <f>IFERROR(__xludf.DUMMYFUNCTION("""COMPUTED_VALUE"""),614.1935483870965)</f>
        <v>614.1935484</v>
      </c>
      <c r="J5" s="11">
        <f>IFERROR(__xludf.DUMMYFUNCTION("""COMPUTED_VALUE"""),543.0)</f>
        <v>543</v>
      </c>
      <c r="K5" s="11">
        <f>IFERROR(__xludf.DUMMYFUNCTION("""COMPUTED_VALUE"""),-71.19354838709648)</f>
        <v>-71.19354839</v>
      </c>
      <c r="L5" s="10">
        <f>IFERROR(__xludf.DUMMYFUNCTION("""COMPUTED_VALUE"""),-0.11591386554621808)</f>
        <v>-0.1159138655</v>
      </c>
      <c r="M5" s="10">
        <f>IFERROR(__xludf.DUMMYFUNCTION("""COMPUTED_VALUE"""),0.3630014081802471)</f>
        <v>0.3630014082</v>
      </c>
      <c r="N5" s="10">
        <f>IFERROR(__xludf.DUMMYFUNCTION("""COMPUTED_VALUE"""),0.3425414364640884)</f>
        <v>0.3425414365</v>
      </c>
      <c r="O5" s="35">
        <f>IFERROR(__xludf.DUMMYFUNCTION("""COMPUTED_VALUE"""),-2.0459971716158707)</f>
        <v>-2.045997172</v>
      </c>
      <c r="P5" s="11">
        <f>IFERROR(__xludf.DUMMYFUNCTION("""COMPUTED_VALUE"""),222.95312295973878)</f>
        <v>222.953123</v>
      </c>
      <c r="Q5" s="11">
        <f>IFERROR(__xludf.DUMMYFUNCTION("""COMPUTED_VALUE"""),186.0)</f>
        <v>186</v>
      </c>
      <c r="R5" s="11">
        <f>IFERROR(__xludf.DUMMYFUNCTION("""COMPUTED_VALUE"""),-36.95312295973878)</f>
        <v>-36.95312296</v>
      </c>
      <c r="S5" s="10">
        <f>IFERROR(__xludf.DUMMYFUNCTION("""COMPUTED_VALUE"""),-0.1657439127525109)</f>
        <v>-0.1657439128</v>
      </c>
      <c r="T5" s="11">
        <f>IFERROR(__xludf.DUMMYFUNCTION("""COMPUTED_VALUE"""),867075.2347926005)</f>
        <v>867075.2348</v>
      </c>
      <c r="U5" s="36">
        <f>IFERROR(__xludf.DUMMYFUNCTION("""COMPUTED_VALUE"""),1411.7296364795498)</f>
        <v>1411.729636</v>
      </c>
      <c r="V5" s="36">
        <f>IFERROR(__xludf.DUMMYFUNCTION("""COMPUTED_VALUE"""),-100506.04218420495)</f>
        <v>-100506.0422</v>
      </c>
      <c r="W5" s="10">
        <f>IFERROR(__xludf.DUMMYFUNCTION("""COMPUTED_VALUE"""),-0.11591386554621806)</f>
        <v>-0.1159138655</v>
      </c>
      <c r="X5" s="9"/>
      <c r="Y5" s="9"/>
      <c r="Z5" s="9"/>
    </row>
    <row r="6">
      <c r="A6" s="9" t="str">
        <f>IFERROR(__xludf.DUMMYFUNCTION("""COMPUTED_VALUE"""),"Christian Lopes")</f>
        <v>Christian Lopes</v>
      </c>
      <c r="B6" s="9"/>
      <c r="C6" s="11">
        <f>IFERROR(__xludf.DUMMYFUNCTION("""COMPUTED_VALUE"""),159.0)</f>
        <v>159</v>
      </c>
      <c r="D6" s="9"/>
      <c r="E6" s="9"/>
      <c r="F6" s="9"/>
      <c r="G6" s="10">
        <f>IFERROR(__xludf.DUMMYFUNCTION("""COMPUTED_VALUE"""),0.8679245283018868)</f>
        <v>0.8679245283</v>
      </c>
      <c r="H6" s="9"/>
      <c r="I6" s="9"/>
      <c r="J6" s="11">
        <f>IFERROR(__xludf.DUMMYFUNCTION("""COMPUTED_VALUE"""),138.0)</f>
        <v>138</v>
      </c>
      <c r="K6" s="9"/>
      <c r="L6" s="9"/>
      <c r="M6" s="10">
        <f>IFERROR(__xludf.DUMMYFUNCTION("""COMPUTED_VALUE"""),0.3630014081802471)</f>
        <v>0.3630014082</v>
      </c>
      <c r="N6" s="10">
        <f>IFERROR(__xludf.DUMMYFUNCTION("""COMPUTED_VALUE"""),0.4057971014492754)</f>
        <v>0.4057971014</v>
      </c>
      <c r="O6" s="35">
        <f>IFERROR(__xludf.DUMMYFUNCTION("""COMPUTED_VALUE"""),4.279569326902827)</f>
        <v>4.279569327</v>
      </c>
      <c r="P6" s="9"/>
      <c r="Q6" s="11">
        <f>IFERROR(__xludf.DUMMYFUNCTION("""COMPUTED_VALUE"""),56.0)</f>
        <v>56</v>
      </c>
      <c r="R6" s="9"/>
      <c r="S6" s="9"/>
      <c r="T6" s="9"/>
      <c r="U6" s="36" t="str">
        <f>IFERROR(__xludf.DUMMYFUNCTION("""COMPUTED_VALUE"""),"#DIV/0!")</f>
        <v>#DIV/0!</v>
      </c>
      <c r="V6" s="9"/>
      <c r="W6" s="9"/>
      <c r="X6" s="9"/>
      <c r="Y6" s="9"/>
      <c r="Z6" s="9"/>
    </row>
    <row r="7">
      <c r="A7" s="9" t="str">
        <f>IFERROR(__xludf.DUMMYFUNCTION("""COMPUTED_VALUE"""),"Leonardo Alencar")</f>
        <v>Leonardo Alencar</v>
      </c>
      <c r="B7" s="9"/>
      <c r="C7" s="11">
        <f>IFERROR(__xludf.DUMMYFUNCTION("""COMPUTED_VALUE"""),133.0)</f>
        <v>133</v>
      </c>
      <c r="D7" s="9"/>
      <c r="E7" s="9"/>
      <c r="F7" s="9"/>
      <c r="G7" s="10">
        <f>IFERROR(__xludf.DUMMYFUNCTION("""COMPUTED_VALUE"""),0.849624060150376)</f>
        <v>0.8496240602</v>
      </c>
      <c r="H7" s="9"/>
      <c r="I7" s="9"/>
      <c r="J7" s="11">
        <f>IFERROR(__xludf.DUMMYFUNCTION("""COMPUTED_VALUE"""),113.0)</f>
        <v>113</v>
      </c>
      <c r="K7" s="9"/>
      <c r="L7" s="9"/>
      <c r="M7" s="9"/>
      <c r="N7" s="10">
        <f>IFERROR(__xludf.DUMMYFUNCTION("""COMPUTED_VALUE"""),0.40707964601769914)</f>
        <v>0.407079646</v>
      </c>
      <c r="O7" s="9"/>
      <c r="P7" s="9"/>
      <c r="Q7" s="11">
        <f>IFERROR(__xludf.DUMMYFUNCTION("""COMPUTED_VALUE"""),46.0)</f>
        <v>46</v>
      </c>
      <c r="R7" s="9"/>
      <c r="S7" s="9"/>
      <c r="T7" s="9"/>
      <c r="U7" s="9"/>
      <c r="V7" s="9"/>
      <c r="W7" s="9"/>
      <c r="X7" s="9"/>
      <c r="Y7" s="9"/>
      <c r="Z7" s="9"/>
    </row>
    <row r="8">
      <c r="A8" s="9" t="str">
        <f>IFERROR(__xludf.DUMMYFUNCTION("""COMPUTED_VALUE"""),"Pablo Maia")</f>
        <v>Pablo Maia</v>
      </c>
      <c r="B8" s="9"/>
      <c r="C8" s="11">
        <f>IFERROR(__xludf.DUMMYFUNCTION("""COMPUTED_VALUE"""),143.0)</f>
        <v>143</v>
      </c>
      <c r="D8" s="9"/>
      <c r="E8" s="9"/>
      <c r="F8" s="9"/>
      <c r="G8" s="10">
        <f>IFERROR(__xludf.DUMMYFUNCTION("""COMPUTED_VALUE"""),0.8321678321678322)</f>
        <v>0.8321678322</v>
      </c>
      <c r="H8" s="9"/>
      <c r="I8" s="9"/>
      <c r="J8" s="11">
        <f>IFERROR(__xludf.DUMMYFUNCTION("""COMPUTED_VALUE"""),119.0)</f>
        <v>119</v>
      </c>
      <c r="K8" s="9"/>
      <c r="L8" s="9"/>
      <c r="M8" s="10">
        <f>IFERROR(__xludf.DUMMYFUNCTION("""COMPUTED_VALUE"""),0.3630014081802471)</f>
        <v>0.3630014082</v>
      </c>
      <c r="N8" s="10">
        <f>IFERROR(__xludf.DUMMYFUNCTION("""COMPUTED_VALUE"""),0.3865546218487395)</f>
        <v>0.3865546218</v>
      </c>
      <c r="O8" s="35">
        <f>IFERROR(__xludf.DUMMYFUNCTION("""COMPUTED_VALUE"""),2.355321366849239)</f>
        <v>2.355321367</v>
      </c>
      <c r="P8" s="9"/>
      <c r="Q8" s="11">
        <f>IFERROR(__xludf.DUMMYFUNCTION("""COMPUTED_VALUE"""),46.0)</f>
        <v>46</v>
      </c>
      <c r="R8" s="9"/>
      <c r="S8" s="9"/>
      <c r="T8" s="9"/>
      <c r="U8" s="36" t="str">
        <f>IFERROR(__xludf.DUMMYFUNCTION("""COMPUTED_VALUE"""),"#DIV/0!")</f>
        <v>#DIV/0!</v>
      </c>
      <c r="V8" s="9"/>
      <c r="W8" s="9"/>
      <c r="X8" s="9"/>
      <c r="Y8" s="9"/>
      <c r="Z8" s="9"/>
    </row>
    <row r="9">
      <c r="A9" s="9" t="str">
        <f>IFERROR(__xludf.DUMMYFUNCTION("""COMPUTED_VALUE"""),"Luiz Felipe")</f>
        <v>Luiz Felipe</v>
      </c>
      <c r="B9" s="9"/>
      <c r="C9" s="11">
        <f>IFERROR(__xludf.DUMMYFUNCTION("""COMPUTED_VALUE"""),152.0)</f>
        <v>152</v>
      </c>
      <c r="D9" s="9"/>
      <c r="E9" s="9"/>
      <c r="F9" s="9"/>
      <c r="G9" s="10">
        <f>IFERROR(__xludf.DUMMYFUNCTION("""COMPUTED_VALUE"""),0.7894736842105263)</f>
        <v>0.7894736842</v>
      </c>
      <c r="H9" s="9"/>
      <c r="I9" s="9"/>
      <c r="J9" s="11">
        <f>IFERROR(__xludf.DUMMYFUNCTION("""COMPUTED_VALUE"""),120.0)</f>
        <v>120</v>
      </c>
      <c r="K9" s="9"/>
      <c r="L9" s="9"/>
      <c r="M9" s="10">
        <f>IFERROR(__xludf.DUMMYFUNCTION("""COMPUTED_VALUE"""),0.3630014081802471)</f>
        <v>0.3630014082</v>
      </c>
      <c r="N9" s="10">
        <f>IFERROR(__xludf.DUMMYFUNCTION("""COMPUTED_VALUE"""),0.375)</f>
        <v>0.375</v>
      </c>
      <c r="O9" s="35">
        <f>IFERROR(__xludf.DUMMYFUNCTION("""COMPUTED_VALUE"""),1.199859181975288)</f>
        <v>1.199859182</v>
      </c>
      <c r="P9" s="9"/>
      <c r="Q9" s="11">
        <f>IFERROR(__xludf.DUMMYFUNCTION("""COMPUTED_VALUE"""),45.0)</f>
        <v>45</v>
      </c>
      <c r="R9" s="9"/>
      <c r="S9" s="9"/>
      <c r="T9" s="9"/>
      <c r="U9" s="36" t="str">
        <f>IFERROR(__xludf.DUMMYFUNCTION("""COMPUTED_VALUE"""),"#DIV/0!")</f>
        <v>#DIV/0!</v>
      </c>
      <c r="V9" s="9"/>
      <c r="W9" s="9"/>
      <c r="X9" s="9"/>
      <c r="Y9" s="9"/>
      <c r="Z9" s="9"/>
    </row>
    <row r="10">
      <c r="A10" s="9" t="str">
        <f>IFERROR(__xludf.DUMMYFUNCTION("""COMPUTED_VALUE"""),"Nicolas Miranda")</f>
        <v>Nicolas Miranda</v>
      </c>
      <c r="B10" s="9"/>
      <c r="C10" s="11">
        <f>IFERROR(__xludf.DUMMYFUNCTION("""COMPUTED_VALUE"""),134.0)</f>
        <v>134</v>
      </c>
      <c r="D10" s="9"/>
      <c r="E10" s="9"/>
      <c r="F10" s="9"/>
      <c r="G10" s="10">
        <f>IFERROR(__xludf.DUMMYFUNCTION("""COMPUTED_VALUE"""),0.8507462686567164)</f>
        <v>0.8507462687</v>
      </c>
      <c r="H10" s="9"/>
      <c r="I10" s="9"/>
      <c r="J10" s="11">
        <f>IFERROR(__xludf.DUMMYFUNCTION("""COMPUTED_VALUE"""),114.0)</f>
        <v>114</v>
      </c>
      <c r="K10" s="9"/>
      <c r="L10" s="9"/>
      <c r="M10" s="10">
        <f>IFERROR(__xludf.DUMMYFUNCTION("""COMPUTED_VALUE"""),0.3630014081802471)</f>
        <v>0.3630014082</v>
      </c>
      <c r="N10" s="10">
        <f>IFERROR(__xludf.DUMMYFUNCTION("""COMPUTED_VALUE"""),0.38596491228070173)</f>
        <v>0.3859649123</v>
      </c>
      <c r="O10" s="35">
        <f>IFERROR(__xludf.DUMMYFUNCTION("""COMPUTED_VALUE"""),2.296350410045461)</f>
        <v>2.29635041</v>
      </c>
      <c r="P10" s="9"/>
      <c r="Q10" s="11">
        <f>IFERROR(__xludf.DUMMYFUNCTION("""COMPUTED_VALUE"""),44.0)</f>
        <v>44</v>
      </c>
      <c r="R10" s="9"/>
      <c r="S10" s="9"/>
      <c r="T10" s="9"/>
      <c r="U10" s="36" t="str">
        <f>IFERROR(__xludf.DUMMYFUNCTION("""COMPUTED_VALUE"""),"#DIV/0!")</f>
        <v>#DIV/0!</v>
      </c>
      <c r="V10" s="9"/>
      <c r="W10" s="9"/>
      <c r="X10" s="9"/>
      <c r="Y10" s="9"/>
      <c r="Z10" s="9"/>
    </row>
    <row r="11">
      <c r="A11" s="9" t="str">
        <f>IFERROR(__xludf.DUMMYFUNCTION("""COMPUTED_VALUE"""),"Matheus Mariano")</f>
        <v>Matheus Mariano</v>
      </c>
      <c r="B11" s="9"/>
      <c r="C11" s="11">
        <f>IFERROR(__xludf.DUMMYFUNCTION("""COMPUTED_VALUE"""),145.0)</f>
        <v>145</v>
      </c>
      <c r="D11" s="9"/>
      <c r="E11" s="9"/>
      <c r="F11" s="9"/>
      <c r="G11" s="10">
        <f>IFERROR(__xludf.DUMMYFUNCTION("""COMPUTED_VALUE"""),0.8068965517241379)</f>
        <v>0.8068965517</v>
      </c>
      <c r="H11" s="9"/>
      <c r="I11" s="9"/>
      <c r="J11" s="11">
        <f>IFERROR(__xludf.DUMMYFUNCTION("""COMPUTED_VALUE"""),117.0)</f>
        <v>117</v>
      </c>
      <c r="K11" s="9"/>
      <c r="L11" s="9"/>
      <c r="M11" s="10">
        <f>IFERROR(__xludf.DUMMYFUNCTION("""COMPUTED_VALUE"""),0.3630014081802471)</f>
        <v>0.3630014082</v>
      </c>
      <c r="N11" s="10">
        <f>IFERROR(__xludf.DUMMYFUNCTION("""COMPUTED_VALUE"""),0.3504273504273504)</f>
        <v>0.3504273504</v>
      </c>
      <c r="O11" s="35">
        <f>IFERROR(__xludf.DUMMYFUNCTION("""COMPUTED_VALUE"""),-1.2574057752896717)</f>
        <v>-1.257405775</v>
      </c>
      <c r="P11" s="9"/>
      <c r="Q11" s="11">
        <f>IFERROR(__xludf.DUMMYFUNCTION("""COMPUTED_VALUE"""),41.0)</f>
        <v>41</v>
      </c>
      <c r="R11" s="9"/>
      <c r="S11" s="9"/>
      <c r="T11" s="9"/>
      <c r="U11" s="36" t="str">
        <f>IFERROR(__xludf.DUMMYFUNCTION("""COMPUTED_VALUE"""),"#DIV/0!")</f>
        <v>#DIV/0!</v>
      </c>
      <c r="V11" s="9"/>
      <c r="W11" s="9"/>
      <c r="X11" s="9"/>
      <c r="Y11" s="9"/>
      <c r="Z11" s="9"/>
    </row>
    <row r="12">
      <c r="A12" s="9" t="str">
        <f>IFERROR(__xludf.DUMMYFUNCTION("""COMPUTED_VALUE"""),"Lucca Giovanni")</f>
        <v>Lucca Giovanni</v>
      </c>
      <c r="B12" s="9"/>
      <c r="C12" s="11">
        <f>IFERROR(__xludf.DUMMYFUNCTION("""COMPUTED_VALUE"""),124.0)</f>
        <v>124</v>
      </c>
      <c r="D12" s="9"/>
      <c r="E12" s="9"/>
      <c r="F12" s="9"/>
      <c r="G12" s="10">
        <f>IFERROR(__xludf.DUMMYFUNCTION("""COMPUTED_VALUE"""),0.9112903225806451)</f>
        <v>0.9112903226</v>
      </c>
      <c r="H12" s="9"/>
      <c r="I12" s="9"/>
      <c r="J12" s="11">
        <f>IFERROR(__xludf.DUMMYFUNCTION("""COMPUTED_VALUE"""),113.0)</f>
        <v>113</v>
      </c>
      <c r="K12" s="9"/>
      <c r="L12" s="9"/>
      <c r="M12" s="10">
        <f>IFERROR(__xludf.DUMMYFUNCTION("""COMPUTED_VALUE"""),0.3630014081802471)</f>
        <v>0.3630014082</v>
      </c>
      <c r="N12" s="10">
        <f>IFERROR(__xludf.DUMMYFUNCTION("""COMPUTED_VALUE"""),0.34513274336283184)</f>
        <v>0.3451327434</v>
      </c>
      <c r="O12" s="35">
        <f>IFERROR(__xludf.DUMMYFUNCTION("""COMPUTED_VALUE"""),-1.786866481741528)</f>
        <v>-1.786866482</v>
      </c>
      <c r="P12" s="9"/>
      <c r="Q12" s="11">
        <f>IFERROR(__xludf.DUMMYFUNCTION("""COMPUTED_VALUE"""),39.0)</f>
        <v>39</v>
      </c>
      <c r="R12" s="9"/>
      <c r="S12" s="9"/>
      <c r="T12" s="9"/>
      <c r="U12" s="36" t="str">
        <f>IFERROR(__xludf.DUMMYFUNCTION("""COMPUTED_VALUE"""),"#DIV/0!")</f>
        <v>#DIV/0!</v>
      </c>
      <c r="V12" s="9"/>
      <c r="W12" s="9"/>
      <c r="X12" s="9"/>
      <c r="Y12" s="9"/>
      <c r="Z12" s="9"/>
    </row>
    <row r="13">
      <c r="A13" s="9" t="str">
        <f>IFERROR(__xludf.DUMMYFUNCTION("""COMPUTED_VALUE"""),"João Vitor Nascimento")</f>
        <v>João Vitor Nascimento</v>
      </c>
      <c r="B13" s="9"/>
      <c r="C13" s="11">
        <f>IFERROR(__xludf.DUMMYFUNCTION("""COMPUTED_VALUE"""),91.0)</f>
        <v>91</v>
      </c>
      <c r="D13" s="9"/>
      <c r="E13" s="9"/>
      <c r="F13" s="9"/>
      <c r="G13" s="10">
        <f>IFERROR(__xludf.DUMMYFUNCTION("""COMPUTED_VALUE"""),0.8901098901098901)</f>
        <v>0.8901098901</v>
      </c>
      <c r="H13" s="9"/>
      <c r="I13" s="9"/>
      <c r="J13" s="11">
        <f>IFERROR(__xludf.DUMMYFUNCTION("""COMPUTED_VALUE"""),81.0)</f>
        <v>81</v>
      </c>
      <c r="K13" s="9"/>
      <c r="L13" s="9"/>
      <c r="M13" s="10">
        <f>IFERROR(__xludf.DUMMYFUNCTION("""COMPUTED_VALUE"""),0.3630014081802471)</f>
        <v>0.3630014082</v>
      </c>
      <c r="N13" s="10">
        <f>IFERROR(__xludf.DUMMYFUNCTION("""COMPUTED_VALUE"""),0.37037037037037035)</f>
        <v>0.3703703704</v>
      </c>
      <c r="O13" s="35">
        <f>IFERROR(__xludf.DUMMYFUNCTION("""COMPUTED_VALUE"""),0.7368962190123229)</f>
        <v>0.736896219</v>
      </c>
      <c r="P13" s="9"/>
      <c r="Q13" s="11">
        <f>IFERROR(__xludf.DUMMYFUNCTION("""COMPUTED_VALUE"""),30.0)</f>
        <v>30</v>
      </c>
      <c r="R13" s="9"/>
      <c r="S13" s="9"/>
      <c r="T13" s="9"/>
      <c r="U13" s="36" t="str">
        <f>IFERROR(__xludf.DUMMYFUNCTION("""COMPUTED_VALUE"""),"#DIV/0!")</f>
        <v>#DIV/0!</v>
      </c>
      <c r="V13" s="9"/>
      <c r="W13" s="9"/>
      <c r="X13" s="9"/>
      <c r="Y13" s="9"/>
      <c r="Z13" s="9"/>
    </row>
    <row r="14">
      <c r="A14" s="9" t="str">
        <f>IFERROR(__xludf.DUMMYFUNCTION("""COMPUTED_VALUE"""),"Bruno Xavier")</f>
        <v>Bruno Xavier</v>
      </c>
      <c r="B14" s="9"/>
      <c r="C14" s="11">
        <f>IFERROR(__xludf.DUMMYFUNCTION("""COMPUTED_VALUE"""),127.0)</f>
        <v>127</v>
      </c>
      <c r="D14" s="9"/>
      <c r="E14" s="9"/>
      <c r="F14" s="9"/>
      <c r="G14" s="10">
        <f>IFERROR(__xludf.DUMMYFUNCTION("""COMPUTED_VALUE"""),0.6850393700787402)</f>
        <v>0.6850393701</v>
      </c>
      <c r="H14" s="9"/>
      <c r="I14" s="9"/>
      <c r="J14" s="11">
        <f>IFERROR(__xludf.DUMMYFUNCTION("""COMPUTED_VALUE"""),87.0)</f>
        <v>87</v>
      </c>
      <c r="K14" s="9"/>
      <c r="L14" s="9"/>
      <c r="M14" s="10">
        <f>IFERROR(__xludf.DUMMYFUNCTION("""COMPUTED_VALUE"""),0.3630014081802471)</f>
        <v>0.3630014082</v>
      </c>
      <c r="N14" s="10">
        <f>IFERROR(__xludf.DUMMYFUNCTION("""COMPUTED_VALUE"""),0.3218390804597701)</f>
        <v>0.3218390805</v>
      </c>
      <c r="O14" s="35">
        <f>IFERROR(__xludf.DUMMYFUNCTION("""COMPUTED_VALUE"""),-4.1162327720477005)</f>
        <v>-4.116232772</v>
      </c>
      <c r="P14" s="9"/>
      <c r="Q14" s="11">
        <f>IFERROR(__xludf.DUMMYFUNCTION("""COMPUTED_VALUE"""),28.0)</f>
        <v>28</v>
      </c>
      <c r="R14" s="9"/>
      <c r="S14" s="9"/>
      <c r="T14" s="9"/>
      <c r="U14" s="36" t="str">
        <f>IFERROR(__xludf.DUMMYFUNCTION("""COMPUTED_VALUE"""),"#DIV/0!")</f>
        <v>#DIV/0!</v>
      </c>
      <c r="V14" s="9"/>
      <c r="W14" s="9"/>
      <c r="X14" s="9"/>
      <c r="Y14" s="9"/>
      <c r="Z14" s="9"/>
    </row>
    <row r="15">
      <c r="A15" s="9" t="str">
        <f>IFERROR(__xludf.DUMMYFUNCTION("""COMPUTED_VALUE"""),"Nathan Nascimento")</f>
        <v>Nathan Nascimento</v>
      </c>
      <c r="B15" s="9"/>
      <c r="C15" s="11">
        <f>IFERROR(__xludf.DUMMYFUNCTION("""COMPUTED_VALUE"""),141.0)</f>
        <v>141</v>
      </c>
      <c r="D15" s="9"/>
      <c r="E15" s="9"/>
      <c r="F15" s="9"/>
      <c r="G15" s="10">
        <f>IFERROR(__xludf.DUMMYFUNCTION("""COMPUTED_VALUE"""),0.8297872340425532)</f>
        <v>0.829787234</v>
      </c>
      <c r="H15" s="9"/>
      <c r="I15" s="9"/>
      <c r="J15" s="11">
        <f>IFERROR(__xludf.DUMMYFUNCTION("""COMPUTED_VALUE"""),117.0)</f>
        <v>117</v>
      </c>
      <c r="K15" s="9"/>
      <c r="L15" s="9"/>
      <c r="M15" s="10">
        <f>IFERROR(__xludf.DUMMYFUNCTION("""COMPUTED_VALUE"""),0.3630014081802471)</f>
        <v>0.3630014082</v>
      </c>
      <c r="N15" s="10">
        <f>IFERROR(__xludf.DUMMYFUNCTION("""COMPUTED_VALUE"""),0.2222222222222222)</f>
        <v>0.2222222222</v>
      </c>
      <c r="O15" s="35">
        <f>IFERROR(__xludf.DUMMYFUNCTION("""COMPUTED_VALUE"""),-14.07791859580249)</f>
        <v>-14.0779186</v>
      </c>
      <c r="P15" s="9"/>
      <c r="Q15" s="11">
        <f>IFERROR(__xludf.DUMMYFUNCTION("""COMPUTED_VALUE"""),26.0)</f>
        <v>26</v>
      </c>
      <c r="R15" s="9"/>
      <c r="S15" s="9"/>
      <c r="T15" s="9"/>
      <c r="U15" s="36" t="str">
        <f>IFERROR(__xludf.DUMMYFUNCTION("""COMPUTED_VALUE"""),"#DIV/0!")</f>
        <v>#DIV/0!</v>
      </c>
      <c r="V15" s="9"/>
      <c r="W15" s="9"/>
      <c r="X15" s="9"/>
      <c r="Y15" s="9"/>
      <c r="Z15" s="9"/>
    </row>
    <row r="16">
      <c r="A16" s="9" t="str">
        <f>IFERROR(__xludf.DUMMYFUNCTION("""COMPUTED_VALUE"""),"Jefferson Da Silva Santos")</f>
        <v>Jefferson Da Silva Santos</v>
      </c>
      <c r="B16" s="9"/>
      <c r="C16" s="11">
        <f>IFERROR(__xludf.DUMMYFUNCTION("""COMPUTED_VALUE"""),65.0)</f>
        <v>65</v>
      </c>
      <c r="D16" s="9"/>
      <c r="E16" s="9"/>
      <c r="F16" s="9"/>
      <c r="G16" s="10">
        <f>IFERROR(__xludf.DUMMYFUNCTION("""COMPUTED_VALUE"""),0.8461538461538461)</f>
        <v>0.8461538462</v>
      </c>
      <c r="H16" s="9"/>
      <c r="I16" s="9"/>
      <c r="J16" s="11">
        <f>IFERROR(__xludf.DUMMYFUNCTION("""COMPUTED_VALUE"""),55.0)</f>
        <v>55</v>
      </c>
      <c r="K16" s="9"/>
      <c r="L16" s="9"/>
      <c r="M16" s="10">
        <f>IFERROR(__xludf.DUMMYFUNCTION("""COMPUTED_VALUE"""),0.3630014081802471)</f>
        <v>0.3630014082</v>
      </c>
      <c r="N16" s="10">
        <f>IFERROR(__xludf.DUMMYFUNCTION("""COMPUTED_VALUE"""),0.23636363636363636)</f>
        <v>0.2363636364</v>
      </c>
      <c r="O16" s="35">
        <f>IFERROR(__xludf.DUMMYFUNCTION("""COMPUTED_VALUE"""),-12.663777181661077)</f>
        <v>-12.66377718</v>
      </c>
      <c r="P16" s="9"/>
      <c r="Q16" s="11">
        <f>IFERROR(__xludf.DUMMYFUNCTION("""COMPUTED_VALUE"""),13.0)</f>
        <v>13</v>
      </c>
      <c r="R16" s="9"/>
      <c r="S16" s="9"/>
      <c r="T16" s="9"/>
      <c r="U16" s="36" t="str">
        <f>IFERROR(__xludf.DUMMYFUNCTION("""COMPUTED_VALUE"""),"#DIV/0!")</f>
        <v>#DIV/0!</v>
      </c>
      <c r="V16" s="9"/>
      <c r="W16" s="9"/>
      <c r="X16" s="9"/>
      <c r="Y16" s="9"/>
      <c r="Z16" s="9"/>
    </row>
    <row r="17">
      <c r="A17" s="9" t="str">
        <f>IFERROR(__xludf.DUMMYFUNCTION("""COMPUTED_VALUE"""),"Gustavo Pereira")</f>
        <v>Gustavo Pereira</v>
      </c>
      <c r="B17" s="9"/>
      <c r="C17" s="11">
        <f>IFERROR(__xludf.DUMMYFUNCTION("""COMPUTED_VALUE"""),8.0)</f>
        <v>8</v>
      </c>
      <c r="D17" s="9"/>
      <c r="E17" s="9"/>
      <c r="F17" s="9"/>
      <c r="G17" s="10">
        <f>IFERROR(__xludf.DUMMYFUNCTION("""COMPUTED_VALUE"""),1.125)</f>
        <v>1.125</v>
      </c>
      <c r="H17" s="9"/>
      <c r="I17" s="9"/>
      <c r="J17" s="11">
        <f>IFERROR(__xludf.DUMMYFUNCTION("""COMPUTED_VALUE"""),9.0)</f>
        <v>9</v>
      </c>
      <c r="K17" s="9"/>
      <c r="L17" s="9"/>
      <c r="M17" s="10">
        <f>IFERROR(__xludf.DUMMYFUNCTION("""COMPUTED_VALUE"""),0.3630014081802471)</f>
        <v>0.3630014082</v>
      </c>
      <c r="N17" s="10">
        <f>IFERROR(__xludf.DUMMYFUNCTION("""COMPUTED_VALUE"""),0.8888888888888888)</f>
        <v>0.8888888889</v>
      </c>
      <c r="O17" s="35">
        <f>IFERROR(__xludf.DUMMYFUNCTION("""COMPUTED_VALUE"""),52.58874807086418)</f>
        <v>52.58874807</v>
      </c>
      <c r="P17" s="9"/>
      <c r="Q17" s="11">
        <f>IFERROR(__xludf.DUMMYFUNCTION("""COMPUTED_VALUE"""),8.0)</f>
        <v>8</v>
      </c>
      <c r="R17" s="9"/>
      <c r="S17" s="9"/>
      <c r="T17" s="9"/>
      <c r="U17" s="36" t="str">
        <f>IFERROR(__xludf.DUMMYFUNCTION("""COMPUTED_VALUE"""),"#DIV/0!")</f>
        <v>#DIV/0!</v>
      </c>
      <c r="V17" s="9"/>
      <c r="W17" s="9"/>
      <c r="X17" s="9"/>
      <c r="Y17" s="9"/>
      <c r="Z17" s="9"/>
    </row>
    <row r="18">
      <c r="A18" s="9" t="str">
        <f>IFERROR(__xludf.DUMMYFUNCTION("""COMPUTED_VALUE"""),"Marcio Lucas")</f>
        <v>Marcio Lucas</v>
      </c>
      <c r="B18" s="9"/>
      <c r="C18" s="11">
        <f>IFERROR(__xludf.DUMMYFUNCTION("""COMPUTED_VALUE"""),9.0)</f>
        <v>9</v>
      </c>
      <c r="D18" s="9"/>
      <c r="E18" s="9"/>
      <c r="F18" s="9"/>
      <c r="G18" s="10">
        <f>IFERROR(__xludf.DUMMYFUNCTION("""COMPUTED_VALUE"""),1.0)</f>
        <v>1</v>
      </c>
      <c r="H18" s="9"/>
      <c r="I18" s="9"/>
      <c r="J18" s="11">
        <f>IFERROR(__xludf.DUMMYFUNCTION("""COMPUTED_VALUE"""),9.0)</f>
        <v>9</v>
      </c>
      <c r="K18" s="9"/>
      <c r="L18" s="9"/>
      <c r="M18" s="10">
        <f>IFERROR(__xludf.DUMMYFUNCTION("""COMPUTED_VALUE"""),0.3630014081802471)</f>
        <v>0.3630014082</v>
      </c>
      <c r="N18" s="10">
        <f>IFERROR(__xludf.DUMMYFUNCTION("""COMPUTED_VALUE"""),0.7777777777777778)</f>
        <v>0.7777777778</v>
      </c>
      <c r="O18" s="35">
        <f>IFERROR(__xludf.DUMMYFUNCTION("""COMPUTED_VALUE"""),41.47763695975307)</f>
        <v>41.47763696</v>
      </c>
      <c r="P18" s="9"/>
      <c r="Q18" s="11">
        <f>IFERROR(__xludf.DUMMYFUNCTION("""COMPUTED_VALUE"""),7.0)</f>
        <v>7</v>
      </c>
      <c r="R18" s="9"/>
      <c r="S18" s="9"/>
      <c r="T18" s="9"/>
      <c r="U18" s="36" t="str">
        <f>IFERROR(__xludf.DUMMYFUNCTION("""COMPUTED_VALUE"""),"#DIV/0!")</f>
        <v>#DIV/0!</v>
      </c>
      <c r="V18" s="9"/>
      <c r="W18" s="9"/>
      <c r="X18" s="9"/>
      <c r="Y18" s="9"/>
      <c r="Z18" s="9"/>
    </row>
    <row r="19">
      <c r="A19" s="9" t="str">
        <f>IFERROR(__xludf.DUMMYFUNCTION("""COMPUTED_VALUE"""),"Ilson Costa Lima")</f>
        <v>Ilson Costa Lima</v>
      </c>
      <c r="B19" s="9"/>
      <c r="C19" s="11">
        <f>IFERROR(__xludf.DUMMYFUNCTION("""COMPUTED_VALUE"""),11.0)</f>
        <v>11</v>
      </c>
      <c r="D19" s="9"/>
      <c r="E19" s="9"/>
      <c r="F19" s="9"/>
      <c r="G19" s="10">
        <f>IFERROR(__xludf.DUMMYFUNCTION("""COMPUTED_VALUE"""),1.0)</f>
        <v>1</v>
      </c>
      <c r="H19" s="9"/>
      <c r="I19" s="9"/>
      <c r="J19" s="11">
        <f>IFERROR(__xludf.DUMMYFUNCTION("""COMPUTED_VALUE"""),11.0)</f>
        <v>11</v>
      </c>
      <c r="K19" s="9"/>
      <c r="L19" s="9"/>
      <c r="M19" s="10">
        <f>IFERROR(__xludf.DUMMYFUNCTION("""COMPUTED_VALUE"""),0.3630014081802471)</f>
        <v>0.3630014082</v>
      </c>
      <c r="N19" s="10">
        <f>IFERROR(__xludf.DUMMYFUNCTION("""COMPUTED_VALUE"""),0.5454545454545454)</f>
        <v>0.5454545455</v>
      </c>
      <c r="O19" s="35">
        <f>IFERROR(__xludf.DUMMYFUNCTION("""COMPUTED_VALUE"""),18.245313727429828)</f>
        <v>18.24531373</v>
      </c>
      <c r="P19" s="9"/>
      <c r="Q19" s="11">
        <f>IFERROR(__xludf.DUMMYFUNCTION("""COMPUTED_VALUE"""),6.0)</f>
        <v>6</v>
      </c>
      <c r="R19" s="9"/>
      <c r="S19" s="9"/>
      <c r="T19" s="9"/>
      <c r="U19" s="36" t="str">
        <f>IFERROR(__xludf.DUMMYFUNCTION("""COMPUTED_VALUE"""),"#DIV/0!")</f>
        <v>#DIV/0!</v>
      </c>
      <c r="V19" s="9"/>
      <c r="W19" s="9"/>
      <c r="X19" s="9"/>
      <c r="Y19" s="9"/>
      <c r="Z19" s="9"/>
    </row>
    <row r="20">
      <c r="A20" s="9" t="str">
        <f>IFERROR(__xludf.DUMMYFUNCTION("""COMPUTED_VALUE"""),"Izabelle Lopes")</f>
        <v>Izabelle Lopes</v>
      </c>
      <c r="B20" s="9"/>
      <c r="C20" s="11">
        <f>IFERROR(__xludf.DUMMYFUNCTION("""COMPUTED_VALUE"""),1.0)</f>
        <v>1</v>
      </c>
      <c r="D20" s="9"/>
      <c r="E20" s="9"/>
      <c r="F20" s="9"/>
      <c r="G20" s="10">
        <f>IFERROR(__xludf.DUMMYFUNCTION("""COMPUTED_VALUE"""),1.0)</f>
        <v>1</v>
      </c>
      <c r="H20" s="9"/>
      <c r="I20" s="9"/>
      <c r="J20" s="11">
        <f>IFERROR(__xludf.DUMMYFUNCTION("""COMPUTED_VALUE"""),1.0)</f>
        <v>1</v>
      </c>
      <c r="K20" s="9"/>
      <c r="L20" s="9"/>
      <c r="M20" s="10">
        <f>IFERROR(__xludf.DUMMYFUNCTION("""COMPUTED_VALUE"""),0.3630014081802471)</f>
        <v>0.3630014082</v>
      </c>
      <c r="N20" s="10">
        <f>IFERROR(__xludf.DUMMYFUNCTION("""COMPUTED_VALUE"""),1.0)</f>
        <v>1</v>
      </c>
      <c r="O20" s="35">
        <f>IFERROR(__xludf.DUMMYFUNCTION("""COMPUTED_VALUE"""),63.69985918197529)</f>
        <v>63.69985918</v>
      </c>
      <c r="P20" s="9"/>
      <c r="Q20" s="11">
        <f>IFERROR(__xludf.DUMMYFUNCTION("""COMPUTED_VALUE"""),1.0)</f>
        <v>1</v>
      </c>
      <c r="R20" s="9"/>
      <c r="S20" s="9"/>
      <c r="T20" s="9"/>
      <c r="U20" s="36" t="str">
        <f>IFERROR(__xludf.DUMMYFUNCTION("""COMPUTED_VALUE"""),"#DIV/0!")</f>
        <v>#DIV/0!</v>
      </c>
      <c r="V20" s="9"/>
      <c r="W20" s="9"/>
      <c r="X20" s="9"/>
      <c r="Y20" s="9"/>
      <c r="Z20" s="9"/>
    </row>
    <row r="21">
      <c r="A21" s="9" t="str">
        <f>IFERROR(__xludf.DUMMYFUNCTION("""COMPUTED_VALUE"""),"Daniel França")</f>
        <v>Daniel França</v>
      </c>
      <c r="B21" s="9"/>
      <c r="C21" s="11">
        <f>IFERROR(__xludf.DUMMYFUNCTION("""COMPUTED_VALUE"""),1.0)</f>
        <v>1</v>
      </c>
      <c r="D21" s="9"/>
      <c r="E21" s="9"/>
      <c r="F21" s="9"/>
      <c r="G21" s="10">
        <f>IFERROR(__xludf.DUMMYFUNCTION("""COMPUTED_VALUE"""),1.0)</f>
        <v>1</v>
      </c>
      <c r="H21" s="9"/>
      <c r="I21" s="9"/>
      <c r="J21" s="11">
        <f>IFERROR(__xludf.DUMMYFUNCTION("""COMPUTED_VALUE"""),1.0)</f>
        <v>1</v>
      </c>
      <c r="K21" s="9"/>
      <c r="L21" s="9"/>
      <c r="M21" s="10">
        <f>IFERROR(__xludf.DUMMYFUNCTION("""COMPUTED_VALUE"""),0.3630014081802471)</f>
        <v>0.3630014082</v>
      </c>
      <c r="N21" s="10">
        <f>IFERROR(__xludf.DUMMYFUNCTION("""COMPUTED_VALUE"""),1.0)</f>
        <v>1</v>
      </c>
      <c r="O21" s="35">
        <f>IFERROR(__xludf.DUMMYFUNCTION("""COMPUTED_VALUE"""),63.69985918197529)</f>
        <v>63.69985918</v>
      </c>
      <c r="P21" s="9"/>
      <c r="Q21" s="11">
        <f>IFERROR(__xludf.DUMMYFUNCTION("""COMPUTED_VALUE"""),1.0)</f>
        <v>1</v>
      </c>
      <c r="R21" s="9"/>
      <c r="S21" s="9"/>
      <c r="T21" s="9"/>
      <c r="U21" s="36" t="str">
        <f>IFERROR(__xludf.DUMMYFUNCTION("""COMPUTED_VALUE"""),"#DIV/0!")</f>
        <v>#DIV/0!</v>
      </c>
      <c r="V21" s="9"/>
      <c r="W21" s="9"/>
      <c r="X21" s="9"/>
      <c r="Y21" s="9"/>
      <c r="Z21" s="9"/>
    </row>
    <row r="22">
      <c r="A22" s="9" t="str">
        <f>IFERROR(__xludf.DUMMYFUNCTION("""COMPUTED_VALUE"""),"Nathalya Neme")</f>
        <v>Nathalya Neme</v>
      </c>
      <c r="B22" s="9"/>
      <c r="C22" s="11">
        <f>IFERROR(__xludf.DUMMYFUNCTION("""COMPUTED_VALUE"""),1.0)</f>
        <v>1</v>
      </c>
      <c r="D22" s="9"/>
      <c r="E22" s="9"/>
      <c r="F22" s="9"/>
      <c r="G22" s="10">
        <f>IFERROR(__xludf.DUMMYFUNCTION("""COMPUTED_VALUE"""),0.0)</f>
        <v>0</v>
      </c>
      <c r="H22" s="9"/>
      <c r="I22" s="9"/>
      <c r="J22" s="11">
        <f>IFERROR(__xludf.DUMMYFUNCTION("""COMPUTED_VALUE"""),0.0)</f>
        <v>0</v>
      </c>
      <c r="K22" s="9"/>
      <c r="L22" s="9"/>
      <c r="M22" s="10">
        <f>IFERROR(__xludf.DUMMYFUNCTION("""COMPUTED_VALUE"""),0.3630014081802471)</f>
        <v>0.3630014082</v>
      </c>
      <c r="N22" s="10">
        <f>IFERROR(__xludf.DUMMYFUNCTION("""COMPUTED_VALUE"""),0.0)</f>
        <v>0</v>
      </c>
      <c r="O22" s="35">
        <f>IFERROR(__xludf.DUMMYFUNCTION("""COMPUTED_VALUE"""),-36.300140818024715)</f>
        <v>-36.30014082</v>
      </c>
      <c r="P22" s="9"/>
      <c r="Q22" s="11">
        <f>IFERROR(__xludf.DUMMYFUNCTION("""COMPUTED_VALUE"""),0.0)</f>
        <v>0</v>
      </c>
      <c r="R22" s="9"/>
      <c r="S22" s="9"/>
      <c r="T22" s="9"/>
      <c r="U22" s="36" t="str">
        <f>IFERROR(__xludf.DUMMYFUNCTION("""COMPUTED_VALUE"""),"#DIV/0!")</f>
        <v>#DIV/0!</v>
      </c>
      <c r="V22" s="9"/>
      <c r="W22" s="9"/>
      <c r="X22" s="9"/>
      <c r="Y22" s="9"/>
      <c r="Z22" s="9"/>
    </row>
    <row r="23">
      <c r="A23" s="9" t="str">
        <f>IFERROR(__xludf.DUMMYFUNCTION("""COMPUTED_VALUE"""),"João Rios")</f>
        <v>João Rios</v>
      </c>
      <c r="B23" s="9"/>
      <c r="C23" s="11">
        <f>IFERROR(__xludf.DUMMYFUNCTION("""COMPUTED_VALUE"""),2.0)</f>
        <v>2</v>
      </c>
      <c r="D23" s="9"/>
      <c r="E23" s="9"/>
      <c r="F23" s="9"/>
      <c r="G23" s="10">
        <f>IFERROR(__xludf.DUMMYFUNCTION("""COMPUTED_VALUE"""),1.0)</f>
        <v>1</v>
      </c>
      <c r="H23" s="9"/>
      <c r="I23" s="9"/>
      <c r="J23" s="11">
        <f>IFERROR(__xludf.DUMMYFUNCTION("""COMPUTED_VALUE"""),2.0)</f>
        <v>2</v>
      </c>
      <c r="K23" s="9"/>
      <c r="L23" s="9"/>
      <c r="M23" s="10">
        <f>IFERROR(__xludf.DUMMYFUNCTION("""COMPUTED_VALUE"""),0.3630014081802471)</f>
        <v>0.3630014082</v>
      </c>
      <c r="N23" s="10">
        <f>IFERROR(__xludf.DUMMYFUNCTION("""COMPUTED_VALUE"""),0.0)</f>
        <v>0</v>
      </c>
      <c r="O23" s="35">
        <f>IFERROR(__xludf.DUMMYFUNCTION("""COMPUTED_VALUE"""),-36.300140818024715)</f>
        <v>-36.30014082</v>
      </c>
      <c r="P23" s="9"/>
      <c r="Q23" s="11">
        <f>IFERROR(__xludf.DUMMYFUNCTION("""COMPUTED_VALUE"""),0.0)</f>
        <v>0</v>
      </c>
      <c r="R23" s="9"/>
      <c r="S23" s="9"/>
      <c r="T23" s="9"/>
      <c r="U23" s="36" t="str">
        <f>IFERROR(__xludf.DUMMYFUNCTION("""COMPUTED_VALUE"""),"#DIV/0!")</f>
        <v>#DIV/0!</v>
      </c>
      <c r="V23" s="9"/>
      <c r="W23" s="9"/>
      <c r="X23" s="9"/>
      <c r="Y23" s="9"/>
      <c r="Z23" s="9"/>
    </row>
    <row r="24">
      <c r="A24" s="9" t="str">
        <f>IFERROR(__xludf.DUMMYFUNCTION("""COMPUTED_VALUE"""),"Cauã Andrade")</f>
        <v>Cauã Andrade</v>
      </c>
      <c r="B24" s="9"/>
      <c r="C24" s="11">
        <f>IFERROR(__xludf.DUMMYFUNCTION("""COMPUTED_VALUE"""),1.0)</f>
        <v>1</v>
      </c>
      <c r="D24" s="9"/>
      <c r="E24" s="9"/>
      <c r="F24" s="9"/>
      <c r="G24" s="10">
        <f>IFERROR(__xludf.DUMMYFUNCTION("""COMPUTED_VALUE"""),0.0)</f>
        <v>0</v>
      </c>
      <c r="H24" s="9"/>
      <c r="I24" s="9"/>
      <c r="J24" s="11">
        <f>IFERROR(__xludf.DUMMYFUNCTION("""COMPUTED_VALUE"""),0.0)</f>
        <v>0</v>
      </c>
      <c r="K24" s="9"/>
      <c r="L24" s="9"/>
      <c r="M24" s="10">
        <f>IFERROR(__xludf.DUMMYFUNCTION("""COMPUTED_VALUE"""),0.3630014081802471)</f>
        <v>0.3630014082</v>
      </c>
      <c r="N24" s="10">
        <f>IFERROR(__xludf.DUMMYFUNCTION("""COMPUTED_VALUE"""),0.0)</f>
        <v>0</v>
      </c>
      <c r="O24" s="35">
        <f>IFERROR(__xludf.DUMMYFUNCTION("""COMPUTED_VALUE"""),-36.300140818024715)</f>
        <v>-36.30014082</v>
      </c>
      <c r="P24" s="9"/>
      <c r="Q24" s="11">
        <f>IFERROR(__xludf.DUMMYFUNCTION("""COMPUTED_VALUE"""),0.0)</f>
        <v>0</v>
      </c>
      <c r="R24" s="9"/>
      <c r="S24" s="9"/>
      <c r="T24" s="9"/>
      <c r="U24" s="36" t="str">
        <f>IFERROR(__xludf.DUMMYFUNCTION("""COMPUTED_VALUE"""),"#DIV/0!")</f>
        <v>#DIV/0!</v>
      </c>
      <c r="V24" s="9"/>
      <c r="W24" s="9"/>
      <c r="X24" s="9"/>
      <c r="Y24" s="9"/>
      <c r="Z24" s="9"/>
    </row>
    <row r="25">
      <c r="A25" s="9" t="str">
        <f>IFERROR(__xludf.DUMMYFUNCTION("""COMPUTED_VALUE"""),"Form G4 Instagram Outros")</f>
        <v>Form G4 Instagram Outros</v>
      </c>
      <c r="B25" s="11">
        <f>IFERROR(__xludf.DUMMYFUNCTION("""COMPUTED_VALUE"""),230.32258064516117)</f>
        <v>230.3225806</v>
      </c>
      <c r="C25" s="11">
        <f>IFERROR(__xludf.DUMMYFUNCTION("""COMPUTED_VALUE"""),108.0)</f>
        <v>108</v>
      </c>
      <c r="D25" s="11">
        <f>IFERROR(__xludf.DUMMYFUNCTION("""COMPUTED_VALUE"""),-122.32258064516117)</f>
        <v>-122.3225806</v>
      </c>
      <c r="E25" s="10">
        <f>IFERROR(__xludf.DUMMYFUNCTION("""COMPUTED_VALUE"""),-0.5310924369747897)</f>
        <v>-0.531092437</v>
      </c>
      <c r="F25" s="10">
        <f>IFERROR(__xludf.DUMMYFUNCTION("""COMPUTED_VALUE"""),0.8100000000000002)</f>
        <v>0.81</v>
      </c>
      <c r="G25" s="10">
        <f>IFERROR(__xludf.DUMMYFUNCTION("""COMPUTED_VALUE"""),0.8703703703703703)</f>
        <v>0.8703703704</v>
      </c>
      <c r="H25" s="35">
        <f>IFERROR(__xludf.DUMMYFUNCTION("""COMPUTED_VALUE"""),6.0370370370370185)</f>
        <v>6.037037037</v>
      </c>
      <c r="I25" s="11">
        <f>IFERROR(__xludf.DUMMYFUNCTION("""COMPUTED_VALUE"""),186.5612903225806)</f>
        <v>186.5612903</v>
      </c>
      <c r="J25" s="11">
        <f>IFERROR(__xludf.DUMMYFUNCTION("""COMPUTED_VALUE"""),94.0)</f>
        <v>94</v>
      </c>
      <c r="K25" s="11">
        <f>IFERROR(__xludf.DUMMYFUNCTION("""COMPUTED_VALUE"""),-92.56129032258059)</f>
        <v>-92.56129032</v>
      </c>
      <c r="L25" s="10">
        <f>IFERROR(__xludf.DUMMYFUNCTION("""COMPUTED_VALUE"""),-0.49614413666701235)</f>
        <v>-0.4961441367</v>
      </c>
      <c r="M25" s="10">
        <f>IFERROR(__xludf.DUMMYFUNCTION("""COMPUTED_VALUE"""),0.31091176470588244)</f>
        <v>0.3109117647</v>
      </c>
      <c r="N25" s="10">
        <f>IFERROR(__xludf.DUMMYFUNCTION("""COMPUTED_VALUE"""),0.40425531914893614)</f>
        <v>0.4042553191</v>
      </c>
      <c r="O25" s="35">
        <f>IFERROR(__xludf.DUMMYFUNCTION("""COMPUTED_VALUE"""),9.33435544430537)</f>
        <v>9.334355444</v>
      </c>
      <c r="P25" s="11">
        <f>IFERROR(__xludf.DUMMYFUNCTION("""COMPUTED_VALUE"""),58.0041)</f>
        <v>58.0041</v>
      </c>
      <c r="Q25" s="11">
        <f>IFERROR(__xludf.DUMMYFUNCTION("""COMPUTED_VALUE"""),38.0)</f>
        <v>38</v>
      </c>
      <c r="R25" s="11">
        <f>IFERROR(__xludf.DUMMYFUNCTION("""COMPUTED_VALUE"""),-20.0041)</f>
        <v>-20.0041</v>
      </c>
      <c r="S25" s="10">
        <f>IFERROR(__xludf.DUMMYFUNCTION("""COMPUTED_VALUE"""),-0.344873896845223)</f>
        <v>-0.3448738968</v>
      </c>
      <c r="T25" s="11">
        <f>IFERROR(__xludf.DUMMYFUNCTION("""COMPUTED_VALUE"""),308830.70232000004)</f>
        <v>308830.7023</v>
      </c>
      <c r="U25" s="36">
        <f>IFERROR(__xludf.DUMMYFUNCTION("""COMPUTED_VALUE"""),1655.3846823529418)</f>
        <v>1655.384682</v>
      </c>
      <c r="V25" s="36">
        <f>IFERROR(__xludf.DUMMYFUNCTION("""COMPUTED_VALUE"""),-153224.5421788235)</f>
        <v>-153224.5422</v>
      </c>
      <c r="W25" s="10">
        <f>IFERROR(__xludf.DUMMYFUNCTION("""COMPUTED_VALUE"""),-0.4961441366670123)</f>
        <v>-0.4961441367</v>
      </c>
      <c r="X25" s="9"/>
      <c r="Y25" s="9"/>
      <c r="Z25" s="9"/>
    </row>
    <row r="26">
      <c r="A26" s="9" t="str">
        <f>IFERROR(__xludf.DUMMYFUNCTION("""COMPUTED_VALUE"""),"Lucca Giovanni")</f>
        <v>Lucca Giovanni</v>
      </c>
      <c r="B26" s="9"/>
      <c r="C26" s="11">
        <f>IFERROR(__xludf.DUMMYFUNCTION("""COMPUTED_VALUE"""),38.0)</f>
        <v>38</v>
      </c>
      <c r="D26" s="9"/>
      <c r="E26" s="9"/>
      <c r="F26" s="9"/>
      <c r="G26" s="10">
        <f>IFERROR(__xludf.DUMMYFUNCTION("""COMPUTED_VALUE"""),0.9473684210526315)</f>
        <v>0.9473684211</v>
      </c>
      <c r="H26" s="9"/>
      <c r="I26" s="9"/>
      <c r="J26" s="11">
        <f>IFERROR(__xludf.DUMMYFUNCTION("""COMPUTED_VALUE"""),36.0)</f>
        <v>36</v>
      </c>
      <c r="K26" s="9"/>
      <c r="L26" s="9"/>
      <c r="M26" s="9"/>
      <c r="N26" s="10">
        <f>IFERROR(__xludf.DUMMYFUNCTION("""COMPUTED_VALUE"""),0.4722222222222222)</f>
        <v>0.4722222222</v>
      </c>
      <c r="O26" s="9"/>
      <c r="P26" s="9"/>
      <c r="Q26" s="11">
        <f>IFERROR(__xludf.DUMMYFUNCTION("""COMPUTED_VALUE"""),17.0)</f>
        <v>17</v>
      </c>
      <c r="R26" s="9"/>
      <c r="S26" s="9"/>
      <c r="T26" s="9"/>
      <c r="U26" s="36" t="str">
        <f>IFERROR(__xludf.DUMMYFUNCTION("""COMPUTED_VALUE"""),"#DIV/0!")</f>
        <v>#DIV/0!</v>
      </c>
      <c r="V26" s="9"/>
      <c r="W26" s="9"/>
      <c r="X26" s="9"/>
      <c r="Y26" s="9"/>
      <c r="Z26" s="9"/>
    </row>
    <row r="27">
      <c r="A27" s="9" t="str">
        <f>IFERROR(__xludf.DUMMYFUNCTION("""COMPUTED_VALUE"""),"Luiz Felipe")</f>
        <v>Luiz Felipe</v>
      </c>
      <c r="B27" s="9"/>
      <c r="C27" s="11">
        <f>IFERROR(__xludf.DUMMYFUNCTION("""COMPUTED_VALUE"""),51.0)</f>
        <v>51</v>
      </c>
      <c r="D27" s="9"/>
      <c r="E27" s="9"/>
      <c r="F27" s="9"/>
      <c r="G27" s="10">
        <f>IFERROR(__xludf.DUMMYFUNCTION("""COMPUTED_VALUE"""),0.7450980392156863)</f>
        <v>0.7450980392</v>
      </c>
      <c r="H27" s="9"/>
      <c r="I27" s="9"/>
      <c r="J27" s="11">
        <f>IFERROR(__xludf.DUMMYFUNCTION("""COMPUTED_VALUE"""),38.0)</f>
        <v>38</v>
      </c>
      <c r="K27" s="9"/>
      <c r="L27" s="9"/>
      <c r="M27" s="9"/>
      <c r="N27" s="10">
        <f>IFERROR(__xludf.DUMMYFUNCTION("""COMPUTED_VALUE"""),0.4473684210526316)</f>
        <v>0.4473684211</v>
      </c>
      <c r="O27" s="9"/>
      <c r="P27" s="9"/>
      <c r="Q27" s="11">
        <f>IFERROR(__xludf.DUMMYFUNCTION("""COMPUTED_VALUE"""),17.0)</f>
        <v>17</v>
      </c>
      <c r="R27" s="9"/>
      <c r="S27" s="9"/>
      <c r="T27" s="9"/>
      <c r="U27" s="36" t="str">
        <f>IFERROR(__xludf.DUMMYFUNCTION("""COMPUTED_VALUE"""),"#DIV/0!")</f>
        <v>#DIV/0!</v>
      </c>
      <c r="V27" s="9"/>
      <c r="W27" s="9"/>
      <c r="X27" s="9"/>
      <c r="Y27" s="9"/>
      <c r="Z27" s="9"/>
    </row>
    <row r="28">
      <c r="A28" s="9" t="str">
        <f>IFERROR(__xludf.DUMMYFUNCTION("""COMPUTED_VALUE"""),"Pablo Maia")</f>
        <v>Pablo Maia</v>
      </c>
      <c r="B28" s="9"/>
      <c r="C28" s="11">
        <f>IFERROR(__xludf.DUMMYFUNCTION("""COMPUTED_VALUE"""),53.0)</f>
        <v>53</v>
      </c>
      <c r="D28" s="9"/>
      <c r="E28" s="9"/>
      <c r="F28" s="9"/>
      <c r="G28" s="10">
        <f>IFERROR(__xludf.DUMMYFUNCTION("""COMPUTED_VALUE"""),0.8301886792452831)</f>
        <v>0.8301886792</v>
      </c>
      <c r="H28" s="9"/>
      <c r="I28" s="9"/>
      <c r="J28" s="11">
        <f>IFERROR(__xludf.DUMMYFUNCTION("""COMPUTED_VALUE"""),44.0)</f>
        <v>44</v>
      </c>
      <c r="K28" s="9"/>
      <c r="L28" s="9"/>
      <c r="M28" s="9"/>
      <c r="N28" s="10">
        <f>IFERROR(__xludf.DUMMYFUNCTION("""COMPUTED_VALUE"""),0.36363636363636365)</f>
        <v>0.3636363636</v>
      </c>
      <c r="O28" s="9"/>
      <c r="P28" s="9"/>
      <c r="Q28" s="11">
        <f>IFERROR(__xludf.DUMMYFUNCTION("""COMPUTED_VALUE"""),16.0)</f>
        <v>16</v>
      </c>
      <c r="R28" s="9"/>
      <c r="S28" s="9"/>
      <c r="T28" s="9"/>
      <c r="U28" s="36" t="str">
        <f>IFERROR(__xludf.DUMMYFUNCTION("""COMPUTED_VALUE"""),"#DIV/0!")</f>
        <v>#DIV/0!</v>
      </c>
      <c r="V28" s="9"/>
      <c r="W28" s="9"/>
      <c r="X28" s="9"/>
      <c r="Y28" s="9"/>
      <c r="Z28" s="9"/>
    </row>
    <row r="29">
      <c r="A29" s="9" t="str">
        <f>IFERROR(__xludf.DUMMYFUNCTION("""COMPUTED_VALUE"""),"Christian Lopes")</f>
        <v>Christian Lopes</v>
      </c>
      <c r="B29" s="9"/>
      <c r="C29" s="11">
        <f>IFERROR(__xludf.DUMMYFUNCTION("""COMPUTED_VALUE"""),50.0)</f>
        <v>50</v>
      </c>
      <c r="D29" s="9"/>
      <c r="E29" s="9"/>
      <c r="F29" s="9"/>
      <c r="G29" s="10">
        <f>IFERROR(__xludf.DUMMYFUNCTION("""COMPUTED_VALUE"""),0.84)</f>
        <v>0.84</v>
      </c>
      <c r="H29" s="9"/>
      <c r="I29" s="9"/>
      <c r="J29" s="11">
        <f>IFERROR(__xludf.DUMMYFUNCTION("""COMPUTED_VALUE"""),42.0)</f>
        <v>42</v>
      </c>
      <c r="K29" s="9"/>
      <c r="L29" s="9"/>
      <c r="M29" s="9"/>
      <c r="N29" s="10">
        <f>IFERROR(__xludf.DUMMYFUNCTION("""COMPUTED_VALUE"""),0.3333333333333333)</f>
        <v>0.3333333333</v>
      </c>
      <c r="O29" s="9"/>
      <c r="P29" s="9"/>
      <c r="Q29" s="11">
        <f>IFERROR(__xludf.DUMMYFUNCTION("""COMPUTED_VALUE"""),14.0)</f>
        <v>14</v>
      </c>
      <c r="R29" s="9"/>
      <c r="S29" s="9"/>
      <c r="T29" s="9"/>
      <c r="U29" s="36" t="str">
        <f>IFERROR(__xludf.DUMMYFUNCTION("""COMPUTED_VALUE"""),"#DIV/0!")</f>
        <v>#DIV/0!</v>
      </c>
      <c r="V29" s="9"/>
      <c r="W29" s="9"/>
      <c r="X29" s="9"/>
      <c r="Y29" s="9"/>
      <c r="Z29" s="9"/>
    </row>
    <row r="30">
      <c r="A30" s="9" t="str">
        <f>IFERROR(__xludf.DUMMYFUNCTION("""COMPUTED_VALUE"""),"Matheus Mariano")</f>
        <v>Matheus Mariano</v>
      </c>
      <c r="B30" s="9"/>
      <c r="C30" s="11">
        <f>IFERROR(__xludf.DUMMYFUNCTION("""COMPUTED_VALUE"""),40.0)</f>
        <v>40</v>
      </c>
      <c r="D30" s="9"/>
      <c r="E30" s="9"/>
      <c r="F30" s="9"/>
      <c r="G30" s="10">
        <f>IFERROR(__xludf.DUMMYFUNCTION("""COMPUTED_VALUE"""),0.8)</f>
        <v>0.8</v>
      </c>
      <c r="H30" s="9"/>
      <c r="I30" s="9"/>
      <c r="J30" s="11">
        <f>IFERROR(__xludf.DUMMYFUNCTION("""COMPUTED_VALUE"""),32.0)</f>
        <v>32</v>
      </c>
      <c r="K30" s="9"/>
      <c r="L30" s="9"/>
      <c r="M30" s="9"/>
      <c r="N30" s="10">
        <f>IFERROR(__xludf.DUMMYFUNCTION("""COMPUTED_VALUE"""),0.40625)</f>
        <v>0.40625</v>
      </c>
      <c r="O30" s="9"/>
      <c r="P30" s="9"/>
      <c r="Q30" s="11">
        <f>IFERROR(__xludf.DUMMYFUNCTION("""COMPUTED_VALUE"""),13.0)</f>
        <v>13</v>
      </c>
      <c r="R30" s="9"/>
      <c r="S30" s="9"/>
      <c r="T30" s="9"/>
      <c r="U30" s="36" t="str">
        <f>IFERROR(__xludf.DUMMYFUNCTION("""COMPUTED_VALUE"""),"#DIV/0!")</f>
        <v>#DIV/0!</v>
      </c>
      <c r="V30" s="9"/>
      <c r="W30" s="9"/>
      <c r="X30" s="9"/>
      <c r="Y30" s="9"/>
      <c r="Z30" s="9"/>
    </row>
    <row r="31">
      <c r="A31" s="9" t="str">
        <f>IFERROR(__xludf.DUMMYFUNCTION("""COMPUTED_VALUE"""),"Leonardo Alencar")</f>
        <v>Leonardo Alencar</v>
      </c>
      <c r="B31" s="9"/>
      <c r="C31" s="11">
        <f>IFERROR(__xludf.DUMMYFUNCTION("""COMPUTED_VALUE"""),47.0)</f>
        <v>47</v>
      </c>
      <c r="D31" s="9"/>
      <c r="E31" s="9"/>
      <c r="F31" s="9"/>
      <c r="G31" s="10">
        <f>IFERROR(__xludf.DUMMYFUNCTION("""COMPUTED_VALUE"""),0.8936170212765957)</f>
        <v>0.8936170213</v>
      </c>
      <c r="H31" s="9"/>
      <c r="I31" s="9"/>
      <c r="J31" s="11">
        <f>IFERROR(__xludf.DUMMYFUNCTION("""COMPUTED_VALUE"""),42.0)</f>
        <v>42</v>
      </c>
      <c r="K31" s="9"/>
      <c r="L31" s="9"/>
      <c r="M31" s="9"/>
      <c r="N31" s="10">
        <f>IFERROR(__xludf.DUMMYFUNCTION("""COMPUTED_VALUE"""),0.2857142857142857)</f>
        <v>0.2857142857</v>
      </c>
      <c r="O31" s="9"/>
      <c r="P31" s="9"/>
      <c r="Q31" s="11">
        <f>IFERROR(__xludf.DUMMYFUNCTION("""COMPUTED_VALUE"""),12.0)</f>
        <v>12</v>
      </c>
      <c r="R31" s="9"/>
      <c r="S31" s="9"/>
      <c r="T31" s="9"/>
      <c r="U31" s="36" t="str">
        <f>IFERROR(__xludf.DUMMYFUNCTION("""COMPUTED_VALUE"""),"#DIV/0!")</f>
        <v>#DIV/0!</v>
      </c>
      <c r="V31" s="9"/>
      <c r="W31" s="9"/>
      <c r="X31" s="9"/>
      <c r="Y31" s="9"/>
      <c r="Z31" s="9"/>
    </row>
    <row r="32">
      <c r="A32" s="9" t="str">
        <f>IFERROR(__xludf.DUMMYFUNCTION("""COMPUTED_VALUE"""),"Nicolas Miranda")</f>
        <v>Nicolas Miranda</v>
      </c>
      <c r="B32" s="9"/>
      <c r="C32" s="11">
        <f>IFERROR(__xludf.DUMMYFUNCTION("""COMPUTED_VALUE"""),42.0)</f>
        <v>42</v>
      </c>
      <c r="D32" s="9"/>
      <c r="E32" s="9"/>
      <c r="F32" s="9"/>
      <c r="G32" s="10">
        <f>IFERROR(__xludf.DUMMYFUNCTION("""COMPUTED_VALUE"""),0.7619047619047619)</f>
        <v>0.7619047619</v>
      </c>
      <c r="H32" s="9"/>
      <c r="I32" s="9"/>
      <c r="J32" s="11">
        <f>IFERROR(__xludf.DUMMYFUNCTION("""COMPUTED_VALUE"""),32.0)</f>
        <v>32</v>
      </c>
      <c r="K32" s="9"/>
      <c r="L32" s="9"/>
      <c r="M32" s="9"/>
      <c r="N32" s="10">
        <f>IFERROR(__xludf.DUMMYFUNCTION("""COMPUTED_VALUE"""),0.3125)</f>
        <v>0.3125</v>
      </c>
      <c r="O32" s="9"/>
      <c r="P32" s="9"/>
      <c r="Q32" s="11">
        <f>IFERROR(__xludf.DUMMYFUNCTION("""COMPUTED_VALUE"""),10.0)</f>
        <v>10</v>
      </c>
      <c r="R32" s="9"/>
      <c r="S32" s="9"/>
      <c r="T32" s="9"/>
      <c r="U32" s="36" t="str">
        <f>IFERROR(__xludf.DUMMYFUNCTION("""COMPUTED_VALUE"""),"#DIV/0!")</f>
        <v>#DIV/0!</v>
      </c>
      <c r="V32" s="9"/>
      <c r="W32" s="9"/>
      <c r="X32" s="9"/>
      <c r="Y32" s="9"/>
      <c r="Z32" s="9"/>
    </row>
    <row r="33">
      <c r="A33" s="9" t="str">
        <f>IFERROR(__xludf.DUMMYFUNCTION("""COMPUTED_VALUE"""),"Nathan Nascimento")</f>
        <v>Nathan Nascimento</v>
      </c>
      <c r="B33" s="9"/>
      <c r="C33" s="11">
        <f>IFERROR(__xludf.DUMMYFUNCTION("""COMPUTED_VALUE"""),32.0)</f>
        <v>32</v>
      </c>
      <c r="D33" s="9"/>
      <c r="E33" s="9"/>
      <c r="F33" s="9"/>
      <c r="G33" s="10">
        <f>IFERROR(__xludf.DUMMYFUNCTION("""COMPUTED_VALUE"""),0.90625)</f>
        <v>0.90625</v>
      </c>
      <c r="H33" s="9"/>
      <c r="I33" s="9"/>
      <c r="J33" s="11">
        <f>IFERROR(__xludf.DUMMYFUNCTION("""COMPUTED_VALUE"""),29.0)</f>
        <v>29</v>
      </c>
      <c r="K33" s="9"/>
      <c r="L33" s="9"/>
      <c r="M33" s="9"/>
      <c r="N33" s="10">
        <f>IFERROR(__xludf.DUMMYFUNCTION("""COMPUTED_VALUE"""),0.27586206896551724)</f>
        <v>0.275862069</v>
      </c>
      <c r="O33" s="9"/>
      <c r="P33" s="9"/>
      <c r="Q33" s="11">
        <f>IFERROR(__xludf.DUMMYFUNCTION("""COMPUTED_VALUE"""),8.0)</f>
        <v>8</v>
      </c>
      <c r="R33" s="9"/>
      <c r="S33" s="9"/>
      <c r="T33" s="9"/>
      <c r="U33" s="36" t="str">
        <f>IFERROR(__xludf.DUMMYFUNCTION("""COMPUTED_VALUE"""),"#DIV/0!")</f>
        <v>#DIV/0!</v>
      </c>
      <c r="V33" s="9"/>
      <c r="W33" s="9"/>
      <c r="X33" s="9"/>
      <c r="Y33" s="9"/>
      <c r="Z33" s="9"/>
    </row>
    <row r="34">
      <c r="A34" s="9" t="str">
        <f>IFERROR(__xludf.DUMMYFUNCTION("""COMPUTED_VALUE"""),"Bruno Xavier")</f>
        <v>Bruno Xavier</v>
      </c>
      <c r="B34" s="9"/>
      <c r="C34" s="11">
        <f>IFERROR(__xludf.DUMMYFUNCTION("""COMPUTED_VALUE"""),38.0)</f>
        <v>38</v>
      </c>
      <c r="D34" s="9"/>
      <c r="E34" s="9"/>
      <c r="F34" s="9"/>
      <c r="G34" s="10">
        <f>IFERROR(__xludf.DUMMYFUNCTION("""COMPUTED_VALUE"""),0.7631578947368421)</f>
        <v>0.7631578947</v>
      </c>
      <c r="H34" s="9"/>
      <c r="I34" s="9"/>
      <c r="J34" s="11">
        <f>IFERROR(__xludf.DUMMYFUNCTION("""COMPUTED_VALUE"""),29.0)</f>
        <v>29</v>
      </c>
      <c r="K34" s="9"/>
      <c r="L34" s="9"/>
      <c r="M34" s="9"/>
      <c r="N34" s="10">
        <f>IFERROR(__xludf.DUMMYFUNCTION("""COMPUTED_VALUE"""),0.2413793103448276)</f>
        <v>0.2413793103</v>
      </c>
      <c r="O34" s="9"/>
      <c r="P34" s="9"/>
      <c r="Q34" s="11">
        <f>IFERROR(__xludf.DUMMYFUNCTION("""COMPUTED_VALUE"""),7.0)</f>
        <v>7</v>
      </c>
      <c r="R34" s="9"/>
      <c r="S34" s="9"/>
      <c r="T34" s="9"/>
      <c r="U34" s="36" t="str">
        <f>IFERROR(__xludf.DUMMYFUNCTION("""COMPUTED_VALUE"""),"#DIV/0!")</f>
        <v>#DIV/0!</v>
      </c>
      <c r="V34" s="9"/>
      <c r="W34" s="9"/>
      <c r="X34" s="9"/>
      <c r="Y34" s="9"/>
      <c r="Z34" s="9"/>
    </row>
    <row r="35">
      <c r="A35" s="9" t="str">
        <f>IFERROR(__xludf.DUMMYFUNCTION("""COMPUTED_VALUE"""),"Jefferson Da Silva Santos")</f>
        <v>Jefferson Da Silva Santos</v>
      </c>
      <c r="B35" s="9"/>
      <c r="C35" s="11">
        <f>IFERROR(__xludf.DUMMYFUNCTION("""COMPUTED_VALUE"""),11.0)</f>
        <v>11</v>
      </c>
      <c r="D35" s="9"/>
      <c r="E35" s="9"/>
      <c r="F35" s="9"/>
      <c r="G35" s="10">
        <f>IFERROR(__xludf.DUMMYFUNCTION("""COMPUTED_VALUE"""),1.0)</f>
        <v>1</v>
      </c>
      <c r="H35" s="9"/>
      <c r="I35" s="9"/>
      <c r="J35" s="11">
        <f>IFERROR(__xludf.DUMMYFUNCTION("""COMPUTED_VALUE"""),11.0)</f>
        <v>11</v>
      </c>
      <c r="K35" s="9"/>
      <c r="L35" s="9"/>
      <c r="M35" s="9"/>
      <c r="N35" s="10">
        <f>IFERROR(__xludf.DUMMYFUNCTION("""COMPUTED_VALUE"""),0.36363636363636365)</f>
        <v>0.3636363636</v>
      </c>
      <c r="O35" s="9"/>
      <c r="P35" s="9"/>
      <c r="Q35" s="11">
        <f>IFERROR(__xludf.DUMMYFUNCTION("""COMPUTED_VALUE"""),4.0)</f>
        <v>4</v>
      </c>
      <c r="R35" s="9"/>
      <c r="S35" s="9"/>
      <c r="T35" s="9"/>
      <c r="U35" s="36" t="str">
        <f>IFERROR(__xludf.DUMMYFUNCTION("""COMPUTED_VALUE"""),"#DIV/0!")</f>
        <v>#DIV/0!</v>
      </c>
      <c r="V35" s="9"/>
      <c r="W35" s="9"/>
      <c r="X35" s="9"/>
      <c r="Y35" s="9"/>
      <c r="Z35" s="9"/>
    </row>
    <row r="36">
      <c r="A36" s="9" t="str">
        <f>IFERROR(__xludf.DUMMYFUNCTION("""COMPUTED_VALUE"""),"João Vitor Nascimento")</f>
        <v>João Vitor Nascimento</v>
      </c>
      <c r="B36" s="9"/>
      <c r="C36" s="11">
        <f>IFERROR(__xludf.DUMMYFUNCTION("""COMPUTED_VALUE"""),31.0)</f>
        <v>31</v>
      </c>
      <c r="D36" s="9"/>
      <c r="E36" s="9"/>
      <c r="F36" s="9"/>
      <c r="G36" s="10">
        <f>IFERROR(__xludf.DUMMYFUNCTION("""COMPUTED_VALUE"""),0.6774193548387096)</f>
        <v>0.6774193548</v>
      </c>
      <c r="H36" s="9"/>
      <c r="I36" s="9"/>
      <c r="J36" s="11">
        <f>IFERROR(__xludf.DUMMYFUNCTION("""COMPUTED_VALUE"""),21.0)</f>
        <v>21</v>
      </c>
      <c r="K36" s="9"/>
      <c r="L36" s="9"/>
      <c r="M36" s="9"/>
      <c r="N36" s="10">
        <f>IFERROR(__xludf.DUMMYFUNCTION("""COMPUTED_VALUE"""),0.14285714285714285)</f>
        <v>0.1428571429</v>
      </c>
      <c r="O36" s="9"/>
      <c r="P36" s="9"/>
      <c r="Q36" s="11">
        <f>IFERROR(__xludf.DUMMYFUNCTION("""COMPUTED_VALUE"""),3.0)</f>
        <v>3</v>
      </c>
      <c r="R36" s="9"/>
      <c r="S36" s="9"/>
      <c r="T36" s="9"/>
      <c r="U36" s="36" t="str">
        <f>IFERROR(__xludf.DUMMYFUNCTION("""COMPUTED_VALUE"""),"#DIV/0!")</f>
        <v>#DIV/0!</v>
      </c>
      <c r="V36" s="9"/>
      <c r="W36" s="9"/>
      <c r="X36" s="9"/>
      <c r="Y36" s="9"/>
      <c r="Z36" s="9"/>
    </row>
    <row r="37">
      <c r="A37" s="9" t="str">
        <f>IFERROR(__xludf.DUMMYFUNCTION("""COMPUTED_VALUE"""),"Ilson Costa Lima")</f>
        <v>Ilson Costa Lima</v>
      </c>
      <c r="B37" s="9"/>
      <c r="C37" s="11">
        <f>IFERROR(__xludf.DUMMYFUNCTION("""COMPUTED_VALUE"""),4.0)</f>
        <v>4</v>
      </c>
      <c r="D37" s="9"/>
      <c r="E37" s="9"/>
      <c r="F37" s="9"/>
      <c r="G37" s="10">
        <f>IFERROR(__xludf.DUMMYFUNCTION("""COMPUTED_VALUE"""),1.25)</f>
        <v>1.25</v>
      </c>
      <c r="H37" s="9"/>
      <c r="I37" s="9"/>
      <c r="J37" s="11">
        <f>IFERROR(__xludf.DUMMYFUNCTION("""COMPUTED_VALUE"""),5.0)</f>
        <v>5</v>
      </c>
      <c r="K37" s="9"/>
      <c r="L37" s="9"/>
      <c r="M37" s="9"/>
      <c r="N37" s="10">
        <f>IFERROR(__xludf.DUMMYFUNCTION("""COMPUTED_VALUE"""),0.4)</f>
        <v>0.4</v>
      </c>
      <c r="O37" s="9"/>
      <c r="P37" s="9"/>
      <c r="Q37" s="11">
        <f>IFERROR(__xludf.DUMMYFUNCTION("""COMPUTED_VALUE"""),2.0)</f>
        <v>2</v>
      </c>
      <c r="R37" s="9"/>
      <c r="S37" s="9"/>
      <c r="T37" s="9"/>
      <c r="U37" s="36" t="str">
        <f>IFERROR(__xludf.DUMMYFUNCTION("""COMPUTED_VALUE"""),"#DIV/0!")</f>
        <v>#DIV/0!</v>
      </c>
      <c r="V37" s="9"/>
      <c r="W37" s="9"/>
      <c r="X37" s="9"/>
      <c r="Y37" s="9"/>
      <c r="Z37" s="9"/>
    </row>
    <row r="38">
      <c r="A38" s="9" t="str">
        <f>IFERROR(__xludf.DUMMYFUNCTION("""COMPUTED_VALUE"""),"Form G4 Instagram Tallis")</f>
        <v>Form G4 Instagram Tallis</v>
      </c>
      <c r="B38" s="11">
        <f>IFERROR(__xludf.DUMMYFUNCTION("""COMPUTED_VALUE"""),219.35483870967732)</f>
        <v>219.3548387</v>
      </c>
      <c r="C38" s="11">
        <f>IFERROR(__xludf.DUMMYFUNCTION("""COMPUTED_VALUE"""),102.0)</f>
        <v>102</v>
      </c>
      <c r="D38" s="11">
        <f>IFERROR(__xludf.DUMMYFUNCTION("""COMPUTED_VALUE"""),-117.35483870967732)</f>
        <v>-117.3548387</v>
      </c>
      <c r="E38" s="10">
        <f>IFERROR(__xludf.DUMMYFUNCTION("""COMPUTED_VALUE"""),-0.5349999999999998)</f>
        <v>-0.535</v>
      </c>
      <c r="F38" s="10">
        <f>IFERROR(__xludf.DUMMYFUNCTION("""COMPUTED_VALUE"""),0.7454545454545455)</f>
        <v>0.7454545455</v>
      </c>
      <c r="G38" s="10">
        <f>IFERROR(__xludf.DUMMYFUNCTION("""COMPUTED_VALUE"""),0.8235294117647058)</f>
        <v>0.8235294118</v>
      </c>
      <c r="H38" s="35">
        <f>IFERROR(__xludf.DUMMYFUNCTION("""COMPUTED_VALUE"""),7.807486631016037)</f>
        <v>7.807486631</v>
      </c>
      <c r="I38" s="11">
        <f>IFERROR(__xludf.DUMMYFUNCTION("""COMPUTED_VALUE"""),163.51906158357764)</f>
        <v>163.5190616</v>
      </c>
      <c r="J38" s="11">
        <f>IFERROR(__xludf.DUMMYFUNCTION("""COMPUTED_VALUE"""),84.0)</f>
        <v>84</v>
      </c>
      <c r="K38" s="11">
        <f>IFERROR(__xludf.DUMMYFUNCTION("""COMPUTED_VALUE"""),-79.51906158357764)</f>
        <v>-79.51906158</v>
      </c>
      <c r="L38" s="10">
        <f>IFERROR(__xludf.DUMMYFUNCTION("""COMPUTED_VALUE"""),-0.48629842180774724)</f>
        <v>-0.4862984218</v>
      </c>
      <c r="M38" s="10">
        <f>IFERROR(__xludf.DUMMYFUNCTION("""COMPUTED_VALUE"""),0.45499282639885236)</f>
        <v>0.4549928264</v>
      </c>
      <c r="N38" s="10">
        <f>IFERROR(__xludf.DUMMYFUNCTION("""COMPUTED_VALUE"""),0.5357142857142857)</f>
        <v>0.5357142857</v>
      </c>
      <c r="O38" s="35">
        <f>IFERROR(__xludf.DUMMYFUNCTION("""COMPUTED_VALUE"""),8.072145931543334)</f>
        <v>8.072145932</v>
      </c>
      <c r="P38" s="11">
        <f>IFERROR(__xludf.DUMMYFUNCTION("""COMPUTED_VALUE"""),74.39999999999999)</f>
        <v>74.4</v>
      </c>
      <c r="Q38" s="11">
        <f>IFERROR(__xludf.DUMMYFUNCTION("""COMPUTED_VALUE"""),45.0)</f>
        <v>45</v>
      </c>
      <c r="R38" s="11">
        <f>IFERROR(__xludf.DUMMYFUNCTION("""COMPUTED_VALUE"""),-29.39999999999999)</f>
        <v>-29.4</v>
      </c>
      <c r="S38" s="10">
        <f>IFERROR(__xludf.DUMMYFUNCTION("""COMPUTED_VALUE"""),-0.39516129032258057)</f>
        <v>-0.3951612903</v>
      </c>
      <c r="T38" s="11">
        <f>IFERROR(__xludf.DUMMYFUNCTION("""COMPUTED_VALUE"""),297805.02952727274)</f>
        <v>297805.0295</v>
      </c>
      <c r="U38" s="36">
        <f>IFERROR(__xludf.DUMMYFUNCTION("""COMPUTED_VALUE"""),1821.225162639886)</f>
        <v>1821.225163</v>
      </c>
      <c r="V38" s="36">
        <f>IFERROR(__xludf.DUMMYFUNCTION("""COMPUTED_VALUE"""),-144822.1158655223)</f>
        <v>-144822.1159</v>
      </c>
      <c r="W38" s="10">
        <f>IFERROR(__xludf.DUMMYFUNCTION("""COMPUTED_VALUE"""),-0.48629842180774724)</f>
        <v>-0.4862984218</v>
      </c>
      <c r="X38" s="9"/>
      <c r="Y38" s="9"/>
      <c r="Z38" s="9"/>
    </row>
    <row r="39">
      <c r="A39" s="9" t="str">
        <f>IFERROR(__xludf.DUMMYFUNCTION("""COMPUTED_VALUE"""),"#REF!")</f>
        <v>#REF!</v>
      </c>
      <c r="B39" s="9"/>
      <c r="C39" s="11" t="str">
        <f>IFERROR(__xludf.DUMMYFUNCTION("""COMPUTED_VALUE"""),"#REF!")</f>
        <v>#REF!</v>
      </c>
      <c r="D39" s="9"/>
      <c r="E39" s="9"/>
      <c r="F39" s="9"/>
      <c r="G39" s="10" t="str">
        <f>IFERROR(__xludf.DUMMYFUNCTION("""COMPUTED_VALUE"""),"#REF!")</f>
        <v>#REF!</v>
      </c>
      <c r="H39" s="9"/>
      <c r="I39" s="9"/>
      <c r="J39" s="11" t="str">
        <f>IFERROR(__xludf.DUMMYFUNCTION("""COMPUTED_VALUE"""),"#REF!")</f>
        <v>#REF!</v>
      </c>
      <c r="K39" s="9"/>
      <c r="L39" s="9"/>
      <c r="M39" s="9"/>
      <c r="N39" s="10" t="str">
        <f>IFERROR(__xludf.DUMMYFUNCTION("""COMPUTED_VALUE"""),"#REF!")</f>
        <v>#REF!</v>
      </c>
      <c r="O39" s="9"/>
      <c r="P39" s="9"/>
      <c r="Q39" s="11" t="str">
        <f>IFERROR(__xludf.DUMMYFUNCTION("""COMPUTED_VALUE"""),"#REF!")</f>
        <v>#REF!</v>
      </c>
      <c r="R39" s="9"/>
      <c r="S39" s="9"/>
      <c r="T39" s="9"/>
      <c r="U39" s="36" t="str">
        <f>IFERROR(__xludf.DUMMYFUNCTION("""COMPUTED_VALUE"""),"#DIV/0!")</f>
        <v>#DIV/0!</v>
      </c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36" t="str">
        <f>IFERROR(__xludf.DUMMYFUNCTION("""COMPUTED_VALUE"""),"#DIV/0!")</f>
        <v>#DIV/0!</v>
      </c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36" t="str">
        <f>IFERROR(__xludf.DUMMYFUNCTION("""COMPUTED_VALUE"""),"#DIV/0!")</f>
        <v>#DIV/0!</v>
      </c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36" t="str">
        <f>IFERROR(__xludf.DUMMYFUNCTION("""COMPUTED_VALUE"""),"#DIV/0!")</f>
        <v>#DIV/0!</v>
      </c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36" t="str">
        <f>IFERROR(__xludf.DUMMYFUNCTION("""COMPUTED_VALUE"""),"#DIV/0!")</f>
        <v>#DIV/0!</v>
      </c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36" t="str">
        <f>IFERROR(__xludf.DUMMYFUNCTION("""COMPUTED_VALUE"""),"#DIV/0!")</f>
        <v>#DIV/0!</v>
      </c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36" t="str">
        <f>IFERROR(__xludf.DUMMYFUNCTION("""COMPUTED_VALUE"""),"#DIV/0!")</f>
        <v>#DIV/0!</v>
      </c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36" t="str">
        <f>IFERROR(__xludf.DUMMYFUNCTION("""COMPUTED_VALUE"""),"#DIV/0!")</f>
        <v>#DIV/0!</v>
      </c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36" t="str">
        <f>IFERROR(__xludf.DUMMYFUNCTION("""COMPUTED_VALUE"""),"#DIV/0!")</f>
        <v>#DIV/0!</v>
      </c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36" t="str">
        <f>IFERROR(__xludf.DUMMYFUNCTION("""COMPUTED_VALUE"""),"#DIV/0!")</f>
        <v>#DIV/0!</v>
      </c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36" t="str">
        <f>IFERROR(__xludf.DUMMYFUNCTION("""COMPUTED_VALUE"""),"#DIV/0!")</f>
        <v>#DIV/0!</v>
      </c>
      <c r="V52" s="9"/>
      <c r="W52" s="9"/>
      <c r="X52" s="9"/>
      <c r="Y52" s="9"/>
      <c r="Z52" s="9"/>
    </row>
    <row r="53">
      <c r="A53" s="9" t="str">
        <f>IFERROR(__xludf.DUMMYFUNCTION("""COMPUTED_VALUE"""),"[CM] Form G4 - Instagram")</f>
        <v>[CM] Form G4 - Instagram</v>
      </c>
      <c r="B53" s="11">
        <f>IFERROR(__xludf.DUMMYFUNCTION("""COMPUTED_VALUE"""),32.903225806451594)</f>
        <v>32.90322581</v>
      </c>
      <c r="C53" s="11">
        <f>IFERROR(__xludf.DUMMYFUNCTION("""COMPUTED_VALUE"""),29.0)</f>
        <v>29</v>
      </c>
      <c r="D53" s="11">
        <f>IFERROR(__xludf.DUMMYFUNCTION("""COMPUTED_VALUE"""),-3.9032258064515943)</f>
        <v>-3.903225806</v>
      </c>
      <c r="E53" s="10">
        <f>IFERROR(__xludf.DUMMYFUNCTION("""COMPUTED_VALUE"""),-0.11862745098039167)</f>
        <v>-0.118627451</v>
      </c>
      <c r="F53" s="10">
        <f>IFERROR(__xludf.DUMMYFUNCTION("""COMPUTED_VALUE"""),0.6460674157303372)</f>
        <v>0.6460674157</v>
      </c>
      <c r="G53" s="10">
        <f>IFERROR(__xludf.DUMMYFUNCTION("""COMPUTED_VALUE"""),0.6206896551724138)</f>
        <v>0.6206896552</v>
      </c>
      <c r="H53" s="35">
        <f>IFERROR(__xludf.DUMMYFUNCTION("""COMPUTED_VALUE"""),-2.53777605579234)</f>
        <v>-2.537776056</v>
      </c>
      <c r="I53" s="11">
        <f>IFERROR(__xludf.DUMMYFUNCTION("""COMPUTED_VALUE"""),21.257702065965923)</f>
        <v>21.25770207</v>
      </c>
      <c r="J53" s="11">
        <f>IFERROR(__xludf.DUMMYFUNCTION("""COMPUTED_VALUE"""),18.0)</f>
        <v>18</v>
      </c>
      <c r="K53" s="11">
        <f>IFERROR(__xludf.DUMMYFUNCTION("""COMPUTED_VALUE"""),-3.2577020659659226)</f>
        <v>-3.257702066</v>
      </c>
      <c r="L53" s="10">
        <f>IFERROR(__xludf.DUMMYFUNCTION("""COMPUTED_VALUE"""),-0.15324808184143193)</f>
        <v>-0.1532480818</v>
      </c>
      <c r="M53" s="10">
        <f>IFERROR(__xludf.DUMMYFUNCTION("""COMPUTED_VALUE"""),0.2768117647058824)</f>
        <v>0.2768117647</v>
      </c>
      <c r="N53" s="10">
        <f>IFERROR(__xludf.DUMMYFUNCTION("""COMPUTED_VALUE"""),0.2777777777777778)</f>
        <v>0.2777777778</v>
      </c>
      <c r="O53" s="35">
        <f>IFERROR(__xludf.DUMMYFUNCTION("""COMPUTED_VALUE"""),0.09660130718953663)</f>
        <v>0.09660130719</v>
      </c>
      <c r="P53" s="11">
        <f>IFERROR(__xludf.DUMMYFUNCTION("""COMPUTED_VALUE"""),5.88438202247191)</f>
        <v>5.884382022</v>
      </c>
      <c r="Q53" s="11">
        <f>IFERROR(__xludf.DUMMYFUNCTION("""COMPUTED_VALUE"""),5.0)</f>
        <v>5</v>
      </c>
      <c r="R53" s="11">
        <f>IFERROR(__xludf.DUMMYFUNCTION("""COMPUTED_VALUE"""),-0.8843820224719101)</f>
        <v>-0.8843820225</v>
      </c>
      <c r="S53" s="10">
        <f>IFERROR(__xludf.DUMMYFUNCTION("""COMPUTED_VALUE"""),-0.15029310114376276)</f>
        <v>-0.1502931011</v>
      </c>
      <c r="T53" s="11">
        <f>IFERROR(__xludf.DUMMYFUNCTION("""COMPUTED_VALUE"""),33035.32035361157)</f>
        <v>33035.32035</v>
      </c>
      <c r="U53" s="36">
        <f>IFERROR(__xludf.DUMMYFUNCTION("""COMPUTED_VALUE"""),1554.0400486890767)</f>
        <v>1554.040049</v>
      </c>
      <c r="V53" s="36">
        <f>IFERROR(__xludf.DUMMYFUNCTION("""COMPUTED_VALUE"""),-5062.599477208188)</f>
        <v>-5062.599477</v>
      </c>
      <c r="W53" s="10">
        <f>IFERROR(__xludf.DUMMYFUNCTION("""COMPUTED_VALUE"""),-0.15324808184143193)</f>
        <v>-0.1532480818</v>
      </c>
      <c r="X53" s="9"/>
      <c r="Y53" s="9"/>
      <c r="Z53" s="9"/>
    </row>
    <row r="54">
      <c r="A54" s="9" t="str">
        <f>IFERROR(__xludf.DUMMYFUNCTION("""COMPUTED_VALUE"""),"Christian Lopes")</f>
        <v>Christian Lopes</v>
      </c>
      <c r="B54" s="9"/>
      <c r="C54" s="11">
        <f>IFERROR(__xludf.DUMMYFUNCTION("""COMPUTED_VALUE"""),13.0)</f>
        <v>13</v>
      </c>
      <c r="D54" s="9"/>
      <c r="E54" s="9"/>
      <c r="F54" s="9"/>
      <c r="G54" s="10">
        <f>IFERROR(__xludf.DUMMYFUNCTION("""COMPUTED_VALUE"""),0.5384615384615384)</f>
        <v>0.5384615385</v>
      </c>
      <c r="H54" s="9"/>
      <c r="I54" s="9"/>
      <c r="J54" s="11">
        <f>IFERROR(__xludf.DUMMYFUNCTION("""COMPUTED_VALUE"""),7.0)</f>
        <v>7</v>
      </c>
      <c r="K54" s="9"/>
      <c r="L54" s="9"/>
      <c r="M54" s="9"/>
      <c r="N54" s="10">
        <f>IFERROR(__xludf.DUMMYFUNCTION("""COMPUTED_VALUE"""),0.42857142857142855)</f>
        <v>0.4285714286</v>
      </c>
      <c r="O54" s="9"/>
      <c r="P54" s="9"/>
      <c r="Q54" s="11">
        <f>IFERROR(__xludf.DUMMYFUNCTION("""COMPUTED_VALUE"""),3.0)</f>
        <v>3</v>
      </c>
      <c r="R54" s="9"/>
      <c r="S54" s="9"/>
      <c r="T54" s="9"/>
      <c r="U54" s="36" t="str">
        <f>IFERROR(__xludf.DUMMYFUNCTION("""COMPUTED_VALUE"""),"#DIV/0!")</f>
        <v>#DIV/0!</v>
      </c>
      <c r="V54" s="9"/>
      <c r="W54" s="9"/>
      <c r="X54" s="9"/>
      <c r="Y54" s="9"/>
      <c r="Z54" s="9"/>
    </row>
    <row r="55">
      <c r="A55" s="9" t="str">
        <f>IFERROR(__xludf.DUMMYFUNCTION("""COMPUTED_VALUE"""),"Matheus Mariano")</f>
        <v>Matheus Mariano</v>
      </c>
      <c r="B55" s="9"/>
      <c r="C55" s="11">
        <f>IFERROR(__xludf.DUMMYFUNCTION("""COMPUTED_VALUE"""),8.0)</f>
        <v>8</v>
      </c>
      <c r="D55" s="9"/>
      <c r="E55" s="9"/>
      <c r="F55" s="9"/>
      <c r="G55" s="10">
        <f>IFERROR(__xludf.DUMMYFUNCTION("""COMPUTED_VALUE"""),0.5)</f>
        <v>0.5</v>
      </c>
      <c r="H55" s="9"/>
      <c r="I55" s="9"/>
      <c r="J55" s="11">
        <f>IFERROR(__xludf.DUMMYFUNCTION("""COMPUTED_VALUE"""),4.0)</f>
        <v>4</v>
      </c>
      <c r="K55" s="9"/>
      <c r="L55" s="9"/>
      <c r="M55" s="9"/>
      <c r="N55" s="10">
        <f>IFERROR(__xludf.DUMMYFUNCTION("""COMPUTED_VALUE"""),0.5)</f>
        <v>0.5</v>
      </c>
      <c r="O55" s="9"/>
      <c r="P55" s="9"/>
      <c r="Q55" s="11">
        <f>IFERROR(__xludf.DUMMYFUNCTION("""COMPUTED_VALUE"""),2.0)</f>
        <v>2</v>
      </c>
      <c r="R55" s="9"/>
      <c r="S55" s="9"/>
      <c r="T55" s="9"/>
      <c r="U55" s="36" t="str">
        <f>IFERROR(__xludf.DUMMYFUNCTION("""COMPUTED_VALUE"""),"#DIV/0!")</f>
        <v>#DIV/0!</v>
      </c>
      <c r="V55" s="9"/>
      <c r="W55" s="9"/>
      <c r="X55" s="9"/>
      <c r="Y55" s="9"/>
      <c r="Z55" s="9"/>
    </row>
    <row r="56">
      <c r="A56" s="9" t="str">
        <f>IFERROR(__xludf.DUMMYFUNCTION("""COMPUTED_VALUE"""),"Nathan Nascimento")</f>
        <v>Nathan Nascimento</v>
      </c>
      <c r="B56" s="9"/>
      <c r="C56" s="11">
        <f>IFERROR(__xludf.DUMMYFUNCTION("""COMPUTED_VALUE"""),8.0)</f>
        <v>8</v>
      </c>
      <c r="D56" s="9"/>
      <c r="E56" s="9"/>
      <c r="F56" s="9"/>
      <c r="G56" s="10">
        <f>IFERROR(__xludf.DUMMYFUNCTION("""COMPUTED_VALUE"""),0.75)</f>
        <v>0.75</v>
      </c>
      <c r="H56" s="9"/>
      <c r="I56" s="9"/>
      <c r="J56" s="11">
        <f>IFERROR(__xludf.DUMMYFUNCTION("""COMPUTED_VALUE"""),6.0)</f>
        <v>6</v>
      </c>
      <c r="K56" s="9"/>
      <c r="L56" s="9"/>
      <c r="M56" s="9"/>
      <c r="N56" s="10">
        <f>IFERROR(__xludf.DUMMYFUNCTION("""COMPUTED_VALUE"""),0.3333333333333333)</f>
        <v>0.3333333333</v>
      </c>
      <c r="O56" s="9"/>
      <c r="P56" s="9"/>
      <c r="Q56" s="11">
        <f>IFERROR(__xludf.DUMMYFUNCTION("""COMPUTED_VALUE"""),2.0)</f>
        <v>2</v>
      </c>
      <c r="R56" s="9"/>
      <c r="S56" s="9"/>
      <c r="T56" s="9"/>
      <c r="U56" s="36" t="str">
        <f>IFERROR(__xludf.DUMMYFUNCTION("""COMPUTED_VALUE"""),"#DIV/0!")</f>
        <v>#DIV/0!</v>
      </c>
      <c r="V56" s="9"/>
      <c r="W56" s="9"/>
      <c r="X56" s="9"/>
      <c r="Y56" s="9"/>
      <c r="Z56" s="9"/>
    </row>
    <row r="57">
      <c r="A57" s="9" t="str">
        <f>IFERROR(__xludf.DUMMYFUNCTION("""COMPUTED_VALUE"""),"Pablo Maia")</f>
        <v>Pablo Maia</v>
      </c>
      <c r="B57" s="9"/>
      <c r="C57" s="11">
        <f>IFERROR(__xludf.DUMMYFUNCTION("""COMPUTED_VALUE"""),10.0)</f>
        <v>10</v>
      </c>
      <c r="D57" s="9"/>
      <c r="E57" s="9"/>
      <c r="F57" s="9"/>
      <c r="G57" s="10">
        <f>IFERROR(__xludf.DUMMYFUNCTION("""COMPUTED_VALUE"""),0.8)</f>
        <v>0.8</v>
      </c>
      <c r="H57" s="9"/>
      <c r="I57" s="9"/>
      <c r="J57" s="11">
        <f>IFERROR(__xludf.DUMMYFUNCTION("""COMPUTED_VALUE"""),8.0)</f>
        <v>8</v>
      </c>
      <c r="K57" s="9"/>
      <c r="L57" s="9"/>
      <c r="M57" s="9"/>
      <c r="N57" s="10">
        <f>IFERROR(__xludf.DUMMYFUNCTION("""COMPUTED_VALUE"""),0.25)</f>
        <v>0.25</v>
      </c>
      <c r="O57" s="9"/>
      <c r="P57" s="9"/>
      <c r="Q57" s="11">
        <f>IFERROR(__xludf.DUMMYFUNCTION("""COMPUTED_VALUE"""),2.0)</f>
        <v>2</v>
      </c>
      <c r="R57" s="9"/>
      <c r="S57" s="9"/>
      <c r="T57" s="9"/>
      <c r="U57" s="36" t="str">
        <f>IFERROR(__xludf.DUMMYFUNCTION("""COMPUTED_VALUE"""),"#DIV/0!")</f>
        <v>#DIV/0!</v>
      </c>
      <c r="V57" s="9"/>
      <c r="W57" s="9"/>
      <c r="X57" s="9"/>
      <c r="Y57" s="9"/>
      <c r="Z57" s="9"/>
    </row>
    <row r="58">
      <c r="A58" s="9" t="str">
        <f>IFERROR(__xludf.DUMMYFUNCTION("""COMPUTED_VALUE"""),"Bruno Xavier")</f>
        <v>Bruno Xavier</v>
      </c>
      <c r="B58" s="9"/>
      <c r="C58" s="11">
        <f>IFERROR(__xludf.DUMMYFUNCTION("""COMPUTED_VALUE"""),8.0)</f>
        <v>8</v>
      </c>
      <c r="D58" s="9"/>
      <c r="E58" s="9"/>
      <c r="F58" s="9"/>
      <c r="G58" s="10">
        <f>IFERROR(__xludf.DUMMYFUNCTION("""COMPUTED_VALUE"""),1.0)</f>
        <v>1</v>
      </c>
      <c r="H58" s="9"/>
      <c r="I58" s="9"/>
      <c r="J58" s="11">
        <f>IFERROR(__xludf.DUMMYFUNCTION("""COMPUTED_VALUE"""),8.0)</f>
        <v>8</v>
      </c>
      <c r="K58" s="9"/>
      <c r="L58" s="9"/>
      <c r="M58" s="9"/>
      <c r="N58" s="10">
        <f>IFERROR(__xludf.DUMMYFUNCTION("""COMPUTED_VALUE"""),0.25)</f>
        <v>0.25</v>
      </c>
      <c r="O58" s="9"/>
      <c r="P58" s="9"/>
      <c r="Q58" s="11">
        <f>IFERROR(__xludf.DUMMYFUNCTION("""COMPUTED_VALUE"""),2.0)</f>
        <v>2</v>
      </c>
      <c r="R58" s="9"/>
      <c r="S58" s="9"/>
      <c r="T58" s="9"/>
      <c r="U58" s="36" t="str">
        <f>IFERROR(__xludf.DUMMYFUNCTION("""COMPUTED_VALUE"""),"#DIV/0!")</f>
        <v>#DIV/0!</v>
      </c>
      <c r="V58" s="9"/>
      <c r="W58" s="9"/>
      <c r="X58" s="9"/>
      <c r="Y58" s="9"/>
      <c r="Z58" s="9"/>
    </row>
    <row r="59">
      <c r="A59" s="9" t="str">
        <f>IFERROR(__xludf.DUMMYFUNCTION("""COMPUTED_VALUE"""),"Gustavo Pereira")</f>
        <v>Gustavo Pereira</v>
      </c>
      <c r="B59" s="9"/>
      <c r="C59" s="11">
        <f>IFERROR(__xludf.DUMMYFUNCTION("""COMPUTED_VALUE"""),1.0)</f>
        <v>1</v>
      </c>
      <c r="D59" s="9"/>
      <c r="E59" s="9"/>
      <c r="F59" s="9"/>
      <c r="G59" s="10">
        <f>IFERROR(__xludf.DUMMYFUNCTION("""COMPUTED_VALUE"""),1.0)</f>
        <v>1</v>
      </c>
      <c r="H59" s="9"/>
      <c r="I59" s="9"/>
      <c r="J59" s="11">
        <f>IFERROR(__xludf.DUMMYFUNCTION("""COMPUTED_VALUE"""),1.0)</f>
        <v>1</v>
      </c>
      <c r="K59" s="9"/>
      <c r="L59" s="9"/>
      <c r="M59" s="9"/>
      <c r="N59" s="10">
        <f>IFERROR(__xludf.DUMMYFUNCTION("""COMPUTED_VALUE"""),1.0)</f>
        <v>1</v>
      </c>
      <c r="O59" s="9"/>
      <c r="P59" s="9"/>
      <c r="Q59" s="11">
        <f>IFERROR(__xludf.DUMMYFUNCTION("""COMPUTED_VALUE"""),1.0)</f>
        <v>1</v>
      </c>
      <c r="R59" s="9"/>
      <c r="S59" s="9"/>
      <c r="T59" s="9"/>
      <c r="U59" s="36" t="str">
        <f>IFERROR(__xludf.DUMMYFUNCTION("""COMPUTED_VALUE"""),"#DIV/0!")</f>
        <v>#DIV/0!</v>
      </c>
      <c r="V59" s="9"/>
      <c r="W59" s="9"/>
      <c r="X59" s="9"/>
      <c r="Y59" s="9"/>
      <c r="Z59" s="9"/>
    </row>
    <row r="60">
      <c r="A60" s="9" t="str">
        <f>IFERROR(__xludf.DUMMYFUNCTION("""COMPUTED_VALUE"""),"Luiz Felipe")</f>
        <v>Luiz Felipe</v>
      </c>
      <c r="B60" s="9"/>
      <c r="C60" s="11">
        <f>IFERROR(__xludf.DUMMYFUNCTION("""COMPUTED_VALUE"""),5.0)</f>
        <v>5</v>
      </c>
      <c r="D60" s="9"/>
      <c r="E60" s="9"/>
      <c r="F60" s="9"/>
      <c r="G60" s="10">
        <f>IFERROR(__xludf.DUMMYFUNCTION("""COMPUTED_VALUE"""),0.6)</f>
        <v>0.6</v>
      </c>
      <c r="H60" s="9"/>
      <c r="I60" s="9"/>
      <c r="J60" s="11">
        <f>IFERROR(__xludf.DUMMYFUNCTION("""COMPUTED_VALUE"""),3.0)</f>
        <v>3</v>
      </c>
      <c r="K60" s="9"/>
      <c r="L60" s="9"/>
      <c r="M60" s="9"/>
      <c r="N60" s="10">
        <f>IFERROR(__xludf.DUMMYFUNCTION("""COMPUTED_VALUE"""),0.3333333333333333)</f>
        <v>0.3333333333</v>
      </c>
      <c r="O60" s="9"/>
      <c r="P60" s="9"/>
      <c r="Q60" s="11">
        <f>IFERROR(__xludf.DUMMYFUNCTION("""COMPUTED_VALUE"""),1.0)</f>
        <v>1</v>
      </c>
      <c r="R60" s="9"/>
      <c r="S60" s="9"/>
      <c r="T60" s="9"/>
      <c r="U60" s="36" t="str">
        <f>IFERROR(__xludf.DUMMYFUNCTION("""COMPUTED_VALUE"""),"#DIV/0!")</f>
        <v>#DIV/0!</v>
      </c>
      <c r="V60" s="9"/>
      <c r="W60" s="9"/>
      <c r="X60" s="9"/>
      <c r="Y60" s="9"/>
      <c r="Z60" s="9"/>
    </row>
    <row r="61">
      <c r="A61" s="9" t="str">
        <f>IFERROR(__xludf.DUMMYFUNCTION("""COMPUTED_VALUE"""),"João Vitor Nascimento")</f>
        <v>João Vitor Nascimento</v>
      </c>
      <c r="B61" s="9"/>
      <c r="C61" s="11">
        <f>IFERROR(__xludf.DUMMYFUNCTION("""COMPUTED_VALUE"""),8.0)</f>
        <v>8</v>
      </c>
      <c r="D61" s="9"/>
      <c r="E61" s="9"/>
      <c r="F61" s="9"/>
      <c r="G61" s="10">
        <f>IFERROR(__xludf.DUMMYFUNCTION("""COMPUTED_VALUE"""),0.875)</f>
        <v>0.875</v>
      </c>
      <c r="H61" s="9"/>
      <c r="I61" s="9"/>
      <c r="J61" s="11">
        <f>IFERROR(__xludf.DUMMYFUNCTION("""COMPUTED_VALUE"""),7.0)</f>
        <v>7</v>
      </c>
      <c r="K61" s="9"/>
      <c r="L61" s="9"/>
      <c r="M61" s="9"/>
      <c r="N61" s="10">
        <f>IFERROR(__xludf.DUMMYFUNCTION("""COMPUTED_VALUE"""),0.14285714285714285)</f>
        <v>0.1428571429</v>
      </c>
      <c r="O61" s="9"/>
      <c r="P61" s="9"/>
      <c r="Q61" s="11">
        <f>IFERROR(__xludf.DUMMYFUNCTION("""COMPUTED_VALUE"""),1.0)</f>
        <v>1</v>
      </c>
      <c r="R61" s="9"/>
      <c r="S61" s="9"/>
      <c r="T61" s="9"/>
      <c r="U61" s="36" t="str">
        <f>IFERROR(__xludf.DUMMYFUNCTION("""COMPUTED_VALUE"""),"#DIV/0!")</f>
        <v>#DIV/0!</v>
      </c>
      <c r="V61" s="9"/>
      <c r="W61" s="9"/>
      <c r="X61" s="9"/>
      <c r="Y61" s="9"/>
      <c r="Z61" s="9"/>
    </row>
    <row r="62">
      <c r="A62" s="9" t="str">
        <f>IFERROR(__xludf.DUMMYFUNCTION("""COMPUTED_VALUE"""),"Leonardo Alencar")</f>
        <v>Leonardo Alencar</v>
      </c>
      <c r="B62" s="9"/>
      <c r="C62" s="11">
        <f>IFERROR(__xludf.DUMMYFUNCTION("""COMPUTED_VALUE"""),8.0)</f>
        <v>8</v>
      </c>
      <c r="D62" s="9"/>
      <c r="E62" s="9"/>
      <c r="F62" s="9"/>
      <c r="G62" s="10">
        <f>IFERROR(__xludf.DUMMYFUNCTION("""COMPUTED_VALUE"""),1.0)</f>
        <v>1</v>
      </c>
      <c r="H62" s="9"/>
      <c r="I62" s="9"/>
      <c r="J62" s="11">
        <f>IFERROR(__xludf.DUMMYFUNCTION("""COMPUTED_VALUE"""),8.0)</f>
        <v>8</v>
      </c>
      <c r="K62" s="9"/>
      <c r="L62" s="9"/>
      <c r="M62" s="9"/>
      <c r="N62" s="10">
        <f>IFERROR(__xludf.DUMMYFUNCTION("""COMPUTED_VALUE"""),0.125)</f>
        <v>0.125</v>
      </c>
      <c r="O62" s="9"/>
      <c r="P62" s="9"/>
      <c r="Q62" s="11">
        <f>IFERROR(__xludf.DUMMYFUNCTION("""COMPUTED_VALUE"""),1.0)</f>
        <v>1</v>
      </c>
      <c r="R62" s="9"/>
      <c r="S62" s="9"/>
      <c r="T62" s="9"/>
      <c r="U62" s="36" t="str">
        <f>IFERROR(__xludf.DUMMYFUNCTION("""COMPUTED_VALUE"""),"#DIV/0!")</f>
        <v>#DIV/0!</v>
      </c>
      <c r="V62" s="9"/>
      <c r="W62" s="9"/>
      <c r="X62" s="9"/>
      <c r="Y62" s="9"/>
      <c r="Z62" s="9"/>
    </row>
    <row r="63">
      <c r="A63" s="9" t="str">
        <f>IFERROR(__xludf.DUMMYFUNCTION("""COMPUTED_VALUE"""),"Nicolas Miranda")</f>
        <v>Nicolas Miranda</v>
      </c>
      <c r="B63" s="9"/>
      <c r="C63" s="11">
        <f>IFERROR(__xludf.DUMMYFUNCTION("""COMPUTED_VALUE"""),9.0)</f>
        <v>9</v>
      </c>
      <c r="D63" s="9"/>
      <c r="E63" s="9"/>
      <c r="F63" s="9"/>
      <c r="G63" s="10">
        <f>IFERROR(__xludf.DUMMYFUNCTION("""COMPUTED_VALUE"""),0.6666666666666666)</f>
        <v>0.6666666667</v>
      </c>
      <c r="H63" s="9"/>
      <c r="I63" s="9"/>
      <c r="J63" s="11">
        <f>IFERROR(__xludf.DUMMYFUNCTION("""COMPUTED_VALUE"""),6.0)</f>
        <v>6</v>
      </c>
      <c r="K63" s="9"/>
      <c r="L63" s="9"/>
      <c r="M63" s="9"/>
      <c r="N63" s="10">
        <f>IFERROR(__xludf.DUMMYFUNCTION("""COMPUTED_VALUE"""),0.0)</f>
        <v>0</v>
      </c>
      <c r="O63" s="9"/>
      <c r="P63" s="9"/>
      <c r="Q63" s="11">
        <f>IFERROR(__xludf.DUMMYFUNCTION("""COMPUTED_VALUE"""),0.0)</f>
        <v>0</v>
      </c>
      <c r="R63" s="9"/>
      <c r="S63" s="9"/>
      <c r="T63" s="9"/>
      <c r="U63" s="36" t="str">
        <f>IFERROR(__xludf.DUMMYFUNCTION("""COMPUTED_VALUE"""),"#DIV/0!")</f>
        <v>#DIV/0!</v>
      </c>
      <c r="V63" s="9"/>
      <c r="W63" s="9"/>
      <c r="X63" s="9"/>
      <c r="Y63" s="9"/>
      <c r="Z63" s="9"/>
    </row>
    <row r="64">
      <c r="A64" s="9" t="str">
        <f>IFERROR(__xludf.DUMMYFUNCTION("""COMPUTED_VALUE"""),"Outros")</f>
        <v>Outros</v>
      </c>
      <c r="B64" s="11">
        <f>IFERROR(__xludf.DUMMYFUNCTION("""COMPUTED_VALUE"""),1072.5354838709673)</f>
        <v>1072.535484</v>
      </c>
      <c r="C64" s="11">
        <f>IFERROR(__xludf.DUMMYFUNCTION("""COMPUTED_VALUE"""),916.0)</f>
        <v>916</v>
      </c>
      <c r="D64" s="11">
        <f>IFERROR(__xludf.DUMMYFUNCTION("""COMPUTED_VALUE"""),-156.53548387096725)</f>
        <v>-156.5354839</v>
      </c>
      <c r="E64" s="10">
        <f>IFERROR(__xludf.DUMMYFUNCTION("""COMPUTED_VALUE"""),-0.14594900236400893)</f>
        <v>-0.1459490024</v>
      </c>
      <c r="F64" s="10">
        <f>IFERROR(__xludf.DUMMYFUNCTION("""COMPUTED_VALUE"""),0.708632118125173)</f>
        <v>0.7086321181</v>
      </c>
      <c r="G64" s="10">
        <f>IFERROR(__xludf.DUMMYFUNCTION("""COMPUTED_VALUE"""),0.6921397379912664)</f>
        <v>0.692139738</v>
      </c>
      <c r="H64" s="35">
        <f>IFERROR(__xludf.DUMMYFUNCTION("""COMPUTED_VALUE"""),-1.6492380133906637)</f>
        <v>-1.649238013</v>
      </c>
      <c r="I64" s="11">
        <f>IFERROR(__xludf.DUMMYFUNCTION("""COMPUTED_VALUE"""),760.0330916998909)</f>
        <v>760.0330917</v>
      </c>
      <c r="J64" s="11">
        <f>IFERROR(__xludf.DUMMYFUNCTION("""COMPUTED_VALUE"""),634.0)</f>
        <v>634</v>
      </c>
      <c r="K64" s="11">
        <f>IFERROR(__xludf.DUMMYFUNCTION("""COMPUTED_VALUE"""),-126.03309169989086)</f>
        <v>-126.0330917</v>
      </c>
      <c r="L64" s="10">
        <f>IFERROR(__xludf.DUMMYFUNCTION("""COMPUTED_VALUE"""),-0.16582579505585093)</f>
        <v>-0.1658257951</v>
      </c>
      <c r="M64" s="10">
        <f>IFERROR(__xludf.DUMMYFUNCTION("""COMPUTED_VALUE"""),0.3616454985315925)</f>
        <v>0.3616454985</v>
      </c>
      <c r="N64" s="10" t="str">
        <f>IFERROR(__xludf.DUMMYFUNCTION("""COMPUTED_VALUE"""),"#REF!")</f>
        <v>#REF!</v>
      </c>
      <c r="O64" s="35" t="str">
        <f>IFERROR(__xludf.DUMMYFUNCTION("""COMPUTED_VALUE"""),"#REF!")</f>
        <v>#REF!</v>
      </c>
      <c r="P64" s="11">
        <f>IFERROR(__xludf.DUMMYFUNCTION("""COMPUTED_VALUE"""),274.8625463483146)</f>
        <v>274.8625463</v>
      </c>
      <c r="Q64" s="11" t="str">
        <f>IFERROR(__xludf.DUMMYFUNCTION("""COMPUTED_VALUE"""),"#REF!")</f>
        <v>#REF!</v>
      </c>
      <c r="R64" s="9" t="str">
        <f>IFERROR(__xludf.DUMMYFUNCTION("""COMPUTED_VALUE"""),"#REF!")</f>
        <v>#REF!</v>
      </c>
      <c r="S64" s="10" t="str">
        <f>IFERROR(__xludf.DUMMYFUNCTION("""COMPUTED_VALUE"""),"#REF!")</f>
        <v>#REF!</v>
      </c>
      <c r="T64" s="11">
        <f>IFERROR(__xludf.DUMMYFUNCTION("""COMPUTED_VALUE"""),1026917.9161246461)</f>
        <v>1026917.916</v>
      </c>
      <c r="U64" s="36">
        <f>IFERROR(__xludf.DUMMYFUNCTION("""COMPUTED_VALUE"""),1351.1489530381373)</f>
        <v>1351.148953</v>
      </c>
      <c r="V64" s="36">
        <f>IFERROR(__xludf.DUMMYFUNCTION("""COMPUTED_VALUE"""),-216133.72915546937)</f>
        <v>-216133.7292</v>
      </c>
      <c r="W64" s="10">
        <f>IFERROR(__xludf.DUMMYFUNCTION("""COMPUTED_VALUE"""),-0.21046835950735843)</f>
        <v>-0.2104683595</v>
      </c>
      <c r="X64" s="9"/>
      <c r="Y64" s="9"/>
      <c r="Z64" s="9"/>
    </row>
    <row r="65">
      <c r="A65" s="9" t="str">
        <f>IFERROR(__xludf.DUMMYFUNCTION("""COMPUTED_VALUE"""),"[IM] Form Facebook Ads")</f>
        <v>[IM] Form Facebook Ads</v>
      </c>
      <c r="B65" s="11">
        <f>IFERROR(__xludf.DUMMYFUNCTION("""COMPUTED_VALUE"""),261.85483870967727)</f>
        <v>261.8548387</v>
      </c>
      <c r="C65" s="11">
        <f>IFERROR(__xludf.DUMMYFUNCTION("""COMPUTED_VALUE"""),174.0)</f>
        <v>174</v>
      </c>
      <c r="D65" s="11">
        <f>IFERROR(__xludf.DUMMYFUNCTION("""COMPUTED_VALUE"""),-87.85483870967727)</f>
        <v>-87.85483871</v>
      </c>
      <c r="E65" s="10">
        <f>IFERROR(__xludf.DUMMYFUNCTION("""COMPUTED_VALUE"""),-0.33550970126270363)</f>
        <v>-0.3355097013</v>
      </c>
      <c r="F65" s="10">
        <f>IFERROR(__xludf.DUMMYFUNCTION("""COMPUTED_VALUE"""),0.8)</f>
        <v>0.8</v>
      </c>
      <c r="G65" s="10">
        <f>IFERROR(__xludf.DUMMYFUNCTION("""COMPUTED_VALUE"""),0.6436781609195402)</f>
        <v>0.6436781609</v>
      </c>
      <c r="H65" s="35">
        <f>IFERROR(__xludf.DUMMYFUNCTION("""COMPUTED_VALUE"""),-15.632183908045983)</f>
        <v>-15.63218391</v>
      </c>
      <c r="I65" s="11">
        <f>IFERROR(__xludf.DUMMYFUNCTION("""COMPUTED_VALUE"""),209.48387096774184)</f>
        <v>209.483871</v>
      </c>
      <c r="J65" s="11">
        <f>IFERROR(__xludf.DUMMYFUNCTION("""COMPUTED_VALUE"""),112.0)</f>
        <v>112</v>
      </c>
      <c r="K65" s="11">
        <f>IFERROR(__xludf.DUMMYFUNCTION("""COMPUTED_VALUE"""),-97.48387096774184)</f>
        <v>-97.48387097</v>
      </c>
      <c r="L65" s="10">
        <f>IFERROR(__xludf.DUMMYFUNCTION("""COMPUTED_VALUE"""),-0.4653526331998766)</f>
        <v>-0.4653526332</v>
      </c>
      <c r="M65" s="10">
        <f>IFERROR(__xludf.DUMMYFUNCTION("""COMPUTED_VALUE"""),0.3410000000000001)</f>
        <v>0.341</v>
      </c>
      <c r="N65" s="10">
        <f>IFERROR(__xludf.DUMMYFUNCTION("""COMPUTED_VALUE"""),0.3482142857142857)</f>
        <v>0.3482142857</v>
      </c>
      <c r="O65" s="35">
        <f>IFERROR(__xludf.DUMMYFUNCTION("""COMPUTED_VALUE"""),0.7214285714285618)</f>
        <v>0.7214285714</v>
      </c>
      <c r="P65" s="11">
        <f>IFERROR(__xludf.DUMMYFUNCTION("""COMPUTED_VALUE"""),71.43399999999998)</f>
        <v>71.434</v>
      </c>
      <c r="Q65" s="11">
        <f>IFERROR(__xludf.DUMMYFUNCTION("""COMPUTED_VALUE"""),39.0)</f>
        <v>39</v>
      </c>
      <c r="R65" s="11">
        <f>IFERROR(__xludf.DUMMYFUNCTION("""COMPUTED_VALUE"""),-32.43399999999998)</f>
        <v>-32.434</v>
      </c>
      <c r="S65" s="10">
        <f>IFERROR(__xludf.DUMMYFUNCTION("""COMPUTED_VALUE"""),-0.45404149284654355)</f>
        <v>-0.4540414928</v>
      </c>
      <c r="T65" s="11">
        <f>IFERROR(__xludf.DUMMYFUNCTION("""COMPUTED_VALUE"""),255761.77407999997)</f>
        <v>255761.7741</v>
      </c>
      <c r="U65" s="36">
        <f>IFERROR(__xludf.DUMMYFUNCTION("""COMPUTED_VALUE"""),1220.9139200000004)</f>
        <v>1220.91392</v>
      </c>
      <c r="V65" s="36">
        <f>IFERROR(__xludf.DUMMYFUNCTION("""COMPUTED_VALUE"""),-119019.41503999992)</f>
        <v>-119019.415</v>
      </c>
      <c r="W65" s="10">
        <f>IFERROR(__xludf.DUMMYFUNCTION("""COMPUTED_VALUE"""),-0.4653526331998765)</f>
        <v>-0.4653526332</v>
      </c>
      <c r="X65" s="9"/>
      <c r="Y65" s="9"/>
      <c r="Z65" s="9"/>
    </row>
    <row r="66">
      <c r="A66" s="9" t="str">
        <f>IFERROR(__xludf.DUMMYFUNCTION("""COMPUTED_VALUE"""),"Mariana Jovenato")</f>
        <v>Mariana Jovenato</v>
      </c>
      <c r="B66" s="9"/>
      <c r="C66" s="11">
        <f>IFERROR(__xludf.DUMMYFUNCTION("""COMPUTED_VALUE"""),43.0)</f>
        <v>43</v>
      </c>
      <c r="D66" s="9"/>
      <c r="E66" s="9"/>
      <c r="F66" s="9"/>
      <c r="G66" s="10">
        <f>IFERROR(__xludf.DUMMYFUNCTION("""COMPUTED_VALUE"""),0.8372093023255814)</f>
        <v>0.8372093023</v>
      </c>
      <c r="H66" s="9"/>
      <c r="I66" s="9"/>
      <c r="J66" s="11">
        <f>IFERROR(__xludf.DUMMYFUNCTION("""COMPUTED_VALUE"""),36.0)</f>
        <v>36</v>
      </c>
      <c r="K66" s="9"/>
      <c r="L66" s="9"/>
      <c r="M66" s="9"/>
      <c r="N66" s="10">
        <f>IFERROR(__xludf.DUMMYFUNCTION("""COMPUTED_VALUE"""),0.5277777777777778)</f>
        <v>0.5277777778</v>
      </c>
      <c r="O66" s="9"/>
      <c r="P66" s="9"/>
      <c r="Q66" s="11">
        <f>IFERROR(__xludf.DUMMYFUNCTION("""COMPUTED_VALUE"""),19.0)</f>
        <v>19</v>
      </c>
      <c r="R66" s="9"/>
      <c r="S66" s="9"/>
      <c r="T66" s="9"/>
      <c r="U66" s="36" t="str">
        <f>IFERROR(__xludf.DUMMYFUNCTION("""COMPUTED_VALUE"""),"#DIV/0!")</f>
        <v>#DIV/0!</v>
      </c>
      <c r="V66" s="9"/>
      <c r="W66" s="9"/>
      <c r="X66" s="9"/>
      <c r="Y66" s="9"/>
      <c r="Z66" s="9"/>
    </row>
    <row r="67">
      <c r="A67" s="9" t="str">
        <f>IFERROR(__xludf.DUMMYFUNCTION("""COMPUTED_VALUE"""),"Cauã Andrade")</f>
        <v>Cauã Andrade</v>
      </c>
      <c r="B67" s="9"/>
      <c r="C67" s="11">
        <f>IFERROR(__xludf.DUMMYFUNCTION("""COMPUTED_VALUE"""),47.0)</f>
        <v>47</v>
      </c>
      <c r="D67" s="9"/>
      <c r="E67" s="9"/>
      <c r="F67" s="9"/>
      <c r="G67" s="10">
        <f>IFERROR(__xludf.DUMMYFUNCTION("""COMPUTED_VALUE"""),0.7446808510638298)</f>
        <v>0.7446808511</v>
      </c>
      <c r="H67" s="9"/>
      <c r="I67" s="9"/>
      <c r="J67" s="11">
        <f>IFERROR(__xludf.DUMMYFUNCTION("""COMPUTED_VALUE"""),35.0)</f>
        <v>35</v>
      </c>
      <c r="K67" s="9"/>
      <c r="L67" s="9"/>
      <c r="M67" s="9"/>
      <c r="N67" s="10">
        <f>IFERROR(__xludf.DUMMYFUNCTION("""COMPUTED_VALUE"""),0.45714285714285713)</f>
        <v>0.4571428571</v>
      </c>
      <c r="O67" s="9"/>
      <c r="P67" s="9"/>
      <c r="Q67" s="11">
        <f>IFERROR(__xludf.DUMMYFUNCTION("""COMPUTED_VALUE"""),16.0)</f>
        <v>16</v>
      </c>
      <c r="R67" s="9"/>
      <c r="S67" s="9"/>
      <c r="T67" s="9"/>
      <c r="U67" s="36" t="str">
        <f>IFERROR(__xludf.DUMMYFUNCTION("""COMPUTED_VALUE"""),"#DIV/0!")</f>
        <v>#DIV/0!</v>
      </c>
      <c r="V67" s="9"/>
      <c r="W67" s="9"/>
      <c r="X67" s="9"/>
      <c r="Y67" s="9"/>
      <c r="Z67" s="9"/>
    </row>
    <row r="68">
      <c r="A68" s="9" t="str">
        <f>IFERROR(__xludf.DUMMYFUNCTION("""COMPUTED_VALUE"""),"Ilson Costa Lima")</f>
        <v>Ilson Costa Lima</v>
      </c>
      <c r="B68" s="9"/>
      <c r="C68" s="11">
        <f>IFERROR(__xludf.DUMMYFUNCTION("""COMPUTED_VALUE"""),51.0)</f>
        <v>51</v>
      </c>
      <c r="D68" s="9"/>
      <c r="E68" s="9"/>
      <c r="F68" s="9"/>
      <c r="G68" s="10">
        <f>IFERROR(__xludf.DUMMYFUNCTION("""COMPUTED_VALUE"""),0.6666666666666666)</f>
        <v>0.6666666667</v>
      </c>
      <c r="H68" s="9"/>
      <c r="I68" s="9"/>
      <c r="J68" s="11">
        <f>IFERROR(__xludf.DUMMYFUNCTION("""COMPUTED_VALUE"""),34.0)</f>
        <v>34</v>
      </c>
      <c r="K68" s="9"/>
      <c r="L68" s="9"/>
      <c r="M68" s="9"/>
      <c r="N68" s="10">
        <f>IFERROR(__xludf.DUMMYFUNCTION("""COMPUTED_VALUE"""),0.4411764705882353)</f>
        <v>0.4411764706</v>
      </c>
      <c r="O68" s="9"/>
      <c r="P68" s="9"/>
      <c r="Q68" s="11">
        <f>IFERROR(__xludf.DUMMYFUNCTION("""COMPUTED_VALUE"""),15.0)</f>
        <v>15</v>
      </c>
      <c r="R68" s="9"/>
      <c r="S68" s="9"/>
      <c r="T68" s="9"/>
      <c r="U68" s="36" t="str">
        <f>IFERROR(__xludf.DUMMYFUNCTION("""COMPUTED_VALUE"""),"#DIV/0!")</f>
        <v>#DIV/0!</v>
      </c>
      <c r="V68" s="9"/>
      <c r="W68" s="9"/>
      <c r="X68" s="9"/>
      <c r="Y68" s="9"/>
      <c r="Z68" s="9"/>
    </row>
    <row r="69">
      <c r="A69" s="9" t="str">
        <f>IFERROR(__xludf.DUMMYFUNCTION("""COMPUTED_VALUE"""),"Gustavo Pereira")</f>
        <v>Gustavo Pereira</v>
      </c>
      <c r="B69" s="9"/>
      <c r="C69" s="11">
        <f>IFERROR(__xludf.DUMMYFUNCTION("""COMPUTED_VALUE"""),44.0)</f>
        <v>44</v>
      </c>
      <c r="D69" s="9"/>
      <c r="E69" s="9"/>
      <c r="F69" s="9"/>
      <c r="G69" s="10">
        <f>IFERROR(__xludf.DUMMYFUNCTION("""COMPUTED_VALUE"""),0.6363636363636364)</f>
        <v>0.6363636364</v>
      </c>
      <c r="H69" s="9"/>
      <c r="I69" s="9"/>
      <c r="J69" s="11">
        <f>IFERROR(__xludf.DUMMYFUNCTION("""COMPUTED_VALUE"""),28.0)</f>
        <v>28</v>
      </c>
      <c r="K69" s="9"/>
      <c r="L69" s="9"/>
      <c r="M69" s="9"/>
      <c r="N69" s="10">
        <f>IFERROR(__xludf.DUMMYFUNCTION("""COMPUTED_VALUE"""),0.5)</f>
        <v>0.5</v>
      </c>
      <c r="O69" s="9"/>
      <c r="P69" s="9"/>
      <c r="Q69" s="11">
        <f>IFERROR(__xludf.DUMMYFUNCTION("""COMPUTED_VALUE"""),14.0)</f>
        <v>14</v>
      </c>
      <c r="R69" s="9"/>
      <c r="S69" s="9"/>
      <c r="T69" s="9"/>
      <c r="U69" s="36" t="str">
        <f>IFERROR(__xludf.DUMMYFUNCTION("""COMPUTED_VALUE"""),"#DIV/0!")</f>
        <v>#DIV/0!</v>
      </c>
      <c r="V69" s="9"/>
      <c r="W69" s="9"/>
      <c r="X69" s="9"/>
      <c r="Y69" s="9"/>
      <c r="Z69" s="9"/>
    </row>
    <row r="70">
      <c r="A70" s="9" t="str">
        <f>IFERROR(__xludf.DUMMYFUNCTION("""COMPUTED_VALUE"""),"Marcio Lucas")</f>
        <v>Marcio Lucas</v>
      </c>
      <c r="B70" s="9"/>
      <c r="C70" s="11">
        <f>IFERROR(__xludf.DUMMYFUNCTION("""COMPUTED_VALUE"""),51.0)</f>
        <v>51</v>
      </c>
      <c r="D70" s="9"/>
      <c r="E70" s="9"/>
      <c r="F70" s="9"/>
      <c r="G70" s="10">
        <f>IFERROR(__xludf.DUMMYFUNCTION("""COMPUTED_VALUE"""),0.803921568627451)</f>
        <v>0.8039215686</v>
      </c>
      <c r="H70" s="9"/>
      <c r="I70" s="9"/>
      <c r="J70" s="11">
        <f>IFERROR(__xludf.DUMMYFUNCTION("""COMPUTED_VALUE"""),41.0)</f>
        <v>41</v>
      </c>
      <c r="K70" s="9"/>
      <c r="L70" s="9"/>
      <c r="M70" s="9"/>
      <c r="N70" s="10">
        <f>IFERROR(__xludf.DUMMYFUNCTION("""COMPUTED_VALUE"""),0.34146341463414637)</f>
        <v>0.3414634146</v>
      </c>
      <c r="O70" s="9"/>
      <c r="P70" s="9"/>
      <c r="Q70" s="11">
        <f>IFERROR(__xludf.DUMMYFUNCTION("""COMPUTED_VALUE"""),14.0)</f>
        <v>14</v>
      </c>
      <c r="R70" s="9"/>
      <c r="S70" s="9"/>
      <c r="T70" s="9"/>
      <c r="U70" s="36" t="str">
        <f>IFERROR(__xludf.DUMMYFUNCTION("""COMPUTED_VALUE"""),"#DIV/0!")</f>
        <v>#DIV/0!</v>
      </c>
      <c r="V70" s="9"/>
      <c r="W70" s="9"/>
      <c r="X70" s="9"/>
      <c r="Y70" s="9"/>
      <c r="Z70" s="9"/>
    </row>
    <row r="71">
      <c r="A71" s="9" t="str">
        <f>IFERROR(__xludf.DUMMYFUNCTION("""COMPUTED_VALUE"""),"Thalita Lopes")</f>
        <v>Thalita Lopes</v>
      </c>
      <c r="B71" s="9"/>
      <c r="C71" s="11">
        <f>IFERROR(__xludf.DUMMYFUNCTION("""COMPUTED_VALUE"""),46.0)</f>
        <v>46</v>
      </c>
      <c r="D71" s="9"/>
      <c r="E71" s="9"/>
      <c r="F71" s="9"/>
      <c r="G71" s="10">
        <f>IFERROR(__xludf.DUMMYFUNCTION("""COMPUTED_VALUE"""),0.6304347826086957)</f>
        <v>0.6304347826</v>
      </c>
      <c r="H71" s="9"/>
      <c r="I71" s="9"/>
      <c r="J71" s="11">
        <f>IFERROR(__xludf.DUMMYFUNCTION("""COMPUTED_VALUE"""),29.0)</f>
        <v>29</v>
      </c>
      <c r="K71" s="9"/>
      <c r="L71" s="9"/>
      <c r="M71" s="9"/>
      <c r="N71" s="10">
        <f>IFERROR(__xludf.DUMMYFUNCTION("""COMPUTED_VALUE"""),0.4482758620689655)</f>
        <v>0.4482758621</v>
      </c>
      <c r="O71" s="9"/>
      <c r="P71" s="9"/>
      <c r="Q71" s="11">
        <f>IFERROR(__xludf.DUMMYFUNCTION("""COMPUTED_VALUE"""),13.0)</f>
        <v>13</v>
      </c>
      <c r="R71" s="9"/>
      <c r="S71" s="9"/>
      <c r="T71" s="9"/>
      <c r="U71" s="36" t="str">
        <f>IFERROR(__xludf.DUMMYFUNCTION("""COMPUTED_VALUE"""),"#DIV/0!")</f>
        <v>#DIV/0!</v>
      </c>
      <c r="V71" s="9"/>
      <c r="W71" s="9"/>
      <c r="X71" s="9"/>
      <c r="Y71" s="9"/>
      <c r="Z71" s="9"/>
    </row>
    <row r="72">
      <c r="A72" s="9" t="str">
        <f>IFERROR(__xludf.DUMMYFUNCTION("""COMPUTED_VALUE"""),"Mylena Reis")</f>
        <v>Mylena Reis</v>
      </c>
      <c r="B72" s="9"/>
      <c r="C72" s="11">
        <f>IFERROR(__xludf.DUMMYFUNCTION("""COMPUTED_VALUE"""),35.0)</f>
        <v>35</v>
      </c>
      <c r="D72" s="9"/>
      <c r="E72" s="9"/>
      <c r="F72" s="9"/>
      <c r="G72" s="10">
        <f>IFERROR(__xludf.DUMMYFUNCTION("""COMPUTED_VALUE"""),0.7714285714285715)</f>
        <v>0.7714285714</v>
      </c>
      <c r="H72" s="9"/>
      <c r="I72" s="9"/>
      <c r="J72" s="11">
        <f>IFERROR(__xludf.DUMMYFUNCTION("""COMPUTED_VALUE"""),27.0)</f>
        <v>27</v>
      </c>
      <c r="K72" s="9"/>
      <c r="L72" s="9"/>
      <c r="M72" s="9"/>
      <c r="N72" s="10">
        <f>IFERROR(__xludf.DUMMYFUNCTION("""COMPUTED_VALUE"""),0.4444444444444444)</f>
        <v>0.4444444444</v>
      </c>
      <c r="O72" s="9"/>
      <c r="P72" s="9"/>
      <c r="Q72" s="11">
        <f>IFERROR(__xludf.DUMMYFUNCTION("""COMPUTED_VALUE"""),12.0)</f>
        <v>12</v>
      </c>
      <c r="R72" s="9"/>
      <c r="S72" s="9"/>
      <c r="T72" s="9"/>
      <c r="U72" s="36" t="str">
        <f>IFERROR(__xludf.DUMMYFUNCTION("""COMPUTED_VALUE"""),"#DIV/0!")</f>
        <v>#DIV/0!</v>
      </c>
      <c r="V72" s="9"/>
      <c r="W72" s="9"/>
      <c r="X72" s="9"/>
      <c r="Y72" s="9"/>
      <c r="Z72" s="9"/>
    </row>
    <row r="73">
      <c r="A73" s="9" t="str">
        <f>IFERROR(__xludf.DUMMYFUNCTION("""COMPUTED_VALUE"""),"João Rios")</f>
        <v>João Rios</v>
      </c>
      <c r="B73" s="9"/>
      <c r="C73" s="11">
        <f>IFERROR(__xludf.DUMMYFUNCTION("""COMPUTED_VALUE"""),45.0)</f>
        <v>45</v>
      </c>
      <c r="D73" s="9"/>
      <c r="E73" s="9"/>
      <c r="F73" s="9"/>
      <c r="G73" s="10">
        <f>IFERROR(__xludf.DUMMYFUNCTION("""COMPUTED_VALUE"""),0.6222222222222222)</f>
        <v>0.6222222222</v>
      </c>
      <c r="H73" s="9"/>
      <c r="I73" s="9"/>
      <c r="J73" s="11">
        <f>IFERROR(__xludf.DUMMYFUNCTION("""COMPUTED_VALUE"""),28.0)</f>
        <v>28</v>
      </c>
      <c r="K73" s="9"/>
      <c r="L73" s="9"/>
      <c r="M73" s="9"/>
      <c r="N73" s="10">
        <f>IFERROR(__xludf.DUMMYFUNCTION("""COMPUTED_VALUE"""),0.42857142857142855)</f>
        <v>0.4285714286</v>
      </c>
      <c r="O73" s="9"/>
      <c r="P73" s="9"/>
      <c r="Q73" s="11">
        <f>IFERROR(__xludf.DUMMYFUNCTION("""COMPUTED_VALUE"""),12.0)</f>
        <v>12</v>
      </c>
      <c r="R73" s="9"/>
      <c r="S73" s="9"/>
      <c r="T73" s="9"/>
      <c r="U73" s="36" t="str">
        <f>IFERROR(__xludf.DUMMYFUNCTION("""COMPUTED_VALUE"""),"#DIV/0!")</f>
        <v>#DIV/0!</v>
      </c>
      <c r="V73" s="9"/>
      <c r="W73" s="9"/>
      <c r="X73" s="9"/>
      <c r="Y73" s="9"/>
      <c r="Z73" s="9"/>
    </row>
    <row r="74">
      <c r="A74" s="9" t="str">
        <f>IFERROR(__xludf.DUMMYFUNCTION("""COMPUTED_VALUE"""),"Felipe Maximo")</f>
        <v>Felipe Maximo</v>
      </c>
      <c r="B74" s="9"/>
      <c r="C74" s="11">
        <f>IFERROR(__xludf.DUMMYFUNCTION("""COMPUTED_VALUE"""),42.0)</f>
        <v>42</v>
      </c>
      <c r="D74" s="9"/>
      <c r="E74" s="9"/>
      <c r="F74" s="9"/>
      <c r="G74" s="10">
        <f>IFERROR(__xludf.DUMMYFUNCTION("""COMPUTED_VALUE"""),0.7619047619047619)</f>
        <v>0.7619047619</v>
      </c>
      <c r="H74" s="9"/>
      <c r="I74" s="9"/>
      <c r="J74" s="11">
        <f>IFERROR(__xludf.DUMMYFUNCTION("""COMPUTED_VALUE"""),32.0)</f>
        <v>32</v>
      </c>
      <c r="K74" s="9"/>
      <c r="L74" s="9"/>
      <c r="M74" s="9"/>
      <c r="N74" s="10">
        <f>IFERROR(__xludf.DUMMYFUNCTION("""COMPUTED_VALUE"""),0.375)</f>
        <v>0.375</v>
      </c>
      <c r="O74" s="9"/>
      <c r="P74" s="9"/>
      <c r="Q74" s="11">
        <f>IFERROR(__xludf.DUMMYFUNCTION("""COMPUTED_VALUE"""),12.0)</f>
        <v>12</v>
      </c>
      <c r="R74" s="9"/>
      <c r="S74" s="9"/>
      <c r="T74" s="9"/>
      <c r="U74" s="36" t="str">
        <f>IFERROR(__xludf.DUMMYFUNCTION("""COMPUTED_VALUE"""),"#DIV/0!")</f>
        <v>#DIV/0!</v>
      </c>
      <c r="V74" s="9"/>
      <c r="W74" s="9"/>
      <c r="X74" s="9"/>
      <c r="Y74" s="9"/>
      <c r="Z74" s="9"/>
    </row>
    <row r="75">
      <c r="A75" s="9" t="str">
        <f>IFERROR(__xludf.DUMMYFUNCTION("""COMPUTED_VALUE"""),"João Vitor Nascimento")</f>
        <v>João Vitor Nascimento</v>
      </c>
      <c r="B75" s="9"/>
      <c r="C75" s="11">
        <f>IFERROR(__xludf.DUMMYFUNCTION("""COMPUTED_VALUE"""),6.0)</f>
        <v>6</v>
      </c>
      <c r="D75" s="9"/>
      <c r="E75" s="9"/>
      <c r="F75" s="9"/>
      <c r="G75" s="10">
        <f>IFERROR(__xludf.DUMMYFUNCTION("""COMPUTED_VALUE"""),0.8333333333333334)</f>
        <v>0.8333333333</v>
      </c>
      <c r="H75" s="9"/>
      <c r="I75" s="9"/>
      <c r="J75" s="11">
        <f>IFERROR(__xludf.DUMMYFUNCTION("""COMPUTED_VALUE"""),5.0)</f>
        <v>5</v>
      </c>
      <c r="K75" s="9"/>
      <c r="L75" s="9"/>
      <c r="M75" s="9"/>
      <c r="N75" s="10">
        <f>IFERROR(__xludf.DUMMYFUNCTION("""COMPUTED_VALUE"""),1.2)</f>
        <v>1.2</v>
      </c>
      <c r="O75" s="9"/>
      <c r="P75" s="9"/>
      <c r="Q75" s="11">
        <f>IFERROR(__xludf.DUMMYFUNCTION("""COMPUTED_VALUE"""),6.0)</f>
        <v>6</v>
      </c>
      <c r="R75" s="9"/>
      <c r="S75" s="9"/>
      <c r="T75" s="9"/>
      <c r="U75" s="9"/>
      <c r="V75" s="9"/>
      <c r="W75" s="9"/>
      <c r="X75" s="9"/>
      <c r="Y75" s="9"/>
      <c r="Z75" s="9"/>
    </row>
    <row r="76">
      <c r="A76" s="9" t="str">
        <f>IFERROR(__xludf.DUMMYFUNCTION("""COMPUTED_VALUE"""),"Lucca Giovanni")</f>
        <v>Lucca Giovanni</v>
      </c>
      <c r="B76" s="9"/>
      <c r="C76" s="11">
        <f>IFERROR(__xludf.DUMMYFUNCTION("""COMPUTED_VALUE"""),1.0)</f>
        <v>1</v>
      </c>
      <c r="D76" s="9"/>
      <c r="E76" s="9"/>
      <c r="F76" s="9"/>
      <c r="G76" s="10">
        <f>IFERROR(__xludf.DUMMYFUNCTION("""COMPUTED_VALUE"""),1.0)</f>
        <v>1</v>
      </c>
      <c r="H76" s="9"/>
      <c r="I76" s="9"/>
      <c r="J76" s="11">
        <f>IFERROR(__xludf.DUMMYFUNCTION("""COMPUTED_VALUE"""),1.0)</f>
        <v>1</v>
      </c>
      <c r="K76" s="9"/>
      <c r="L76" s="9"/>
      <c r="M76" s="9"/>
      <c r="N76" s="10">
        <f>IFERROR(__xludf.DUMMYFUNCTION("""COMPUTED_VALUE"""),1.0)</f>
        <v>1</v>
      </c>
      <c r="O76" s="9"/>
      <c r="P76" s="9"/>
      <c r="Q76" s="11">
        <f>IFERROR(__xludf.DUMMYFUNCTION("""COMPUTED_VALUE"""),1.0)</f>
        <v>1</v>
      </c>
      <c r="R76" s="9"/>
      <c r="S76" s="9"/>
      <c r="T76" s="9"/>
      <c r="U76" s="9"/>
      <c r="V76" s="9"/>
      <c r="W76" s="9"/>
      <c r="X76" s="9"/>
      <c r="Y76" s="9"/>
      <c r="Z76" s="9"/>
    </row>
    <row r="77">
      <c r="A77" s="9" t="str">
        <f>IFERROR(__xludf.DUMMYFUNCTION("""COMPUTED_VALUE"""),"Jefferson Da Silva Santos")</f>
        <v>Jefferson Da Silva Santos</v>
      </c>
      <c r="B77" s="9"/>
      <c r="C77" s="11">
        <f>IFERROR(__xludf.DUMMYFUNCTION("""COMPUTED_VALUE"""),1.0)</f>
        <v>1</v>
      </c>
      <c r="D77" s="9"/>
      <c r="E77" s="9"/>
      <c r="F77" s="9"/>
      <c r="G77" s="10">
        <f>IFERROR(__xludf.DUMMYFUNCTION("""COMPUTED_VALUE"""),1.0)</f>
        <v>1</v>
      </c>
      <c r="H77" s="9"/>
      <c r="I77" s="9"/>
      <c r="J77" s="11">
        <f>IFERROR(__xludf.DUMMYFUNCTION("""COMPUTED_VALUE"""),1.0)</f>
        <v>1</v>
      </c>
      <c r="K77" s="9"/>
      <c r="L77" s="9"/>
      <c r="M77" s="9"/>
      <c r="N77" s="10">
        <f>IFERROR(__xludf.DUMMYFUNCTION("""COMPUTED_VALUE"""),1.0)</f>
        <v>1</v>
      </c>
      <c r="O77" s="9"/>
      <c r="P77" s="9"/>
      <c r="Q77" s="11">
        <f>IFERROR(__xludf.DUMMYFUNCTION("""COMPUTED_VALUE"""),1.0)</f>
        <v>1</v>
      </c>
      <c r="R77" s="9"/>
      <c r="S77" s="9"/>
      <c r="T77" s="9"/>
      <c r="U77" s="36" t="str">
        <f>IFERROR(__xludf.DUMMYFUNCTION("""COMPUTED_VALUE"""),"#DIV/0!")</f>
        <v>#DIV/0!</v>
      </c>
      <c r="V77" s="9"/>
      <c r="W77" s="9"/>
      <c r="X77" s="9"/>
      <c r="Y77" s="9"/>
      <c r="Z77" s="9"/>
    </row>
    <row r="78">
      <c r="A78" s="9" t="str">
        <f>IFERROR(__xludf.DUMMYFUNCTION("""COMPUTED_VALUE"""),"Form G4 Facebook")</f>
        <v>Form G4 Facebook</v>
      </c>
      <c r="B78" s="11">
        <f>IFERROR(__xludf.DUMMYFUNCTION("""COMPUTED_VALUE"""),191.93548387096766)</f>
        <v>191.9354839</v>
      </c>
      <c r="C78" s="11">
        <f>IFERROR(__xludf.DUMMYFUNCTION("""COMPUTED_VALUE"""),274.0)</f>
        <v>274</v>
      </c>
      <c r="D78" s="11">
        <f>IFERROR(__xludf.DUMMYFUNCTION("""COMPUTED_VALUE"""),82.06451612903234)</f>
        <v>82.06451613</v>
      </c>
      <c r="E78" s="10">
        <f>IFERROR(__xludf.DUMMYFUNCTION("""COMPUTED_VALUE"""),0.42756302521008466)</f>
        <v>0.4275630252</v>
      </c>
      <c r="F78" s="10">
        <f>IFERROR(__xludf.DUMMYFUNCTION("""COMPUTED_VALUE"""),0.73)</f>
        <v>0.73</v>
      </c>
      <c r="G78" s="10">
        <f>IFERROR(__xludf.DUMMYFUNCTION("""COMPUTED_VALUE"""),0.7445255474452555)</f>
        <v>0.7445255474</v>
      </c>
      <c r="H78" s="35">
        <f>IFERROR(__xludf.DUMMYFUNCTION("""COMPUTED_VALUE"""),1.4525547445255471)</f>
        <v>1.452554745</v>
      </c>
      <c r="I78" s="11">
        <f>IFERROR(__xludf.DUMMYFUNCTION("""COMPUTED_VALUE"""),140.11290322580638)</f>
        <v>140.1129032</v>
      </c>
      <c r="J78" s="11">
        <f>IFERROR(__xludf.DUMMYFUNCTION("""COMPUTED_VALUE"""),204.0)</f>
        <v>204</v>
      </c>
      <c r="K78" s="11">
        <f>IFERROR(__xludf.DUMMYFUNCTION("""COMPUTED_VALUE"""),63.88709677419362)</f>
        <v>63.88709677</v>
      </c>
      <c r="L78" s="10">
        <f>IFERROR(__xludf.DUMMYFUNCTION("""COMPUTED_VALUE"""),0.4559686888454019)</f>
        <v>0.4559686888</v>
      </c>
      <c r="M78" s="10">
        <f>IFERROR(__xludf.DUMMYFUNCTION("""COMPUTED_VALUE"""),0.2650630252100842)</f>
        <v>0.2650630252</v>
      </c>
      <c r="N78" s="10">
        <f>IFERROR(__xludf.DUMMYFUNCTION("""COMPUTED_VALUE"""),0.29411764705882354)</f>
        <v>0.2941176471</v>
      </c>
      <c r="O78" s="35">
        <f>IFERROR(__xludf.DUMMYFUNCTION("""COMPUTED_VALUE"""),2.9054621848739357)</f>
        <v>2.905462185</v>
      </c>
      <c r="P78" s="11">
        <f>IFERROR(__xludf.DUMMYFUNCTION("""COMPUTED_VALUE"""),37.13875)</f>
        <v>37.13875</v>
      </c>
      <c r="Q78" s="11">
        <f>IFERROR(__xludf.DUMMYFUNCTION("""COMPUTED_VALUE"""),60.0)</f>
        <v>60</v>
      </c>
      <c r="R78" s="11">
        <f>IFERROR(__xludf.DUMMYFUNCTION("""COMPUTED_VALUE"""),22.86125)</f>
        <v>22.86125</v>
      </c>
      <c r="S78" s="10">
        <f>IFERROR(__xludf.DUMMYFUNCTION("""COMPUTED_VALUE"""),0.6155632593988758)</f>
        <v>0.6155632594</v>
      </c>
      <c r="T78" s="11">
        <f>IFERROR(__xludf.DUMMYFUNCTION("""COMPUTED_VALUE"""),101708.06232153845)</f>
        <v>101708.0623</v>
      </c>
      <c r="U78" s="36">
        <f>IFERROR(__xludf.DUMMYFUNCTION("""COMPUTED_VALUE"""),725.900755604396)</f>
        <v>725.9007556</v>
      </c>
      <c r="V78" s="36">
        <f>IFERROR(__xludf.DUMMYFUNCTION("""COMPUTED_VALUE"""),46375.691821758315)</f>
        <v>46375.69182</v>
      </c>
      <c r="W78" s="10">
        <f>IFERROR(__xludf.DUMMYFUNCTION("""COMPUTED_VALUE"""),0.4559686888454019)</f>
        <v>0.4559686888</v>
      </c>
      <c r="X78" s="9"/>
      <c r="Y78" s="9"/>
      <c r="Z78" s="9"/>
    </row>
    <row r="79">
      <c r="A79" s="9" t="str">
        <f>IFERROR(__xludf.DUMMYFUNCTION("""COMPUTED_VALUE"""),"Thalita Lopes")</f>
        <v>Thalita Lopes</v>
      </c>
      <c r="B79" s="9"/>
      <c r="C79" s="11">
        <f>IFERROR(__xludf.DUMMYFUNCTION("""COMPUTED_VALUE"""),29.0)</f>
        <v>29</v>
      </c>
      <c r="D79" s="9"/>
      <c r="E79" s="9"/>
      <c r="F79" s="9"/>
      <c r="G79" s="10">
        <f>IFERROR(__xludf.DUMMYFUNCTION("""COMPUTED_VALUE"""),0.7241379310344828)</f>
        <v>0.724137931</v>
      </c>
      <c r="H79" s="9"/>
      <c r="I79" s="9"/>
      <c r="J79" s="11">
        <f>IFERROR(__xludf.DUMMYFUNCTION("""COMPUTED_VALUE"""),21.0)</f>
        <v>21</v>
      </c>
      <c r="K79" s="9"/>
      <c r="L79" s="9"/>
      <c r="M79" s="9"/>
      <c r="N79" s="10">
        <f>IFERROR(__xludf.DUMMYFUNCTION("""COMPUTED_VALUE"""),0.47619047619047616)</f>
        <v>0.4761904762</v>
      </c>
      <c r="O79" s="9"/>
      <c r="P79" s="9"/>
      <c r="Q79" s="11">
        <f>IFERROR(__xludf.DUMMYFUNCTION("""COMPUTED_VALUE"""),10.0)</f>
        <v>10</v>
      </c>
      <c r="R79" s="9"/>
      <c r="S79" s="9"/>
      <c r="T79" s="9"/>
      <c r="U79" s="36" t="str">
        <f>IFERROR(__xludf.DUMMYFUNCTION("""COMPUTED_VALUE"""),"#DIV/0!")</f>
        <v>#DIV/0!</v>
      </c>
      <c r="V79" s="9"/>
      <c r="W79" s="9"/>
      <c r="X79" s="9"/>
      <c r="Y79" s="9"/>
      <c r="Z79" s="9"/>
    </row>
    <row r="80">
      <c r="A80" s="9" t="str">
        <f>IFERROR(__xludf.DUMMYFUNCTION("""COMPUTED_VALUE"""),"Mariana Jovenato")</f>
        <v>Mariana Jovenato</v>
      </c>
      <c r="B80" s="9"/>
      <c r="C80" s="11">
        <f>IFERROR(__xludf.DUMMYFUNCTION("""COMPUTED_VALUE"""),31.0)</f>
        <v>31</v>
      </c>
      <c r="D80" s="9"/>
      <c r="E80" s="9"/>
      <c r="F80" s="9"/>
      <c r="G80" s="10">
        <f>IFERROR(__xludf.DUMMYFUNCTION("""COMPUTED_VALUE"""),0.7096774193548387)</f>
        <v>0.7096774194</v>
      </c>
      <c r="H80" s="9"/>
      <c r="I80" s="9"/>
      <c r="J80" s="11">
        <f>IFERROR(__xludf.DUMMYFUNCTION("""COMPUTED_VALUE"""),22.0)</f>
        <v>22</v>
      </c>
      <c r="K80" s="9"/>
      <c r="L80" s="9"/>
      <c r="M80" s="9"/>
      <c r="N80" s="10">
        <f>IFERROR(__xludf.DUMMYFUNCTION("""COMPUTED_VALUE"""),0.45454545454545453)</f>
        <v>0.4545454545</v>
      </c>
      <c r="O80" s="9"/>
      <c r="P80" s="9"/>
      <c r="Q80" s="11">
        <f>IFERROR(__xludf.DUMMYFUNCTION("""COMPUTED_VALUE"""),10.0)</f>
        <v>10</v>
      </c>
      <c r="R80" s="9"/>
      <c r="S80" s="9"/>
      <c r="T80" s="9"/>
      <c r="U80" s="36" t="str">
        <f>IFERROR(__xludf.DUMMYFUNCTION("""COMPUTED_VALUE"""),"#DIV/0!")</f>
        <v>#DIV/0!</v>
      </c>
      <c r="V80" s="9"/>
      <c r="W80" s="9"/>
      <c r="X80" s="9"/>
      <c r="Y80" s="9"/>
      <c r="Z80" s="9"/>
    </row>
    <row r="81">
      <c r="A81" s="9" t="str">
        <f>IFERROR(__xludf.DUMMYFUNCTION("""COMPUTED_VALUE"""),"Gustavo Pereira")</f>
        <v>Gustavo Pereira</v>
      </c>
      <c r="B81" s="9"/>
      <c r="C81" s="11">
        <f>IFERROR(__xludf.DUMMYFUNCTION("""COMPUTED_VALUE"""),31.0)</f>
        <v>31</v>
      </c>
      <c r="D81" s="9"/>
      <c r="E81" s="9"/>
      <c r="F81" s="9"/>
      <c r="G81" s="10">
        <f>IFERROR(__xludf.DUMMYFUNCTION("""COMPUTED_VALUE"""),0.7741935483870968)</f>
        <v>0.7741935484</v>
      </c>
      <c r="H81" s="9"/>
      <c r="I81" s="9"/>
      <c r="J81" s="11">
        <f>IFERROR(__xludf.DUMMYFUNCTION("""COMPUTED_VALUE"""),24.0)</f>
        <v>24</v>
      </c>
      <c r="K81" s="9"/>
      <c r="L81" s="9"/>
      <c r="M81" s="9"/>
      <c r="N81" s="10">
        <f>IFERROR(__xludf.DUMMYFUNCTION("""COMPUTED_VALUE"""),0.3333333333333333)</f>
        <v>0.3333333333</v>
      </c>
      <c r="O81" s="9"/>
      <c r="P81" s="9"/>
      <c r="Q81" s="11">
        <f>IFERROR(__xludf.DUMMYFUNCTION("""COMPUTED_VALUE"""),8.0)</f>
        <v>8</v>
      </c>
      <c r="R81" s="9"/>
      <c r="S81" s="9"/>
      <c r="T81" s="9"/>
      <c r="U81" s="36" t="str">
        <f>IFERROR(__xludf.DUMMYFUNCTION("""COMPUTED_VALUE"""),"#DIV/0!")</f>
        <v>#DIV/0!</v>
      </c>
      <c r="V81" s="9"/>
      <c r="W81" s="9"/>
      <c r="X81" s="9"/>
      <c r="Y81" s="9"/>
      <c r="Z81" s="9"/>
    </row>
    <row r="82">
      <c r="A82" s="9" t="str">
        <f>IFERROR(__xludf.DUMMYFUNCTION("""COMPUTED_VALUE"""),"Marcio Lucas")</f>
        <v>Marcio Lucas</v>
      </c>
      <c r="B82" s="9"/>
      <c r="C82" s="11">
        <f>IFERROR(__xludf.DUMMYFUNCTION("""COMPUTED_VALUE"""),28.0)</f>
        <v>28</v>
      </c>
      <c r="D82" s="9"/>
      <c r="E82" s="9"/>
      <c r="F82" s="9"/>
      <c r="G82" s="10">
        <f>IFERROR(__xludf.DUMMYFUNCTION("""COMPUTED_VALUE"""),0.7142857142857143)</f>
        <v>0.7142857143</v>
      </c>
      <c r="H82" s="9"/>
      <c r="I82" s="9"/>
      <c r="J82" s="11">
        <f>IFERROR(__xludf.DUMMYFUNCTION("""COMPUTED_VALUE"""),20.0)</f>
        <v>20</v>
      </c>
      <c r="K82" s="9"/>
      <c r="L82" s="9"/>
      <c r="M82" s="9"/>
      <c r="N82" s="10">
        <f>IFERROR(__xludf.DUMMYFUNCTION("""COMPUTED_VALUE"""),0.25)</f>
        <v>0.25</v>
      </c>
      <c r="O82" s="9"/>
      <c r="P82" s="9"/>
      <c r="Q82" s="11">
        <f>IFERROR(__xludf.DUMMYFUNCTION("""COMPUTED_VALUE"""),5.0)</f>
        <v>5</v>
      </c>
      <c r="R82" s="9"/>
      <c r="S82" s="9"/>
      <c r="T82" s="9"/>
      <c r="U82" s="36" t="str">
        <f>IFERROR(__xludf.DUMMYFUNCTION("""COMPUTED_VALUE"""),"#DIV/0!")</f>
        <v>#DIV/0!</v>
      </c>
      <c r="V82" s="9"/>
      <c r="W82" s="9"/>
      <c r="X82" s="9"/>
      <c r="Y82" s="9"/>
      <c r="Z82" s="9"/>
    </row>
    <row r="83">
      <c r="A83" s="9" t="str">
        <f>IFERROR(__xludf.DUMMYFUNCTION("""COMPUTED_VALUE"""),"Cauã Andrade")</f>
        <v>Cauã Andrade</v>
      </c>
      <c r="B83" s="9"/>
      <c r="C83" s="11">
        <f>IFERROR(__xludf.DUMMYFUNCTION("""COMPUTED_VALUE"""),28.0)</f>
        <v>28</v>
      </c>
      <c r="D83" s="9"/>
      <c r="E83" s="9"/>
      <c r="F83" s="9"/>
      <c r="G83" s="10">
        <f>IFERROR(__xludf.DUMMYFUNCTION("""COMPUTED_VALUE"""),0.8214285714285714)</f>
        <v>0.8214285714</v>
      </c>
      <c r="H83" s="9"/>
      <c r="I83" s="9"/>
      <c r="J83" s="11">
        <f>IFERROR(__xludf.DUMMYFUNCTION("""COMPUTED_VALUE"""),23.0)</f>
        <v>23</v>
      </c>
      <c r="K83" s="9"/>
      <c r="L83" s="9"/>
      <c r="M83" s="9"/>
      <c r="N83" s="10">
        <f>IFERROR(__xludf.DUMMYFUNCTION("""COMPUTED_VALUE"""),0.21739130434782608)</f>
        <v>0.2173913043</v>
      </c>
      <c r="O83" s="9"/>
      <c r="P83" s="9"/>
      <c r="Q83" s="11">
        <f>IFERROR(__xludf.DUMMYFUNCTION("""COMPUTED_VALUE"""),5.0)</f>
        <v>5</v>
      </c>
      <c r="R83" s="9"/>
      <c r="S83" s="9"/>
      <c r="T83" s="9"/>
      <c r="U83" s="36" t="str">
        <f>IFERROR(__xludf.DUMMYFUNCTION("""COMPUTED_VALUE"""),"#DIV/0!")</f>
        <v>#DIV/0!</v>
      </c>
      <c r="V83" s="9"/>
      <c r="W83" s="9"/>
      <c r="X83" s="9"/>
      <c r="Y83" s="9"/>
      <c r="Z83" s="9"/>
    </row>
    <row r="84">
      <c r="A84" s="9" t="str">
        <f>IFERROR(__xludf.DUMMYFUNCTION("""COMPUTED_VALUE"""),"João Rios")</f>
        <v>João Rios</v>
      </c>
      <c r="B84" s="9"/>
      <c r="C84" s="11">
        <f>IFERROR(__xludf.DUMMYFUNCTION("""COMPUTED_VALUE"""),24.0)</f>
        <v>24</v>
      </c>
      <c r="D84" s="9"/>
      <c r="E84" s="9"/>
      <c r="F84" s="9"/>
      <c r="G84" s="10">
        <f>IFERROR(__xludf.DUMMYFUNCTION("""COMPUTED_VALUE"""),0.625)</f>
        <v>0.625</v>
      </c>
      <c r="H84" s="9"/>
      <c r="I84" s="9"/>
      <c r="J84" s="11">
        <f>IFERROR(__xludf.DUMMYFUNCTION("""COMPUTED_VALUE"""),15.0)</f>
        <v>15</v>
      </c>
      <c r="K84" s="9"/>
      <c r="L84" s="9"/>
      <c r="M84" s="9"/>
      <c r="N84" s="10">
        <f>IFERROR(__xludf.DUMMYFUNCTION("""COMPUTED_VALUE"""),0.26666666666666666)</f>
        <v>0.2666666667</v>
      </c>
      <c r="O84" s="9"/>
      <c r="P84" s="9"/>
      <c r="Q84" s="11">
        <f>IFERROR(__xludf.DUMMYFUNCTION("""COMPUTED_VALUE"""),4.0)</f>
        <v>4</v>
      </c>
      <c r="R84" s="9"/>
      <c r="S84" s="9"/>
      <c r="T84" s="9"/>
      <c r="U84" s="36" t="str">
        <f>IFERROR(__xludf.DUMMYFUNCTION("""COMPUTED_VALUE"""),"#DIV/0!")</f>
        <v>#DIV/0!</v>
      </c>
      <c r="V84" s="9"/>
      <c r="W84" s="9"/>
      <c r="X84" s="9"/>
      <c r="Y84" s="9"/>
      <c r="Z84" s="9"/>
    </row>
    <row r="85">
      <c r="A85" s="9" t="str">
        <f>IFERROR(__xludf.DUMMYFUNCTION("""COMPUTED_VALUE"""),"Ilson Costa Lima")</f>
        <v>Ilson Costa Lima</v>
      </c>
      <c r="B85" s="9"/>
      <c r="C85" s="11">
        <f>IFERROR(__xludf.DUMMYFUNCTION("""COMPUTED_VALUE"""),33.0)</f>
        <v>33</v>
      </c>
      <c r="D85" s="9"/>
      <c r="E85" s="9"/>
      <c r="F85" s="9"/>
      <c r="G85" s="10">
        <f>IFERROR(__xludf.DUMMYFUNCTION("""COMPUTED_VALUE"""),0.6363636363636364)</f>
        <v>0.6363636364</v>
      </c>
      <c r="H85" s="9"/>
      <c r="I85" s="9"/>
      <c r="J85" s="11">
        <f>IFERROR(__xludf.DUMMYFUNCTION("""COMPUTED_VALUE"""),21.0)</f>
        <v>21</v>
      </c>
      <c r="K85" s="9"/>
      <c r="L85" s="9"/>
      <c r="M85" s="9"/>
      <c r="N85" s="10">
        <f>IFERROR(__xludf.DUMMYFUNCTION("""COMPUTED_VALUE"""),0.14285714285714285)</f>
        <v>0.1428571429</v>
      </c>
      <c r="O85" s="9"/>
      <c r="P85" s="9"/>
      <c r="Q85" s="11">
        <f>IFERROR(__xludf.DUMMYFUNCTION("""COMPUTED_VALUE"""),3.0)</f>
        <v>3</v>
      </c>
      <c r="R85" s="9"/>
      <c r="S85" s="9"/>
      <c r="T85" s="9"/>
      <c r="U85" s="36" t="str">
        <f>IFERROR(__xludf.DUMMYFUNCTION("""COMPUTED_VALUE"""),"#DIV/0!")</f>
        <v>#DIV/0!</v>
      </c>
      <c r="V85" s="9"/>
      <c r="W85" s="9"/>
      <c r="X85" s="9"/>
      <c r="Y85" s="9"/>
      <c r="Z85" s="9"/>
    </row>
    <row r="86">
      <c r="A86" s="9" t="str">
        <f>IFERROR(__xludf.DUMMYFUNCTION("""COMPUTED_VALUE"""),"Felipe Maximo")</f>
        <v>Felipe Maximo</v>
      </c>
      <c r="B86" s="9"/>
      <c r="C86" s="11">
        <f>IFERROR(__xludf.DUMMYFUNCTION("""COMPUTED_VALUE"""),23.0)</f>
        <v>23</v>
      </c>
      <c r="D86" s="9"/>
      <c r="E86" s="9"/>
      <c r="F86" s="9"/>
      <c r="G86" s="10">
        <f>IFERROR(__xludf.DUMMYFUNCTION("""COMPUTED_VALUE"""),0.6956521739130435)</f>
        <v>0.6956521739</v>
      </c>
      <c r="H86" s="9"/>
      <c r="I86" s="9"/>
      <c r="J86" s="11">
        <f>IFERROR(__xludf.DUMMYFUNCTION("""COMPUTED_VALUE"""),16.0)</f>
        <v>16</v>
      </c>
      <c r="K86" s="9"/>
      <c r="L86" s="9"/>
      <c r="M86" s="9"/>
      <c r="N86" s="10">
        <f>IFERROR(__xludf.DUMMYFUNCTION("""COMPUTED_VALUE"""),0.125)</f>
        <v>0.125</v>
      </c>
      <c r="O86" s="9"/>
      <c r="P86" s="9"/>
      <c r="Q86" s="11">
        <f>IFERROR(__xludf.DUMMYFUNCTION("""COMPUTED_VALUE"""),2.0)</f>
        <v>2</v>
      </c>
      <c r="R86" s="9"/>
      <c r="S86" s="9"/>
      <c r="T86" s="9"/>
      <c r="U86" s="36" t="str">
        <f>IFERROR(__xludf.DUMMYFUNCTION("""COMPUTED_VALUE"""),"#DIV/0!")</f>
        <v>#DIV/0!</v>
      </c>
      <c r="V86" s="9"/>
      <c r="W86" s="9"/>
      <c r="X86" s="9"/>
      <c r="Y86" s="9"/>
      <c r="Z86" s="9"/>
    </row>
    <row r="87">
      <c r="A87" s="9" t="str">
        <f>IFERROR(__xludf.DUMMYFUNCTION("""COMPUTED_VALUE"""),"João Vitor Nascimento")</f>
        <v>João Vitor Nascimento</v>
      </c>
      <c r="B87" s="9"/>
      <c r="C87" s="11">
        <f>IFERROR(__xludf.DUMMYFUNCTION("""COMPUTED_VALUE"""),1.0)</f>
        <v>1</v>
      </c>
      <c r="D87" s="9"/>
      <c r="E87" s="9"/>
      <c r="F87" s="9"/>
      <c r="G87" s="10">
        <f>IFERROR(__xludf.DUMMYFUNCTION("""COMPUTED_VALUE"""),1.0)</f>
        <v>1</v>
      </c>
      <c r="H87" s="9"/>
      <c r="I87" s="9"/>
      <c r="J87" s="11">
        <f>IFERROR(__xludf.DUMMYFUNCTION("""COMPUTED_VALUE"""),1.0)</f>
        <v>1</v>
      </c>
      <c r="K87" s="9"/>
      <c r="L87" s="9"/>
      <c r="M87" s="9"/>
      <c r="N87" s="10">
        <f>IFERROR(__xludf.DUMMYFUNCTION("""COMPUTED_VALUE"""),1.0)</f>
        <v>1</v>
      </c>
      <c r="O87" s="9"/>
      <c r="P87" s="9"/>
      <c r="Q87" s="11">
        <f>IFERROR(__xludf.DUMMYFUNCTION("""COMPUTED_VALUE"""),1.0)</f>
        <v>1</v>
      </c>
      <c r="R87" s="9"/>
      <c r="S87" s="9"/>
      <c r="T87" s="9"/>
      <c r="U87" s="36" t="str">
        <f>IFERROR(__xludf.DUMMYFUNCTION("""COMPUTED_VALUE"""),"#DIV/0!")</f>
        <v>#DIV/0!</v>
      </c>
      <c r="V87" s="9"/>
      <c r="W87" s="9"/>
      <c r="X87" s="9"/>
      <c r="Y87" s="9"/>
      <c r="Z87" s="9"/>
    </row>
    <row r="88">
      <c r="A88" s="9" t="str">
        <f>IFERROR(__xludf.DUMMYFUNCTION("""COMPUTED_VALUE"""),"Mylena Reis")</f>
        <v>Mylena Reis</v>
      </c>
      <c r="B88" s="9"/>
      <c r="C88" s="11">
        <f>IFERROR(__xludf.DUMMYFUNCTION("""COMPUTED_VALUE"""),7.0)</f>
        <v>7</v>
      </c>
      <c r="D88" s="9"/>
      <c r="E88" s="9"/>
      <c r="F88" s="9"/>
      <c r="G88" s="10">
        <f>IFERROR(__xludf.DUMMYFUNCTION("""COMPUTED_VALUE"""),0.8571428571428571)</f>
        <v>0.8571428571</v>
      </c>
      <c r="H88" s="9"/>
      <c r="I88" s="9"/>
      <c r="J88" s="11">
        <f>IFERROR(__xludf.DUMMYFUNCTION("""COMPUTED_VALUE"""),6.0)</f>
        <v>6</v>
      </c>
      <c r="K88" s="9"/>
      <c r="L88" s="9"/>
      <c r="M88" s="9"/>
      <c r="N88" s="10">
        <f>IFERROR(__xludf.DUMMYFUNCTION("""COMPUTED_VALUE"""),0.16666666666666666)</f>
        <v>0.1666666667</v>
      </c>
      <c r="O88" s="9"/>
      <c r="P88" s="9"/>
      <c r="Q88" s="11">
        <f>IFERROR(__xludf.DUMMYFUNCTION("""COMPUTED_VALUE"""),1.0)</f>
        <v>1</v>
      </c>
      <c r="R88" s="9"/>
      <c r="S88" s="9"/>
      <c r="T88" s="9"/>
      <c r="U88" s="36" t="str">
        <f>IFERROR(__xludf.DUMMYFUNCTION("""COMPUTED_VALUE"""),"#DIV/0!")</f>
        <v>#DIV/0!</v>
      </c>
      <c r="V88" s="9"/>
      <c r="W88" s="9"/>
      <c r="X88" s="9"/>
      <c r="Y88" s="9"/>
      <c r="Z88" s="9"/>
    </row>
    <row r="89">
      <c r="A89" s="9" t="str">
        <f>IFERROR(__xludf.DUMMYFUNCTION("""COMPUTED_VALUE"""),"Nicolas Miranda")</f>
        <v>Nicolas Miranda</v>
      </c>
      <c r="B89" s="9"/>
      <c r="C89" s="11">
        <f>IFERROR(__xludf.DUMMYFUNCTION("""COMPUTED_VALUE"""),1.0)</f>
        <v>1</v>
      </c>
      <c r="D89" s="9"/>
      <c r="E89" s="9"/>
      <c r="F89" s="9"/>
      <c r="G89" s="10">
        <f>IFERROR(__xludf.DUMMYFUNCTION("""COMPUTED_VALUE"""),1.0)</f>
        <v>1</v>
      </c>
      <c r="H89" s="9"/>
      <c r="I89" s="9"/>
      <c r="J89" s="11">
        <f>IFERROR(__xludf.DUMMYFUNCTION("""COMPUTED_VALUE"""),1.0)</f>
        <v>1</v>
      </c>
      <c r="K89" s="9"/>
      <c r="L89" s="9"/>
      <c r="M89" s="9"/>
      <c r="N89" s="10">
        <f>IFERROR(__xludf.DUMMYFUNCTION("""COMPUTED_VALUE"""),0.0)</f>
        <v>0</v>
      </c>
      <c r="O89" s="9"/>
      <c r="P89" s="9"/>
      <c r="Q89" s="11">
        <f>IFERROR(__xludf.DUMMYFUNCTION("""COMPUTED_VALUE"""),0.0)</f>
        <v>0</v>
      </c>
      <c r="R89" s="9"/>
      <c r="S89" s="9"/>
      <c r="T89" s="9"/>
      <c r="U89" s="36" t="str">
        <f>IFERROR(__xludf.DUMMYFUNCTION("""COMPUTED_VALUE"""),"#DIV/0!")</f>
        <v>#DIV/0!</v>
      </c>
      <c r="V89" s="9"/>
      <c r="W89" s="9"/>
      <c r="X89" s="9"/>
      <c r="Y89" s="9"/>
      <c r="Z89" s="9"/>
    </row>
    <row r="90">
      <c r="A90" s="9" t="str">
        <f>IFERROR(__xludf.DUMMYFUNCTION("""COMPUTED_VALUE"""),"Form G4 Google")</f>
        <v>Form G4 Google</v>
      </c>
      <c r="B90" s="11">
        <f>IFERROR(__xludf.DUMMYFUNCTION("""COMPUTED_VALUE"""),159.03225806451604)</f>
        <v>159.0322581</v>
      </c>
      <c r="C90" s="11">
        <f>IFERROR(__xludf.DUMMYFUNCTION("""COMPUTED_VALUE"""),125.0)</f>
        <v>125</v>
      </c>
      <c r="D90" s="11">
        <f>IFERROR(__xludf.DUMMYFUNCTION("""COMPUTED_VALUE"""),-34.03225806451604)</f>
        <v>-34.03225806</v>
      </c>
      <c r="E90" s="10">
        <f>IFERROR(__xludf.DUMMYFUNCTION("""COMPUTED_VALUE"""),-0.21399594320486773)</f>
        <v>-0.2139959432</v>
      </c>
      <c r="F90" s="10">
        <f>IFERROR(__xludf.DUMMYFUNCTION("""COMPUTED_VALUE"""),0.7900000000000001)</f>
        <v>0.79</v>
      </c>
      <c r="G90" s="10">
        <f>IFERROR(__xludf.DUMMYFUNCTION("""COMPUTED_VALUE"""),0.768)</f>
        <v>0.768</v>
      </c>
      <c r="H90" s="35">
        <f>IFERROR(__xludf.DUMMYFUNCTION("""COMPUTED_VALUE"""),-2.200000000000013)</f>
        <v>-2.2</v>
      </c>
      <c r="I90" s="11">
        <f>IFERROR(__xludf.DUMMYFUNCTION("""COMPUTED_VALUE"""),125.63548387096769)</f>
        <v>125.6354839</v>
      </c>
      <c r="J90" s="11">
        <f>IFERROR(__xludf.DUMMYFUNCTION("""COMPUTED_VALUE"""),96.0)</f>
        <v>96</v>
      </c>
      <c r="K90" s="11">
        <f>IFERROR(__xludf.DUMMYFUNCTION("""COMPUTED_VALUE"""),-29.63548387096769)</f>
        <v>-29.63548387</v>
      </c>
      <c r="L90" s="10">
        <f>IFERROR(__xludf.DUMMYFUNCTION("""COMPUTED_VALUE"""),-0.2358846637738462)</f>
        <v>-0.2358846638</v>
      </c>
      <c r="M90" s="10">
        <f>IFERROR(__xludf.DUMMYFUNCTION("""COMPUTED_VALUE"""),0.37610294117647075)</f>
        <v>0.3761029412</v>
      </c>
      <c r="N90" s="10">
        <f>IFERROR(__xludf.DUMMYFUNCTION("""COMPUTED_VALUE"""),0.4270833333333333)</f>
        <v>0.4270833333</v>
      </c>
      <c r="O90" s="35">
        <f>IFERROR(__xludf.DUMMYFUNCTION("""COMPUTED_VALUE"""),5.098039215686256)</f>
        <v>5.098039216</v>
      </c>
      <c r="P90" s="11">
        <f>IFERROR(__xludf.DUMMYFUNCTION("""COMPUTED_VALUE"""),47.251875)</f>
        <v>47.251875</v>
      </c>
      <c r="Q90" s="11">
        <f>IFERROR(__xludf.DUMMYFUNCTION("""COMPUTED_VALUE"""),41.0)</f>
        <v>41</v>
      </c>
      <c r="R90" s="11">
        <f>IFERROR(__xludf.DUMMYFUNCTION("""COMPUTED_VALUE"""),-6.251874999999998)</f>
        <v>-6.251875</v>
      </c>
      <c r="S90" s="10">
        <f>IFERROR(__xludf.DUMMYFUNCTION("""COMPUTED_VALUE"""),-0.1323095644352737)</f>
        <v>-0.1323095644</v>
      </c>
      <c r="T90" s="11">
        <f>IFERROR(__xludf.DUMMYFUNCTION("""COMPUTED_VALUE"""),177507.29330070002)</f>
        <v>177507.2933</v>
      </c>
      <c r="U90" s="36">
        <f>IFERROR(__xludf.DUMMYFUNCTION("""COMPUTED_VALUE"""),1412.8754698235302)</f>
        <v>1412.87547</v>
      </c>
      <c r="V90" s="36">
        <f>IFERROR(__xludf.DUMMYFUNCTION("""COMPUTED_VALUE"""),-41871.24819764113)</f>
        <v>-41871.2482</v>
      </c>
      <c r="W90" s="10">
        <f>IFERROR(__xludf.DUMMYFUNCTION("""COMPUTED_VALUE"""),-0.2358846637738462)</f>
        <v>-0.2358846638</v>
      </c>
      <c r="X90" s="9"/>
      <c r="Y90" s="9"/>
      <c r="Z90" s="9"/>
    </row>
    <row r="91">
      <c r="A91" s="9" t="str">
        <f>IFERROR(__xludf.DUMMYFUNCTION("""COMPUTED_VALUE"""),"Thalita Lopes")</f>
        <v>Thalita Lopes</v>
      </c>
      <c r="B91" s="9"/>
      <c r="C91" s="11">
        <f>IFERROR(__xludf.DUMMYFUNCTION("""COMPUTED_VALUE"""),38.0)</f>
        <v>38</v>
      </c>
      <c r="D91" s="9"/>
      <c r="E91" s="9"/>
      <c r="F91" s="9"/>
      <c r="G91" s="10">
        <f>IFERROR(__xludf.DUMMYFUNCTION("""COMPUTED_VALUE"""),0.7105263157894737)</f>
        <v>0.7105263158</v>
      </c>
      <c r="H91" s="9"/>
      <c r="I91" s="9"/>
      <c r="J91" s="11">
        <f>IFERROR(__xludf.DUMMYFUNCTION("""COMPUTED_VALUE"""),27.0)</f>
        <v>27</v>
      </c>
      <c r="K91" s="9"/>
      <c r="L91" s="9"/>
      <c r="M91" s="9"/>
      <c r="N91" s="10">
        <f>IFERROR(__xludf.DUMMYFUNCTION("""COMPUTED_VALUE"""),0.5925925925925926)</f>
        <v>0.5925925926</v>
      </c>
      <c r="O91" s="9"/>
      <c r="P91" s="9"/>
      <c r="Q91" s="11">
        <f>IFERROR(__xludf.DUMMYFUNCTION("""COMPUTED_VALUE"""),16.0)</f>
        <v>16</v>
      </c>
      <c r="R91" s="9"/>
      <c r="S91" s="9"/>
      <c r="T91" s="9"/>
      <c r="U91" s="36" t="str">
        <f>IFERROR(__xludf.DUMMYFUNCTION("""COMPUTED_VALUE"""),"#DIV/0!")</f>
        <v>#DIV/0!</v>
      </c>
      <c r="V91" s="9"/>
      <c r="W91" s="9"/>
      <c r="X91" s="9"/>
      <c r="Y91" s="9"/>
      <c r="Z91" s="9"/>
    </row>
    <row r="92">
      <c r="A92" s="9" t="str">
        <f>IFERROR(__xludf.DUMMYFUNCTION("""COMPUTED_VALUE"""),"Mariana Jovenato")</f>
        <v>Mariana Jovenato</v>
      </c>
      <c r="B92" s="9"/>
      <c r="C92" s="11">
        <f>IFERROR(__xludf.DUMMYFUNCTION("""COMPUTED_VALUE"""),21.0)</f>
        <v>21</v>
      </c>
      <c r="D92" s="9"/>
      <c r="E92" s="9"/>
      <c r="F92" s="9"/>
      <c r="G92" s="10">
        <f>IFERROR(__xludf.DUMMYFUNCTION("""COMPUTED_VALUE"""),0.9047619047619048)</f>
        <v>0.9047619048</v>
      </c>
      <c r="H92" s="9"/>
      <c r="I92" s="9"/>
      <c r="J92" s="11">
        <f>IFERROR(__xludf.DUMMYFUNCTION("""COMPUTED_VALUE"""),19.0)</f>
        <v>19</v>
      </c>
      <c r="K92" s="9"/>
      <c r="L92" s="9"/>
      <c r="M92" s="9"/>
      <c r="N92" s="10">
        <f>IFERROR(__xludf.DUMMYFUNCTION("""COMPUTED_VALUE"""),0.6842105263157895)</f>
        <v>0.6842105263</v>
      </c>
      <c r="O92" s="9"/>
      <c r="P92" s="9"/>
      <c r="Q92" s="11">
        <f>IFERROR(__xludf.DUMMYFUNCTION("""COMPUTED_VALUE"""),13.0)</f>
        <v>13</v>
      </c>
      <c r="R92" s="9"/>
      <c r="S92" s="9"/>
      <c r="T92" s="9"/>
      <c r="U92" s="36" t="str">
        <f>IFERROR(__xludf.DUMMYFUNCTION("""COMPUTED_VALUE"""),"#DIV/0!")</f>
        <v>#DIV/0!</v>
      </c>
      <c r="V92" s="9"/>
      <c r="W92" s="9"/>
      <c r="X92" s="9"/>
      <c r="Y92" s="9"/>
      <c r="Z92" s="9"/>
    </row>
    <row r="93">
      <c r="A93" s="9" t="str">
        <f>IFERROR(__xludf.DUMMYFUNCTION("""COMPUTED_VALUE"""),"João Rios")</f>
        <v>João Rios</v>
      </c>
      <c r="B93" s="9"/>
      <c r="C93" s="11">
        <f>IFERROR(__xludf.DUMMYFUNCTION("""COMPUTED_VALUE"""),25.0)</f>
        <v>25</v>
      </c>
      <c r="D93" s="9"/>
      <c r="E93" s="9"/>
      <c r="F93" s="9"/>
      <c r="G93" s="10">
        <f>IFERROR(__xludf.DUMMYFUNCTION("""COMPUTED_VALUE"""),0.88)</f>
        <v>0.88</v>
      </c>
      <c r="H93" s="9"/>
      <c r="I93" s="9"/>
      <c r="J93" s="11">
        <f>IFERROR(__xludf.DUMMYFUNCTION("""COMPUTED_VALUE"""),22.0)</f>
        <v>22</v>
      </c>
      <c r="K93" s="9"/>
      <c r="L93" s="9"/>
      <c r="M93" s="9"/>
      <c r="N93" s="10">
        <f>IFERROR(__xludf.DUMMYFUNCTION("""COMPUTED_VALUE"""),0.5454545454545454)</f>
        <v>0.5454545455</v>
      </c>
      <c r="O93" s="9"/>
      <c r="P93" s="9"/>
      <c r="Q93" s="11">
        <f>IFERROR(__xludf.DUMMYFUNCTION("""COMPUTED_VALUE"""),12.0)</f>
        <v>12</v>
      </c>
      <c r="R93" s="9"/>
      <c r="S93" s="9"/>
      <c r="T93" s="9"/>
      <c r="U93" s="36" t="str">
        <f>IFERROR(__xludf.DUMMYFUNCTION("""COMPUTED_VALUE"""),"#DIV/0!")</f>
        <v>#DIV/0!</v>
      </c>
      <c r="V93" s="9"/>
      <c r="W93" s="9"/>
      <c r="X93" s="9"/>
      <c r="Y93" s="9"/>
      <c r="Z93" s="9"/>
    </row>
    <row r="94">
      <c r="A94" s="9" t="str">
        <f>IFERROR(__xludf.DUMMYFUNCTION("""COMPUTED_VALUE"""),"Marcio Lucas")</f>
        <v>Marcio Lucas</v>
      </c>
      <c r="B94" s="9"/>
      <c r="C94" s="11">
        <f>IFERROR(__xludf.DUMMYFUNCTION("""COMPUTED_VALUE"""),33.0)</f>
        <v>33</v>
      </c>
      <c r="D94" s="9"/>
      <c r="E94" s="9"/>
      <c r="F94" s="9"/>
      <c r="G94" s="10">
        <f>IFERROR(__xludf.DUMMYFUNCTION("""COMPUTED_VALUE"""),0.7272727272727273)</f>
        <v>0.7272727273</v>
      </c>
      <c r="H94" s="9"/>
      <c r="I94" s="9"/>
      <c r="J94" s="11">
        <f>IFERROR(__xludf.DUMMYFUNCTION("""COMPUTED_VALUE"""),24.0)</f>
        <v>24</v>
      </c>
      <c r="K94" s="9"/>
      <c r="L94" s="9"/>
      <c r="M94" s="9"/>
      <c r="N94" s="10">
        <f>IFERROR(__xludf.DUMMYFUNCTION("""COMPUTED_VALUE"""),0.5)</f>
        <v>0.5</v>
      </c>
      <c r="O94" s="9"/>
      <c r="P94" s="9"/>
      <c r="Q94" s="11">
        <f>IFERROR(__xludf.DUMMYFUNCTION("""COMPUTED_VALUE"""),12.0)</f>
        <v>12</v>
      </c>
      <c r="R94" s="9"/>
      <c r="S94" s="9"/>
      <c r="T94" s="9"/>
      <c r="U94" s="36" t="str">
        <f>IFERROR(__xludf.DUMMYFUNCTION("""COMPUTED_VALUE"""),"#DIV/0!")</f>
        <v>#DIV/0!</v>
      </c>
      <c r="V94" s="9"/>
      <c r="W94" s="9"/>
      <c r="X94" s="9"/>
      <c r="Y94" s="9"/>
      <c r="Z94" s="9"/>
    </row>
    <row r="95">
      <c r="A95" s="9" t="str">
        <f>IFERROR(__xludf.DUMMYFUNCTION("""COMPUTED_VALUE"""),"Gustavo Pereira")</f>
        <v>Gustavo Pereira</v>
      </c>
      <c r="B95" s="9"/>
      <c r="C95" s="11">
        <f>IFERROR(__xludf.DUMMYFUNCTION("""COMPUTED_VALUE"""),49.0)</f>
        <v>49</v>
      </c>
      <c r="D95" s="9"/>
      <c r="E95" s="9"/>
      <c r="F95" s="9"/>
      <c r="G95" s="10">
        <f>IFERROR(__xludf.DUMMYFUNCTION("""COMPUTED_VALUE"""),0.7959183673469388)</f>
        <v>0.7959183673</v>
      </c>
      <c r="H95" s="9"/>
      <c r="I95" s="9"/>
      <c r="J95" s="11">
        <f>IFERROR(__xludf.DUMMYFUNCTION("""COMPUTED_VALUE"""),39.0)</f>
        <v>39</v>
      </c>
      <c r="K95" s="9"/>
      <c r="L95" s="9"/>
      <c r="M95" s="9"/>
      <c r="N95" s="10">
        <f>IFERROR(__xludf.DUMMYFUNCTION("""COMPUTED_VALUE"""),0.3076923076923077)</f>
        <v>0.3076923077</v>
      </c>
      <c r="O95" s="9"/>
      <c r="P95" s="9"/>
      <c r="Q95" s="11">
        <f>IFERROR(__xludf.DUMMYFUNCTION("""COMPUTED_VALUE"""),12.0)</f>
        <v>12</v>
      </c>
      <c r="R95" s="9"/>
      <c r="S95" s="9"/>
      <c r="T95" s="9"/>
      <c r="U95" s="36" t="str">
        <f>IFERROR(__xludf.DUMMYFUNCTION("""COMPUTED_VALUE"""),"#DIV/0!")</f>
        <v>#DIV/0!</v>
      </c>
      <c r="V95" s="9"/>
      <c r="W95" s="9"/>
      <c r="X95" s="9"/>
      <c r="Y95" s="9"/>
      <c r="Z95" s="9"/>
    </row>
    <row r="96">
      <c r="A96" s="9" t="str">
        <f>IFERROR(__xludf.DUMMYFUNCTION("""COMPUTED_VALUE"""),"Ilson Costa Lima")</f>
        <v>Ilson Costa Lima</v>
      </c>
      <c r="B96" s="9"/>
      <c r="C96" s="11">
        <f>IFERROR(__xludf.DUMMYFUNCTION("""COMPUTED_VALUE"""),29.0)</f>
        <v>29</v>
      </c>
      <c r="D96" s="9"/>
      <c r="E96" s="9"/>
      <c r="F96" s="9"/>
      <c r="G96" s="10">
        <f>IFERROR(__xludf.DUMMYFUNCTION("""COMPUTED_VALUE"""),0.6551724137931034)</f>
        <v>0.6551724138</v>
      </c>
      <c r="H96" s="9"/>
      <c r="I96" s="9"/>
      <c r="J96" s="11">
        <f>IFERROR(__xludf.DUMMYFUNCTION("""COMPUTED_VALUE"""),19.0)</f>
        <v>19</v>
      </c>
      <c r="K96" s="9"/>
      <c r="L96" s="9"/>
      <c r="M96" s="9"/>
      <c r="N96" s="10">
        <f>IFERROR(__xludf.DUMMYFUNCTION("""COMPUTED_VALUE"""),0.5263157894736842)</f>
        <v>0.5263157895</v>
      </c>
      <c r="O96" s="9"/>
      <c r="P96" s="9"/>
      <c r="Q96" s="11">
        <f>IFERROR(__xludf.DUMMYFUNCTION("""COMPUTED_VALUE"""),10.0)</f>
        <v>10</v>
      </c>
      <c r="R96" s="9"/>
      <c r="S96" s="9"/>
      <c r="T96" s="9"/>
      <c r="U96" s="36" t="str">
        <f>IFERROR(__xludf.DUMMYFUNCTION("""COMPUTED_VALUE"""),"#DIV/0!")</f>
        <v>#DIV/0!</v>
      </c>
      <c r="V96" s="9"/>
      <c r="W96" s="9"/>
      <c r="X96" s="9"/>
      <c r="Y96" s="9"/>
      <c r="Z96" s="9"/>
    </row>
    <row r="97">
      <c r="A97" s="9" t="str">
        <f>IFERROR(__xludf.DUMMYFUNCTION("""COMPUTED_VALUE"""),"Felipe Maximo")</f>
        <v>Felipe Maximo</v>
      </c>
      <c r="B97" s="9"/>
      <c r="C97" s="11">
        <f>IFERROR(__xludf.DUMMYFUNCTION("""COMPUTED_VALUE"""),27.0)</f>
        <v>27</v>
      </c>
      <c r="D97" s="9"/>
      <c r="E97" s="9"/>
      <c r="F97" s="9"/>
      <c r="G97" s="10">
        <f>IFERROR(__xludf.DUMMYFUNCTION("""COMPUTED_VALUE"""),0.8148148148148148)</f>
        <v>0.8148148148</v>
      </c>
      <c r="H97" s="9"/>
      <c r="I97" s="9"/>
      <c r="J97" s="11">
        <f>IFERROR(__xludf.DUMMYFUNCTION("""COMPUTED_VALUE"""),22.0)</f>
        <v>22</v>
      </c>
      <c r="K97" s="9"/>
      <c r="L97" s="9"/>
      <c r="M97" s="9"/>
      <c r="N97" s="10">
        <f>IFERROR(__xludf.DUMMYFUNCTION("""COMPUTED_VALUE"""),0.4090909090909091)</f>
        <v>0.4090909091</v>
      </c>
      <c r="O97" s="9"/>
      <c r="P97" s="9"/>
      <c r="Q97" s="11">
        <f>IFERROR(__xludf.DUMMYFUNCTION("""COMPUTED_VALUE"""),9.0)</f>
        <v>9</v>
      </c>
      <c r="R97" s="9"/>
      <c r="S97" s="9"/>
      <c r="T97" s="9"/>
      <c r="U97" s="36" t="str">
        <f>IFERROR(__xludf.DUMMYFUNCTION("""COMPUTED_VALUE"""),"#DIV/0!")</f>
        <v>#DIV/0!</v>
      </c>
      <c r="V97" s="9"/>
      <c r="W97" s="9"/>
      <c r="X97" s="9"/>
      <c r="Y97" s="9"/>
      <c r="Z97" s="9"/>
    </row>
    <row r="98">
      <c r="A98" s="9" t="str">
        <f>IFERROR(__xludf.DUMMYFUNCTION("""COMPUTED_VALUE"""),"Cauã Andrade")</f>
        <v>Cauã Andrade</v>
      </c>
      <c r="B98" s="9"/>
      <c r="C98" s="11">
        <f>IFERROR(__xludf.DUMMYFUNCTION("""COMPUTED_VALUE"""),25.0)</f>
        <v>25</v>
      </c>
      <c r="D98" s="9"/>
      <c r="E98" s="9"/>
      <c r="F98" s="9"/>
      <c r="G98" s="10">
        <f>IFERROR(__xludf.DUMMYFUNCTION("""COMPUTED_VALUE"""),0.88)</f>
        <v>0.88</v>
      </c>
      <c r="H98" s="9"/>
      <c r="I98" s="9"/>
      <c r="J98" s="11">
        <f>IFERROR(__xludf.DUMMYFUNCTION("""COMPUTED_VALUE"""),22.0)</f>
        <v>22</v>
      </c>
      <c r="K98" s="9"/>
      <c r="L98" s="9"/>
      <c r="M98" s="9"/>
      <c r="N98" s="10">
        <f>IFERROR(__xludf.DUMMYFUNCTION("""COMPUTED_VALUE"""),0.4090909090909091)</f>
        <v>0.4090909091</v>
      </c>
      <c r="O98" s="9"/>
      <c r="P98" s="9"/>
      <c r="Q98" s="11">
        <f>IFERROR(__xludf.DUMMYFUNCTION("""COMPUTED_VALUE"""),9.0)</f>
        <v>9</v>
      </c>
      <c r="R98" s="9"/>
      <c r="S98" s="9"/>
      <c r="T98" s="9"/>
      <c r="U98" s="36" t="str">
        <f>IFERROR(__xludf.DUMMYFUNCTION("""COMPUTED_VALUE"""),"#DIV/0!")</f>
        <v>#DIV/0!</v>
      </c>
      <c r="V98" s="9"/>
      <c r="W98" s="9"/>
      <c r="X98" s="9"/>
      <c r="Y98" s="9"/>
      <c r="Z98" s="9"/>
    </row>
    <row r="99">
      <c r="A99" s="9" t="str">
        <f>IFERROR(__xludf.DUMMYFUNCTION("""COMPUTED_VALUE"""),"Mylena Reis")</f>
        <v>Mylena Reis</v>
      </c>
      <c r="B99" s="9"/>
      <c r="C99" s="11">
        <f>IFERROR(__xludf.DUMMYFUNCTION("""COMPUTED_VALUE"""),26.0)</f>
        <v>26</v>
      </c>
      <c r="D99" s="9"/>
      <c r="E99" s="9"/>
      <c r="F99" s="9"/>
      <c r="G99" s="10">
        <f>IFERROR(__xludf.DUMMYFUNCTION("""COMPUTED_VALUE"""),0.9615384615384616)</f>
        <v>0.9615384615</v>
      </c>
      <c r="H99" s="9"/>
      <c r="I99" s="9"/>
      <c r="J99" s="11">
        <f>IFERROR(__xludf.DUMMYFUNCTION("""COMPUTED_VALUE"""),25.0)</f>
        <v>25</v>
      </c>
      <c r="K99" s="9"/>
      <c r="L99" s="9"/>
      <c r="M99" s="9"/>
      <c r="N99" s="10">
        <f>IFERROR(__xludf.DUMMYFUNCTION("""COMPUTED_VALUE"""),0.28)</f>
        <v>0.28</v>
      </c>
      <c r="O99" s="9"/>
      <c r="P99" s="9"/>
      <c r="Q99" s="11">
        <f>IFERROR(__xludf.DUMMYFUNCTION("""COMPUTED_VALUE"""),7.0)</f>
        <v>7</v>
      </c>
      <c r="R99" s="9"/>
      <c r="S99" s="9"/>
      <c r="T99" s="9"/>
      <c r="U99" s="36" t="str">
        <f>IFERROR(__xludf.DUMMYFUNCTION("""COMPUTED_VALUE"""),"#DIV/0!")</f>
        <v>#DIV/0!</v>
      </c>
      <c r="V99" s="9"/>
      <c r="W99" s="9"/>
      <c r="X99" s="9"/>
      <c r="Y99" s="9"/>
      <c r="Z99" s="9"/>
    </row>
    <row r="100">
      <c r="A100" s="9" t="str">
        <f>IFERROR(__xludf.DUMMYFUNCTION("""COMPUTED_VALUE"""),"Izabelle Lopes")</f>
        <v>Izabelle Lopes</v>
      </c>
      <c r="B100" s="9"/>
      <c r="C100" s="11">
        <f>IFERROR(__xludf.DUMMYFUNCTION("""COMPUTED_VALUE"""),2.0)</f>
        <v>2</v>
      </c>
      <c r="D100" s="9"/>
      <c r="E100" s="9"/>
      <c r="F100" s="9"/>
      <c r="G100" s="10">
        <f>IFERROR(__xludf.DUMMYFUNCTION("""COMPUTED_VALUE"""),1.0)</f>
        <v>1</v>
      </c>
      <c r="H100" s="9"/>
      <c r="I100" s="9"/>
      <c r="J100" s="11">
        <f>IFERROR(__xludf.DUMMYFUNCTION("""COMPUTED_VALUE"""),2.0)</f>
        <v>2</v>
      </c>
      <c r="K100" s="9"/>
      <c r="L100" s="9"/>
      <c r="M100" s="9"/>
      <c r="N100" s="10">
        <f>IFERROR(__xludf.DUMMYFUNCTION("""COMPUTED_VALUE"""),1.0)</f>
        <v>1</v>
      </c>
      <c r="O100" s="9"/>
      <c r="P100" s="9"/>
      <c r="Q100" s="11">
        <f>IFERROR(__xludf.DUMMYFUNCTION("""COMPUTED_VALUE"""),2.0)</f>
        <v>2</v>
      </c>
      <c r="R100" s="9"/>
      <c r="S100" s="9"/>
      <c r="T100" s="9"/>
      <c r="U100" s="36" t="str">
        <f>IFERROR(__xludf.DUMMYFUNCTION("""COMPUTED_VALUE"""),"#DIV/0!")</f>
        <v>#DIV/0!</v>
      </c>
      <c r="V100" s="9"/>
      <c r="W100" s="9"/>
      <c r="X100" s="9"/>
      <c r="Y100" s="9"/>
      <c r="Z100" s="9"/>
    </row>
    <row r="101">
      <c r="A101" s="9" t="str">
        <f>IFERROR(__xludf.DUMMYFUNCTION("""COMPUTED_VALUE"""),"João Vitor Nascimento")</f>
        <v>João Vitor Nascimento</v>
      </c>
      <c r="B101" s="9"/>
      <c r="C101" s="11">
        <f>IFERROR(__xludf.DUMMYFUNCTION("""COMPUTED_VALUE"""),7.0)</f>
        <v>7</v>
      </c>
      <c r="D101" s="9"/>
      <c r="E101" s="9"/>
      <c r="F101" s="9"/>
      <c r="G101" s="10">
        <f>IFERROR(__xludf.DUMMYFUNCTION("""COMPUTED_VALUE"""),0.8571428571428571)</f>
        <v>0.8571428571</v>
      </c>
      <c r="H101" s="9"/>
      <c r="I101" s="9"/>
      <c r="J101" s="11">
        <f>IFERROR(__xludf.DUMMYFUNCTION("""COMPUTED_VALUE"""),6.0)</f>
        <v>6</v>
      </c>
      <c r="K101" s="9"/>
      <c r="L101" s="9"/>
      <c r="M101" s="9"/>
      <c r="N101" s="10">
        <f>IFERROR(__xludf.DUMMYFUNCTION("""COMPUTED_VALUE"""),0.3333333333333333)</f>
        <v>0.3333333333</v>
      </c>
      <c r="O101" s="9"/>
      <c r="P101" s="9"/>
      <c r="Q101" s="11">
        <f>IFERROR(__xludf.DUMMYFUNCTION("""COMPUTED_VALUE"""),2.0)</f>
        <v>2</v>
      </c>
      <c r="R101" s="9"/>
      <c r="S101" s="9"/>
      <c r="T101" s="9"/>
      <c r="U101" s="36" t="str">
        <f>IFERROR(__xludf.DUMMYFUNCTION("""COMPUTED_VALUE"""),"#DIV/0!")</f>
        <v>#DIV/0!</v>
      </c>
      <c r="V101" s="9"/>
      <c r="W101" s="9"/>
      <c r="X101" s="9"/>
      <c r="Y101" s="9"/>
      <c r="Z101" s="9"/>
    </row>
    <row r="102">
      <c r="A102" s="9" t="str">
        <f>IFERROR(__xludf.DUMMYFUNCTION("""COMPUTED_VALUE"""),"Nicolas Miranda")</f>
        <v>Nicolas Miranda</v>
      </c>
      <c r="B102" s="9"/>
      <c r="C102" s="11">
        <f>IFERROR(__xludf.DUMMYFUNCTION("""COMPUTED_VALUE"""),1.0)</f>
        <v>1</v>
      </c>
      <c r="D102" s="9"/>
      <c r="E102" s="9"/>
      <c r="F102" s="9"/>
      <c r="G102" s="10">
        <f>IFERROR(__xludf.DUMMYFUNCTION("""COMPUTED_VALUE"""),1.0)</f>
        <v>1</v>
      </c>
      <c r="H102" s="9"/>
      <c r="I102" s="9"/>
      <c r="J102" s="11">
        <f>IFERROR(__xludf.DUMMYFUNCTION("""COMPUTED_VALUE"""),1.0)</f>
        <v>1</v>
      </c>
      <c r="K102" s="9"/>
      <c r="L102" s="9"/>
      <c r="M102" s="9"/>
      <c r="N102" s="10">
        <f>IFERROR(__xludf.DUMMYFUNCTION("""COMPUTED_VALUE"""),0.0)</f>
        <v>0</v>
      </c>
      <c r="O102" s="9"/>
      <c r="P102" s="9"/>
      <c r="Q102" s="11">
        <f>IFERROR(__xludf.DUMMYFUNCTION("""COMPUTED_VALUE"""),0.0)</f>
        <v>0</v>
      </c>
      <c r="R102" s="9"/>
      <c r="S102" s="9"/>
      <c r="T102" s="9"/>
      <c r="U102" s="36" t="str">
        <f>IFERROR(__xludf.DUMMYFUNCTION("""COMPUTED_VALUE"""),"#DIV/0!")</f>
        <v>#DIV/0!</v>
      </c>
      <c r="V102" s="9"/>
      <c r="W102" s="9"/>
      <c r="X102" s="9"/>
      <c r="Y102" s="9"/>
      <c r="Z102" s="9"/>
    </row>
    <row r="103">
      <c r="A103" s="9" t="str">
        <f>IFERROR(__xludf.DUMMYFUNCTION("""COMPUTED_VALUE"""),"Matheus Mariano")</f>
        <v>Matheus Mariano</v>
      </c>
      <c r="B103" s="9"/>
      <c r="C103" s="11">
        <f>IFERROR(__xludf.DUMMYFUNCTION("""COMPUTED_VALUE"""),1.0)</f>
        <v>1</v>
      </c>
      <c r="D103" s="9"/>
      <c r="E103" s="9"/>
      <c r="F103" s="9"/>
      <c r="G103" s="10">
        <f>IFERROR(__xludf.DUMMYFUNCTION("""COMPUTED_VALUE"""),0.0)</f>
        <v>0</v>
      </c>
      <c r="H103" s="9"/>
      <c r="I103" s="9"/>
      <c r="J103" s="11">
        <f>IFERROR(__xludf.DUMMYFUNCTION("""COMPUTED_VALUE"""),0.0)</f>
        <v>0</v>
      </c>
      <c r="K103" s="9"/>
      <c r="L103" s="9"/>
      <c r="M103" s="9"/>
      <c r="N103" s="10">
        <f>IFERROR(__xludf.DUMMYFUNCTION("""COMPUTED_VALUE"""),0.0)</f>
        <v>0</v>
      </c>
      <c r="O103" s="9"/>
      <c r="P103" s="9"/>
      <c r="Q103" s="11">
        <f>IFERROR(__xludf.DUMMYFUNCTION("""COMPUTED_VALUE"""),0.0)</f>
        <v>0</v>
      </c>
      <c r="R103" s="9"/>
      <c r="S103" s="9"/>
      <c r="T103" s="9"/>
      <c r="U103" s="36" t="str">
        <f>IFERROR(__xludf.DUMMYFUNCTION("""COMPUTED_VALUE"""),"#DIV/0!")</f>
        <v>#DIV/0!</v>
      </c>
      <c r="V103" s="9"/>
      <c r="W103" s="9"/>
      <c r="X103" s="9"/>
      <c r="Y103" s="9"/>
      <c r="Z103" s="9"/>
    </row>
    <row r="104">
      <c r="A104" s="9" t="str">
        <f>IFERROR(__xludf.DUMMYFUNCTION("""COMPUTED_VALUE"""),"Christian Lopes")</f>
        <v>Christian Lopes</v>
      </c>
      <c r="B104" s="9"/>
      <c r="C104" s="11">
        <f>IFERROR(__xludf.DUMMYFUNCTION("""COMPUTED_VALUE"""),1.0)</f>
        <v>1</v>
      </c>
      <c r="D104" s="9"/>
      <c r="E104" s="9"/>
      <c r="F104" s="9"/>
      <c r="G104" s="10">
        <f>IFERROR(__xludf.DUMMYFUNCTION("""COMPUTED_VALUE"""),2.0)</f>
        <v>2</v>
      </c>
      <c r="H104" s="9"/>
      <c r="I104" s="9"/>
      <c r="J104" s="11">
        <f>IFERROR(__xludf.DUMMYFUNCTION("""COMPUTED_VALUE"""),2.0)</f>
        <v>2</v>
      </c>
      <c r="K104" s="9"/>
      <c r="L104" s="9"/>
      <c r="M104" s="9"/>
      <c r="N104" s="10">
        <f>IFERROR(__xludf.DUMMYFUNCTION("""COMPUTED_VALUE"""),0.0)</f>
        <v>0</v>
      </c>
      <c r="O104" s="9"/>
      <c r="P104" s="9"/>
      <c r="Q104" s="11">
        <f>IFERROR(__xludf.DUMMYFUNCTION("""COMPUTED_VALUE"""),0.0)</f>
        <v>0</v>
      </c>
      <c r="R104" s="9"/>
      <c r="S104" s="9"/>
      <c r="T104" s="9"/>
      <c r="U104" s="36" t="str">
        <f>IFERROR(__xludf.DUMMYFUNCTION("""COMPUTED_VALUE"""),"#DIV/0!")</f>
        <v>#DIV/0!</v>
      </c>
      <c r="V104" s="9"/>
      <c r="W104" s="9"/>
      <c r="X104" s="9"/>
      <c r="Y104" s="9"/>
      <c r="Z104" s="9"/>
    </row>
    <row r="105">
      <c r="A105" s="9" t="str">
        <f>IFERROR(__xludf.DUMMYFUNCTION("""COMPUTED_VALUE"""),"Form G4 Outros - Orgânico")</f>
        <v>Form G4 Outros - Orgânico</v>
      </c>
      <c r="B105" s="11">
        <f>IFERROR(__xludf.DUMMYFUNCTION("""COMPUTED_VALUE"""),319.38064516129015)</f>
        <v>319.3806452</v>
      </c>
      <c r="C105" s="11">
        <f>IFERROR(__xludf.DUMMYFUNCTION("""COMPUTED_VALUE"""),262.0)</f>
        <v>262</v>
      </c>
      <c r="D105" s="11">
        <f>IFERROR(__xludf.DUMMYFUNCTION("""COMPUTED_VALUE"""),-57.38064516129015)</f>
        <v>-57.38064516</v>
      </c>
      <c r="E105" s="10">
        <f>IFERROR(__xludf.DUMMYFUNCTION("""COMPUTED_VALUE"""),-0.17966224951519025)</f>
        <v>-0.1796622495</v>
      </c>
      <c r="F105" s="10">
        <f>IFERROR(__xludf.DUMMYFUNCTION("""COMPUTED_VALUE"""),0.5817307692307692)</f>
        <v>0.5817307692</v>
      </c>
      <c r="G105" s="10">
        <f>IFERROR(__xludf.DUMMYFUNCTION("""COMPUTED_VALUE"""),0.6297709923664122)</f>
        <v>0.6297709924</v>
      </c>
      <c r="H105" s="35">
        <f>IFERROR(__xludf.DUMMYFUNCTION("""COMPUTED_VALUE"""),4.804022313564305)</f>
        <v>4.804022314</v>
      </c>
      <c r="I105" s="11">
        <f>IFERROR(__xludf.DUMMYFUNCTION("""COMPUTED_VALUE"""),185.79354838709665)</f>
        <v>185.7935484</v>
      </c>
      <c r="J105" s="11">
        <f>IFERROR(__xludf.DUMMYFUNCTION("""COMPUTED_VALUE"""),165.0)</f>
        <v>165</v>
      </c>
      <c r="K105" s="11">
        <f>IFERROR(__xludf.DUMMYFUNCTION("""COMPUTED_VALUE"""),-20.79354838709665)</f>
        <v>-20.79354839</v>
      </c>
      <c r="L105" s="10">
        <f>IFERROR(__xludf.DUMMYFUNCTION("""COMPUTED_VALUE"""),-0.11191749427043485)</f>
        <v>-0.1119174943</v>
      </c>
      <c r="M105" s="10">
        <f>IFERROR(__xludf.DUMMYFUNCTION("""COMPUTED_VALUE"""),0.4434491978609628)</f>
        <v>0.4434491979</v>
      </c>
      <c r="N105" s="10">
        <f>IFERROR(__xludf.DUMMYFUNCTION("""COMPUTED_VALUE"""),0.5212121212121212)</f>
        <v>0.5212121212</v>
      </c>
      <c r="O105" s="35">
        <f>IFERROR(__xludf.DUMMYFUNCTION("""COMPUTED_VALUE"""),7.776292335115842)</f>
        <v>7.776292335</v>
      </c>
      <c r="P105" s="11">
        <f>IFERROR(__xludf.DUMMYFUNCTION("""COMPUTED_VALUE"""),82.38999999999999)</f>
        <v>82.39</v>
      </c>
      <c r="Q105" s="11">
        <f>IFERROR(__xludf.DUMMYFUNCTION("""COMPUTED_VALUE"""),86.0)</f>
        <v>86</v>
      </c>
      <c r="R105" s="11">
        <f>IFERROR(__xludf.DUMMYFUNCTION("""COMPUTED_VALUE"""),3.6100000000000136)</f>
        <v>3.61</v>
      </c>
      <c r="S105" s="10">
        <f>IFERROR(__xludf.DUMMYFUNCTION("""COMPUTED_VALUE"""),0.0438159970870253)</f>
        <v>0.04381599709</v>
      </c>
      <c r="T105" s="11">
        <f>IFERROR(__xludf.DUMMYFUNCTION("""COMPUTED_VALUE"""),342414.408)</f>
        <v>342414.408</v>
      </c>
      <c r="U105" s="36">
        <f>IFERROR(__xludf.DUMMYFUNCTION("""COMPUTED_VALUE"""),1842.9833057851251)</f>
        <v>1842.983306</v>
      </c>
      <c r="V105" s="36">
        <f>IFERROR(__xludf.DUMMYFUNCTION("""COMPUTED_VALUE"""),-38322.16254545434)</f>
        <v>-38322.16255</v>
      </c>
      <c r="W105" s="10">
        <f>IFERROR(__xludf.DUMMYFUNCTION("""COMPUTED_VALUE"""),-0.11191749427043485)</f>
        <v>-0.1119174943</v>
      </c>
      <c r="X105" s="9"/>
      <c r="Y105" s="9"/>
      <c r="Z105" s="9"/>
    </row>
    <row r="106">
      <c r="A106" s="9" t="str">
        <f>IFERROR(__xludf.DUMMYFUNCTION("""COMPUTED_VALUE"""),"#REF!")</f>
        <v>#REF!</v>
      </c>
      <c r="B106" s="9"/>
      <c r="C106" s="11" t="str">
        <f>IFERROR(__xludf.DUMMYFUNCTION("""COMPUTED_VALUE"""),"#REF!")</f>
        <v>#REF!</v>
      </c>
      <c r="D106" s="9"/>
      <c r="E106" s="9"/>
      <c r="F106" s="9"/>
      <c r="G106" s="10" t="str">
        <f>IFERROR(__xludf.DUMMYFUNCTION("""COMPUTED_VALUE"""),"#REF!")</f>
        <v>#REF!</v>
      </c>
      <c r="H106" s="9"/>
      <c r="I106" s="9"/>
      <c r="J106" s="11" t="str">
        <f>IFERROR(__xludf.DUMMYFUNCTION("""COMPUTED_VALUE"""),"#REF!")</f>
        <v>#REF!</v>
      </c>
      <c r="K106" s="9"/>
      <c r="L106" s="9"/>
      <c r="M106" s="9"/>
      <c r="N106" s="10" t="str">
        <f>IFERROR(__xludf.DUMMYFUNCTION("""COMPUTED_VALUE"""),"#REF!")</f>
        <v>#REF!</v>
      </c>
      <c r="O106" s="9"/>
      <c r="P106" s="9"/>
      <c r="Q106" s="11" t="str">
        <f>IFERROR(__xludf.DUMMYFUNCTION("""COMPUTED_VALUE"""),"#REF!")</f>
        <v>#REF!</v>
      </c>
      <c r="R106" s="9"/>
      <c r="S106" s="9"/>
      <c r="T106" s="9"/>
      <c r="U106" s="36" t="str">
        <f>IFERROR(__xludf.DUMMYFUNCTION("""COMPUTED_VALUE"""),"#DIV/0!")</f>
        <v>#DIV/0!</v>
      </c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36" t="str">
        <f>IFERROR(__xludf.DUMMYFUNCTION("""COMPUTED_VALUE"""),"#DIV/0!")</f>
        <v>#DIV/0!</v>
      </c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36" t="str">
        <f>IFERROR(__xludf.DUMMYFUNCTION("""COMPUTED_VALUE"""),"#DIV/0!")</f>
        <v>#DIV/0!</v>
      </c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36" t="str">
        <f>IFERROR(__xludf.DUMMYFUNCTION("""COMPUTED_VALUE"""),"#DIV/0!")</f>
        <v>#DIV/0!</v>
      </c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36" t="str">
        <f>IFERROR(__xludf.DUMMYFUNCTION("""COMPUTED_VALUE"""),"#DIV/0!")</f>
        <v>#DIV/0!</v>
      </c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36" t="str">
        <f>IFERROR(__xludf.DUMMYFUNCTION("""COMPUTED_VALUE"""),"#DIV/0!")</f>
        <v>#DIV/0!</v>
      </c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36" t="str">
        <f>IFERROR(__xludf.DUMMYFUNCTION("""COMPUTED_VALUE"""),"#DIV/0!")</f>
        <v>#DIV/0!</v>
      </c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36" t="str">
        <f>IFERROR(__xludf.DUMMYFUNCTION("""COMPUTED_VALUE"""),"#DIV/0!")</f>
        <v>#DIV/0!</v>
      </c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36" t="str">
        <f>IFERROR(__xludf.DUMMYFUNCTION("""COMPUTED_VALUE"""),"#DIV/0!")</f>
        <v>#DIV/0!</v>
      </c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36" t="str">
        <f>IFERROR(__xludf.DUMMYFUNCTION("""COMPUTED_VALUE"""),"#DIV/0!")</f>
        <v>#DIV/0!</v>
      </c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36" t="str">
        <f>IFERROR(__xludf.DUMMYFUNCTION("""COMPUTED_VALUE"""),"#DIV/0!")</f>
        <v>#DIV/0!</v>
      </c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36" t="str">
        <f>IFERROR(__xludf.DUMMYFUNCTION("""COMPUTED_VALUE"""),"#DIV/0!")</f>
        <v>#DIV/0!</v>
      </c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36" t="str">
        <f>IFERROR(__xludf.DUMMYFUNCTION("""COMPUTED_VALUE"""),"#DIV/0!")</f>
        <v>#DIV/0!</v>
      </c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36" t="str">
        <f>IFERROR(__xludf.DUMMYFUNCTION("""COMPUTED_VALUE"""),"#DIV/0!")</f>
        <v>#DIV/0!</v>
      </c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36" t="str">
        <f>IFERROR(__xludf.DUMMYFUNCTION("""COMPUTED_VALUE"""),"#DIV/0!")</f>
        <v>#DIV/0!</v>
      </c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36" t="str">
        <f>IFERROR(__xludf.DUMMYFUNCTION("""COMPUTED_VALUE"""),"#DIV/0!")</f>
        <v>#DIV/0!</v>
      </c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36" t="str">
        <f>IFERROR(__xludf.DUMMYFUNCTION("""COMPUTED_VALUE"""),"#DIV/0!")</f>
        <v>#DIV/0!</v>
      </c>
      <c r="V123" s="9"/>
      <c r="W123" s="9"/>
      <c r="X123" s="9"/>
      <c r="Y123" s="9"/>
      <c r="Z123" s="9"/>
    </row>
    <row r="124">
      <c r="A124" s="9" t="str">
        <f>IFERROR(__xludf.DUMMYFUNCTION("""COMPUTED_VALUE"""),"Form G4 Outros - Não Orgânico")</f>
        <v>Form G4 Outros - Não Orgânico</v>
      </c>
      <c r="B124" s="11">
        <f>IFERROR(__xludf.DUMMYFUNCTION("""COMPUTED_VALUE"""),118.39677419354834)</f>
        <v>118.3967742</v>
      </c>
      <c r="C124" s="11">
        <f>IFERROR(__xludf.DUMMYFUNCTION("""COMPUTED_VALUE"""),62.0)</f>
        <v>62</v>
      </c>
      <c r="D124" s="11">
        <f>IFERROR(__xludf.DUMMYFUNCTION("""COMPUTED_VALUE"""),-56.39677419354834)</f>
        <v>-56.39677419</v>
      </c>
      <c r="E124" s="10">
        <f>IFERROR(__xludf.DUMMYFUNCTION("""COMPUTED_VALUE"""),-0.4763370841620574)</f>
        <v>-0.4763370842</v>
      </c>
      <c r="F124" s="10">
        <f>IFERROR(__xludf.DUMMYFUNCTION("""COMPUTED_VALUE"""),0.716535433070866)</f>
        <v>0.7165354331</v>
      </c>
      <c r="G124" s="10">
        <f>IFERROR(__xludf.DUMMYFUNCTION("""COMPUTED_VALUE"""),0.7419354838709677)</f>
        <v>0.7419354839</v>
      </c>
      <c r="H124" s="35">
        <f>IFERROR(__xludf.DUMMYFUNCTION("""COMPUTED_VALUE"""),2.540005080010177)</f>
        <v>2.54000508</v>
      </c>
      <c r="I124" s="11">
        <f>IFERROR(__xludf.DUMMYFUNCTION("""COMPUTED_VALUE"""),84.83548387096769)</f>
        <v>84.83548387</v>
      </c>
      <c r="J124" s="11">
        <f>IFERROR(__xludf.DUMMYFUNCTION("""COMPUTED_VALUE"""),46.0)</f>
        <v>46</v>
      </c>
      <c r="K124" s="11">
        <f>IFERROR(__xludf.DUMMYFUNCTION("""COMPUTED_VALUE"""),-38.83548387096769)</f>
        <v>-38.83548387</v>
      </c>
      <c r="L124" s="10">
        <f>IFERROR(__xludf.DUMMYFUNCTION("""COMPUTED_VALUE"""),-0.4577740598501841)</f>
        <v>-0.4577740599</v>
      </c>
      <c r="M124" s="10">
        <f>IFERROR(__xludf.DUMMYFUNCTION("""COMPUTED_VALUE"""),0.3857466063348418)</f>
        <v>0.3857466063</v>
      </c>
      <c r="N124" s="10">
        <f>IFERROR(__xludf.DUMMYFUNCTION("""COMPUTED_VALUE"""),0.30434782608695654)</f>
        <v>0.3043478261</v>
      </c>
      <c r="O124" s="35">
        <f>IFERROR(__xludf.DUMMYFUNCTION("""COMPUTED_VALUE"""),-8.139878024788526)</f>
        <v>-8.139878025</v>
      </c>
      <c r="P124" s="11">
        <f>IFERROR(__xludf.DUMMYFUNCTION("""COMPUTED_VALUE"""),32.724999999999994)</f>
        <v>32.725</v>
      </c>
      <c r="Q124" s="11">
        <f>IFERROR(__xludf.DUMMYFUNCTION("""COMPUTED_VALUE"""),14.0)</f>
        <v>14</v>
      </c>
      <c r="R124" s="11">
        <f>IFERROR(__xludf.DUMMYFUNCTION("""COMPUTED_VALUE"""),-18.724999999999994)</f>
        <v>-18.725</v>
      </c>
      <c r="S124" s="10">
        <f>IFERROR(__xludf.DUMMYFUNCTION("""COMPUTED_VALUE"""),-0.5721925133689839)</f>
        <v>-0.5721925134</v>
      </c>
      <c r="T124" s="11">
        <f>IFERROR(__xludf.DUMMYFUNCTION("""COMPUTED_VALUE"""),127502.83151999999)</f>
        <v>127502.8315</v>
      </c>
      <c r="U124" s="36">
        <f>IFERROR(__xludf.DUMMYFUNCTION("""COMPUTED_VALUE"""),1502.9422324499037)</f>
        <v>1502.942232</v>
      </c>
      <c r="V124" s="36">
        <f>IFERROR(__xludf.DUMMYFUNCTION("""COMPUTED_VALUE"""),-58367.48882730441)</f>
        <v>-58367.48883</v>
      </c>
      <c r="W124" s="10">
        <f>IFERROR(__xludf.DUMMYFUNCTION("""COMPUTED_VALUE"""),-0.45777405985018405)</f>
        <v>-0.4577740599</v>
      </c>
      <c r="X124" s="9"/>
      <c r="Y124" s="9"/>
      <c r="Z124" s="9"/>
    </row>
    <row r="125">
      <c r="A125" s="9" t="str">
        <f>IFERROR(__xludf.DUMMYFUNCTION("""COMPUTED_VALUE"""),"Thalita Lopes")</f>
        <v>Thalita Lopes</v>
      </c>
      <c r="B125" s="9"/>
      <c r="C125" s="11">
        <f>IFERROR(__xludf.DUMMYFUNCTION("""COMPUTED_VALUE"""),12.0)</f>
        <v>12</v>
      </c>
      <c r="D125" s="9"/>
      <c r="E125" s="9"/>
      <c r="F125" s="9"/>
      <c r="G125" s="10">
        <f>IFERROR(__xludf.DUMMYFUNCTION("""COMPUTED_VALUE"""),1.0)</f>
        <v>1</v>
      </c>
      <c r="H125" s="9"/>
      <c r="I125" s="9"/>
      <c r="J125" s="11">
        <f>IFERROR(__xludf.DUMMYFUNCTION("""COMPUTED_VALUE"""),12.0)</f>
        <v>12</v>
      </c>
      <c r="K125" s="9"/>
      <c r="L125" s="9"/>
      <c r="M125" s="9"/>
      <c r="N125" s="10">
        <f>IFERROR(__xludf.DUMMYFUNCTION("""COMPUTED_VALUE"""),0.5833333333333334)</f>
        <v>0.5833333333</v>
      </c>
      <c r="O125" s="9"/>
      <c r="P125" s="9"/>
      <c r="Q125" s="11">
        <f>IFERROR(__xludf.DUMMYFUNCTION("""COMPUTED_VALUE"""),7.0)</f>
        <v>7</v>
      </c>
      <c r="R125" s="9"/>
      <c r="S125" s="9"/>
      <c r="T125" s="9"/>
      <c r="U125" s="36" t="str">
        <f>IFERROR(__xludf.DUMMYFUNCTION("""COMPUTED_VALUE"""),"#DIV/0!")</f>
        <v>#DIV/0!</v>
      </c>
      <c r="V125" s="9"/>
      <c r="W125" s="9"/>
      <c r="X125" s="9"/>
      <c r="Y125" s="9"/>
      <c r="Z125" s="9"/>
    </row>
    <row r="126">
      <c r="A126" s="9" t="str">
        <f>IFERROR(__xludf.DUMMYFUNCTION("""COMPUTED_VALUE"""),"Felipe Maximo")</f>
        <v>Felipe Maximo</v>
      </c>
      <c r="B126" s="9"/>
      <c r="C126" s="11">
        <f>IFERROR(__xludf.DUMMYFUNCTION("""COMPUTED_VALUE"""),9.0)</f>
        <v>9</v>
      </c>
      <c r="D126" s="9"/>
      <c r="E126" s="9"/>
      <c r="F126" s="9"/>
      <c r="G126" s="10">
        <f>IFERROR(__xludf.DUMMYFUNCTION("""COMPUTED_VALUE"""),0.7777777777777778)</f>
        <v>0.7777777778</v>
      </c>
      <c r="H126" s="9"/>
      <c r="I126" s="9"/>
      <c r="J126" s="11">
        <f>IFERROR(__xludf.DUMMYFUNCTION("""COMPUTED_VALUE"""),7.0)</f>
        <v>7</v>
      </c>
      <c r="K126" s="9"/>
      <c r="L126" s="9"/>
      <c r="M126" s="9"/>
      <c r="N126" s="10">
        <f>IFERROR(__xludf.DUMMYFUNCTION("""COMPUTED_VALUE"""),0.7142857142857143)</f>
        <v>0.7142857143</v>
      </c>
      <c r="O126" s="9"/>
      <c r="P126" s="9"/>
      <c r="Q126" s="11">
        <f>IFERROR(__xludf.DUMMYFUNCTION("""COMPUTED_VALUE"""),5.0)</f>
        <v>5</v>
      </c>
      <c r="R126" s="9"/>
      <c r="S126" s="9"/>
      <c r="T126" s="9"/>
      <c r="U126" s="36" t="str">
        <f>IFERROR(__xludf.DUMMYFUNCTION("""COMPUTED_VALUE"""),"#DIV/0!")</f>
        <v>#DIV/0!</v>
      </c>
      <c r="V126" s="9"/>
      <c r="W126" s="9"/>
      <c r="X126" s="9"/>
      <c r="Y126" s="9"/>
      <c r="Z126" s="9"/>
    </row>
    <row r="127">
      <c r="A127" s="9" t="str">
        <f>IFERROR(__xludf.DUMMYFUNCTION("""COMPUTED_VALUE"""),"Ilson Costa Lima")</f>
        <v>Ilson Costa Lima</v>
      </c>
      <c r="B127" s="9"/>
      <c r="C127" s="11">
        <f>IFERROR(__xludf.DUMMYFUNCTION("""COMPUTED_VALUE"""),12.0)</f>
        <v>12</v>
      </c>
      <c r="D127" s="9"/>
      <c r="E127" s="9"/>
      <c r="F127" s="9"/>
      <c r="G127" s="10">
        <f>IFERROR(__xludf.DUMMYFUNCTION("""COMPUTED_VALUE"""),0.8333333333333334)</f>
        <v>0.8333333333</v>
      </c>
      <c r="H127" s="9"/>
      <c r="I127" s="9"/>
      <c r="J127" s="11">
        <f>IFERROR(__xludf.DUMMYFUNCTION("""COMPUTED_VALUE"""),10.0)</f>
        <v>10</v>
      </c>
      <c r="K127" s="9"/>
      <c r="L127" s="9"/>
      <c r="M127" s="9"/>
      <c r="N127" s="10">
        <f>IFERROR(__xludf.DUMMYFUNCTION("""COMPUTED_VALUE"""),0.4)</f>
        <v>0.4</v>
      </c>
      <c r="O127" s="9"/>
      <c r="P127" s="9"/>
      <c r="Q127" s="11">
        <f>IFERROR(__xludf.DUMMYFUNCTION("""COMPUTED_VALUE"""),4.0)</f>
        <v>4</v>
      </c>
      <c r="R127" s="9"/>
      <c r="S127" s="9"/>
      <c r="T127" s="9"/>
      <c r="U127" s="36" t="str">
        <f>IFERROR(__xludf.DUMMYFUNCTION("""COMPUTED_VALUE"""),"#DIV/0!")</f>
        <v>#DIV/0!</v>
      </c>
      <c r="V127" s="9"/>
      <c r="W127" s="9"/>
      <c r="X127" s="9"/>
      <c r="Y127" s="9"/>
      <c r="Z127" s="9"/>
    </row>
    <row r="128">
      <c r="A128" s="9" t="str">
        <f>IFERROR(__xludf.DUMMYFUNCTION("""COMPUTED_VALUE"""),"Cauã Andrade")</f>
        <v>Cauã Andrade</v>
      </c>
      <c r="B128" s="9"/>
      <c r="C128" s="11">
        <f>IFERROR(__xludf.DUMMYFUNCTION("""COMPUTED_VALUE"""),12.0)</f>
        <v>12</v>
      </c>
      <c r="D128" s="9"/>
      <c r="E128" s="9"/>
      <c r="F128" s="9"/>
      <c r="G128" s="10">
        <f>IFERROR(__xludf.DUMMYFUNCTION("""COMPUTED_VALUE"""),0.9166666666666666)</f>
        <v>0.9166666667</v>
      </c>
      <c r="H128" s="9"/>
      <c r="I128" s="9"/>
      <c r="J128" s="11">
        <f>IFERROR(__xludf.DUMMYFUNCTION("""COMPUTED_VALUE"""),11.0)</f>
        <v>11</v>
      </c>
      <c r="K128" s="9"/>
      <c r="L128" s="9"/>
      <c r="M128" s="9"/>
      <c r="N128" s="10">
        <f>IFERROR(__xludf.DUMMYFUNCTION("""COMPUTED_VALUE"""),0.2727272727272727)</f>
        <v>0.2727272727</v>
      </c>
      <c r="O128" s="9"/>
      <c r="P128" s="9"/>
      <c r="Q128" s="11">
        <f>IFERROR(__xludf.DUMMYFUNCTION("""COMPUTED_VALUE"""),3.0)</f>
        <v>3</v>
      </c>
      <c r="R128" s="9"/>
      <c r="S128" s="9"/>
      <c r="T128" s="9"/>
      <c r="U128" s="36" t="str">
        <f>IFERROR(__xludf.DUMMYFUNCTION("""COMPUTED_VALUE"""),"#DIV/0!")</f>
        <v>#DIV/0!</v>
      </c>
      <c r="V128" s="9"/>
      <c r="W128" s="9"/>
      <c r="X128" s="9"/>
      <c r="Y128" s="9"/>
      <c r="Z128" s="9"/>
    </row>
    <row r="129">
      <c r="A129" s="9" t="str">
        <f>IFERROR(__xludf.DUMMYFUNCTION("""COMPUTED_VALUE"""),"Gustavo Pereira")</f>
        <v>Gustavo Pereira</v>
      </c>
      <c r="B129" s="9"/>
      <c r="C129" s="11">
        <f>IFERROR(__xludf.DUMMYFUNCTION("""COMPUTED_VALUE"""),14.0)</f>
        <v>14</v>
      </c>
      <c r="D129" s="9"/>
      <c r="E129" s="9"/>
      <c r="F129" s="9"/>
      <c r="G129" s="10">
        <f>IFERROR(__xludf.DUMMYFUNCTION("""COMPUTED_VALUE"""),0.5)</f>
        <v>0.5</v>
      </c>
      <c r="H129" s="9"/>
      <c r="I129" s="9"/>
      <c r="J129" s="11">
        <f>IFERROR(__xludf.DUMMYFUNCTION("""COMPUTED_VALUE"""),7.0)</f>
        <v>7</v>
      </c>
      <c r="K129" s="9"/>
      <c r="L129" s="9"/>
      <c r="M129" s="9"/>
      <c r="N129" s="10">
        <f>IFERROR(__xludf.DUMMYFUNCTION("""COMPUTED_VALUE"""),0.2857142857142857)</f>
        <v>0.2857142857</v>
      </c>
      <c r="O129" s="9"/>
      <c r="P129" s="9"/>
      <c r="Q129" s="11">
        <f>IFERROR(__xludf.DUMMYFUNCTION("""COMPUTED_VALUE"""),2.0)</f>
        <v>2</v>
      </c>
      <c r="R129" s="9"/>
      <c r="S129" s="9"/>
      <c r="T129" s="9"/>
      <c r="U129" s="36" t="str">
        <f>IFERROR(__xludf.DUMMYFUNCTION("""COMPUTED_VALUE"""),"#DIV/0!")</f>
        <v>#DIV/0!</v>
      </c>
      <c r="V129" s="9"/>
      <c r="W129" s="9"/>
      <c r="X129" s="9"/>
      <c r="Y129" s="9"/>
      <c r="Z129" s="9"/>
    </row>
    <row r="130">
      <c r="A130" s="9" t="str">
        <f>IFERROR(__xludf.DUMMYFUNCTION("""COMPUTED_VALUE"""),"Mariana Jovenato")</f>
        <v>Mariana Jovenato</v>
      </c>
      <c r="B130" s="9"/>
      <c r="C130" s="11">
        <f>IFERROR(__xludf.DUMMYFUNCTION("""COMPUTED_VALUE"""),12.0)</f>
        <v>12</v>
      </c>
      <c r="D130" s="9"/>
      <c r="E130" s="9"/>
      <c r="F130" s="9"/>
      <c r="G130" s="10">
        <f>IFERROR(__xludf.DUMMYFUNCTION("""COMPUTED_VALUE"""),0.6666666666666666)</f>
        <v>0.6666666667</v>
      </c>
      <c r="H130" s="9"/>
      <c r="I130" s="9"/>
      <c r="J130" s="11">
        <f>IFERROR(__xludf.DUMMYFUNCTION("""COMPUTED_VALUE"""),8.0)</f>
        <v>8</v>
      </c>
      <c r="K130" s="9"/>
      <c r="L130" s="9"/>
      <c r="M130" s="9"/>
      <c r="N130" s="10">
        <f>IFERROR(__xludf.DUMMYFUNCTION("""COMPUTED_VALUE"""),0.25)</f>
        <v>0.25</v>
      </c>
      <c r="O130" s="9"/>
      <c r="P130" s="9"/>
      <c r="Q130" s="11">
        <f>IFERROR(__xludf.DUMMYFUNCTION("""COMPUTED_VALUE"""),2.0)</f>
        <v>2</v>
      </c>
      <c r="R130" s="9"/>
      <c r="S130" s="9"/>
      <c r="T130" s="9"/>
      <c r="U130" s="36" t="str">
        <f>IFERROR(__xludf.DUMMYFUNCTION("""COMPUTED_VALUE"""),"#DIV/0!")</f>
        <v>#DIV/0!</v>
      </c>
      <c r="V130" s="9"/>
      <c r="W130" s="9"/>
      <c r="X130" s="9"/>
      <c r="Y130" s="9"/>
      <c r="Z130" s="9"/>
    </row>
    <row r="131">
      <c r="A131" s="9" t="str">
        <f>IFERROR(__xludf.DUMMYFUNCTION("""COMPUTED_VALUE"""),"João Rios")</f>
        <v>João Rios</v>
      </c>
      <c r="B131" s="9"/>
      <c r="C131" s="11">
        <f>IFERROR(__xludf.DUMMYFUNCTION("""COMPUTED_VALUE"""),12.0)</f>
        <v>12</v>
      </c>
      <c r="D131" s="9"/>
      <c r="E131" s="9"/>
      <c r="F131" s="9"/>
      <c r="G131" s="10">
        <f>IFERROR(__xludf.DUMMYFUNCTION("""COMPUTED_VALUE"""),0.6666666666666666)</f>
        <v>0.6666666667</v>
      </c>
      <c r="H131" s="9"/>
      <c r="I131" s="9"/>
      <c r="J131" s="11">
        <f>IFERROR(__xludf.DUMMYFUNCTION("""COMPUTED_VALUE"""),8.0)</f>
        <v>8</v>
      </c>
      <c r="K131" s="9"/>
      <c r="L131" s="9"/>
      <c r="M131" s="9"/>
      <c r="N131" s="10">
        <f>IFERROR(__xludf.DUMMYFUNCTION("""COMPUTED_VALUE"""),0.25)</f>
        <v>0.25</v>
      </c>
      <c r="O131" s="9"/>
      <c r="P131" s="9"/>
      <c r="Q131" s="11">
        <f>IFERROR(__xludf.DUMMYFUNCTION("""COMPUTED_VALUE"""),2.0)</f>
        <v>2</v>
      </c>
      <c r="R131" s="9"/>
      <c r="S131" s="9"/>
      <c r="T131" s="9"/>
      <c r="U131" s="36" t="str">
        <f>IFERROR(__xludf.DUMMYFUNCTION("""COMPUTED_VALUE"""),"#DIV/0!")</f>
        <v>#DIV/0!</v>
      </c>
      <c r="V131" s="9"/>
      <c r="W131" s="9"/>
      <c r="X131" s="9"/>
      <c r="Y131" s="9"/>
      <c r="Z131" s="9"/>
    </row>
    <row r="132">
      <c r="A132" s="9" t="str">
        <f>IFERROR(__xludf.DUMMYFUNCTION("""COMPUTED_VALUE"""),"Mylena Reis")</f>
        <v>Mylena Reis</v>
      </c>
      <c r="B132" s="9"/>
      <c r="C132" s="11">
        <f>IFERROR(__xludf.DUMMYFUNCTION("""COMPUTED_VALUE"""),8.0)</f>
        <v>8</v>
      </c>
      <c r="D132" s="9"/>
      <c r="E132" s="9"/>
      <c r="F132" s="9"/>
      <c r="G132" s="10">
        <f>IFERROR(__xludf.DUMMYFUNCTION("""COMPUTED_VALUE"""),1.125)</f>
        <v>1.125</v>
      </c>
      <c r="H132" s="9"/>
      <c r="I132" s="9"/>
      <c r="J132" s="11">
        <f>IFERROR(__xludf.DUMMYFUNCTION("""COMPUTED_VALUE"""),9.0)</f>
        <v>9</v>
      </c>
      <c r="K132" s="9"/>
      <c r="L132" s="9"/>
      <c r="M132" s="9"/>
      <c r="N132" s="10">
        <f>IFERROR(__xludf.DUMMYFUNCTION("""COMPUTED_VALUE"""),0.2222222222222222)</f>
        <v>0.2222222222</v>
      </c>
      <c r="O132" s="9"/>
      <c r="P132" s="9"/>
      <c r="Q132" s="11">
        <f>IFERROR(__xludf.DUMMYFUNCTION("""COMPUTED_VALUE"""),2.0)</f>
        <v>2</v>
      </c>
      <c r="R132" s="9"/>
      <c r="S132" s="9"/>
      <c r="T132" s="9"/>
      <c r="U132" s="36" t="str">
        <f>IFERROR(__xludf.DUMMYFUNCTION("""COMPUTED_VALUE"""),"#DIV/0!")</f>
        <v>#DIV/0!</v>
      </c>
      <c r="V132" s="9"/>
      <c r="W132" s="9"/>
      <c r="X132" s="9"/>
      <c r="Y132" s="9"/>
      <c r="Z132" s="9"/>
    </row>
    <row r="133">
      <c r="A133" s="9" t="str">
        <f>IFERROR(__xludf.DUMMYFUNCTION("""COMPUTED_VALUE"""),"Marcio Lucas")</f>
        <v>Marcio Lucas</v>
      </c>
      <c r="B133" s="9"/>
      <c r="C133" s="11">
        <f>IFERROR(__xludf.DUMMYFUNCTION("""COMPUTED_VALUE"""),14.0)</f>
        <v>14</v>
      </c>
      <c r="D133" s="9"/>
      <c r="E133" s="9"/>
      <c r="F133" s="9"/>
      <c r="G133" s="10">
        <f>IFERROR(__xludf.DUMMYFUNCTION("""COMPUTED_VALUE"""),0.7857142857142857)</f>
        <v>0.7857142857</v>
      </c>
      <c r="H133" s="9"/>
      <c r="I133" s="9"/>
      <c r="J133" s="11">
        <f>IFERROR(__xludf.DUMMYFUNCTION("""COMPUTED_VALUE"""),11.0)</f>
        <v>11</v>
      </c>
      <c r="K133" s="9"/>
      <c r="L133" s="9"/>
      <c r="M133" s="9"/>
      <c r="N133" s="10">
        <f>IFERROR(__xludf.DUMMYFUNCTION("""COMPUTED_VALUE"""),0.09090909090909091)</f>
        <v>0.09090909091</v>
      </c>
      <c r="O133" s="9"/>
      <c r="P133" s="9"/>
      <c r="Q133" s="11">
        <f>IFERROR(__xludf.DUMMYFUNCTION("""COMPUTED_VALUE"""),1.0)</f>
        <v>1</v>
      </c>
      <c r="R133" s="9"/>
      <c r="S133" s="9"/>
      <c r="T133" s="9"/>
      <c r="U133" s="36" t="str">
        <f>IFERROR(__xludf.DUMMYFUNCTION("""COMPUTED_VALUE"""),"#DIV/0!")</f>
        <v>#DIV/0!</v>
      </c>
      <c r="V133" s="9"/>
      <c r="W133" s="9"/>
      <c r="X133" s="9"/>
      <c r="Y133" s="9"/>
      <c r="Z133" s="9"/>
    </row>
    <row r="134">
      <c r="A134" s="9" t="str">
        <f>IFERROR(__xludf.DUMMYFUNCTION("""COMPUTED_VALUE"""),"João Vitor Nascimento")</f>
        <v>João Vitor Nascimento</v>
      </c>
      <c r="B134" s="9"/>
      <c r="C134" s="11">
        <f>IFERROR(__xludf.DUMMYFUNCTION("""COMPUTED_VALUE"""),1.0)</f>
        <v>1</v>
      </c>
      <c r="D134" s="9"/>
      <c r="E134" s="9"/>
      <c r="F134" s="9"/>
      <c r="G134" s="10">
        <f>IFERROR(__xludf.DUMMYFUNCTION("""COMPUTED_VALUE"""),1.0)</f>
        <v>1</v>
      </c>
      <c r="H134" s="9"/>
      <c r="I134" s="9"/>
      <c r="J134" s="11">
        <f>IFERROR(__xludf.DUMMYFUNCTION("""COMPUTED_VALUE"""),1.0)</f>
        <v>1</v>
      </c>
      <c r="K134" s="9"/>
      <c r="L134" s="9"/>
      <c r="M134" s="9"/>
      <c r="N134" s="10">
        <f>IFERROR(__xludf.DUMMYFUNCTION("""COMPUTED_VALUE"""),0.0)</f>
        <v>0</v>
      </c>
      <c r="O134" s="9"/>
      <c r="P134" s="9"/>
      <c r="Q134" s="11">
        <f>IFERROR(__xludf.DUMMYFUNCTION("""COMPUTED_VALUE"""),0.0)</f>
        <v>0</v>
      </c>
      <c r="R134" s="9"/>
      <c r="S134" s="9"/>
      <c r="T134" s="9"/>
      <c r="U134" s="36" t="str">
        <f>IFERROR(__xludf.DUMMYFUNCTION("""COMPUTED_VALUE"""),"#DIV/0!")</f>
        <v>#DIV/0!</v>
      </c>
      <c r="V134" s="9"/>
      <c r="W134" s="9"/>
      <c r="X134" s="9"/>
      <c r="Y134" s="9"/>
      <c r="Z134" s="9"/>
    </row>
    <row r="135">
      <c r="A135" s="9" t="str">
        <f>IFERROR(__xludf.DUMMYFUNCTION("""COMPUTED_VALUE"""),"Izabelle Lopes")</f>
        <v>Izabelle Lopes</v>
      </c>
      <c r="B135" s="9"/>
      <c r="C135" s="11">
        <f>IFERROR(__xludf.DUMMYFUNCTION("""COMPUTED_VALUE"""),2.0)</f>
        <v>2</v>
      </c>
      <c r="D135" s="9"/>
      <c r="E135" s="9"/>
      <c r="F135" s="9"/>
      <c r="G135" s="10">
        <f>IFERROR(__xludf.DUMMYFUNCTION("""COMPUTED_VALUE"""),0.5)</f>
        <v>0.5</v>
      </c>
      <c r="H135" s="9"/>
      <c r="I135" s="9"/>
      <c r="J135" s="11">
        <f>IFERROR(__xludf.DUMMYFUNCTION("""COMPUTED_VALUE"""),1.0)</f>
        <v>1</v>
      </c>
      <c r="K135" s="9"/>
      <c r="L135" s="9"/>
      <c r="M135" s="9"/>
      <c r="N135" s="10">
        <f>IFERROR(__xludf.DUMMYFUNCTION("""COMPUTED_VALUE"""),0.0)</f>
        <v>0</v>
      </c>
      <c r="O135" s="9"/>
      <c r="P135" s="9"/>
      <c r="Q135" s="11">
        <f>IFERROR(__xludf.DUMMYFUNCTION("""COMPUTED_VALUE"""),0.0)</f>
        <v>0</v>
      </c>
      <c r="R135" s="9"/>
      <c r="S135" s="9"/>
      <c r="T135" s="9"/>
      <c r="U135" s="36" t="str">
        <f>IFERROR(__xludf.DUMMYFUNCTION("""COMPUTED_VALUE"""),"#DIV/0!")</f>
        <v>#DIV/0!</v>
      </c>
      <c r="V135" s="9"/>
      <c r="W135" s="9"/>
      <c r="X135" s="9"/>
      <c r="Y135" s="9"/>
      <c r="Z135" s="9"/>
    </row>
    <row r="136">
      <c r="A136" s="9" t="str">
        <f>IFERROR(__xludf.DUMMYFUNCTION("""COMPUTED_VALUE"""),"[CM] Form G4 - Outros")</f>
        <v>[CM] Form G4 - Outros</v>
      </c>
      <c r="B136" s="11">
        <f>IFERROR(__xludf.DUMMYFUNCTION("""COMPUTED_VALUE"""),21.93548387096773)</f>
        <v>21.93548387</v>
      </c>
      <c r="C136" s="11">
        <f>IFERROR(__xludf.DUMMYFUNCTION("""COMPUTED_VALUE"""),19.0)</f>
        <v>19</v>
      </c>
      <c r="D136" s="11">
        <f>IFERROR(__xludf.DUMMYFUNCTION("""COMPUTED_VALUE"""),-2.9354838709677296)</f>
        <v>-2.935483871</v>
      </c>
      <c r="E136" s="10">
        <f>IFERROR(__xludf.DUMMYFUNCTION("""COMPUTED_VALUE"""),-0.13382352941176423)</f>
        <v>-0.1338235294</v>
      </c>
      <c r="F136" s="10">
        <f>IFERROR(__xludf.DUMMYFUNCTION("""COMPUTED_VALUE"""),0.6460674157303372)</f>
        <v>0.6460674157</v>
      </c>
      <c r="G136" s="10">
        <f>IFERROR(__xludf.DUMMYFUNCTION("""COMPUTED_VALUE"""),0.5789473684210527)</f>
        <v>0.5789473684</v>
      </c>
      <c r="H136" s="35">
        <f>IFERROR(__xludf.DUMMYFUNCTION("""COMPUTED_VALUE"""),-6.712004730928456)</f>
        <v>-6.712004731</v>
      </c>
      <c r="I136" s="11">
        <f>IFERROR(__xludf.DUMMYFUNCTION("""COMPUTED_VALUE"""),14.171801377310615)</f>
        <v>14.17180138</v>
      </c>
      <c r="J136" s="11">
        <f>IFERROR(__xludf.DUMMYFUNCTION("""COMPUTED_VALUE"""),11.0)</f>
        <v>11</v>
      </c>
      <c r="K136" s="11">
        <f>IFERROR(__xludf.DUMMYFUNCTION("""COMPUTED_VALUE"""),-3.171801377310615)</f>
        <v>-3.171801377</v>
      </c>
      <c r="L136" s="10">
        <f>IFERROR(__xludf.DUMMYFUNCTION("""COMPUTED_VALUE"""),-0.2238107416879793)</f>
        <v>-0.2238107417</v>
      </c>
      <c r="M136" s="10">
        <f>IFERROR(__xludf.DUMMYFUNCTION("""COMPUTED_VALUE"""),0.2768117647058825)</f>
        <v>0.2768117647</v>
      </c>
      <c r="N136" s="10">
        <f>IFERROR(__xludf.DUMMYFUNCTION("""COMPUTED_VALUE"""),0.36363636363636365)</f>
        <v>0.3636363636</v>
      </c>
      <c r="O136" s="35">
        <f>IFERROR(__xludf.DUMMYFUNCTION("""COMPUTED_VALUE"""),8.682459893048117)</f>
        <v>8.682459893</v>
      </c>
      <c r="P136" s="11">
        <f>IFERROR(__xludf.DUMMYFUNCTION("""COMPUTED_VALUE"""),3.922921348314607)</f>
        <v>3.922921348</v>
      </c>
      <c r="Q136" s="11">
        <f>IFERROR(__xludf.DUMMYFUNCTION("""COMPUTED_VALUE"""),4.0)</f>
        <v>4</v>
      </c>
      <c r="R136" s="11">
        <f>IFERROR(__xludf.DUMMYFUNCTION("""COMPUTED_VALUE"""),0.07707865168539296)</f>
        <v>0.07707865169</v>
      </c>
      <c r="S136" s="10">
        <f>IFERROR(__xludf.DUMMYFUNCTION("""COMPUTED_VALUE"""),0.0196482786274846)</f>
        <v>0.01964827863</v>
      </c>
      <c r="T136" s="11">
        <f>IFERROR(__xludf.DUMMYFUNCTION("""COMPUTED_VALUE"""),22023.54690240771)</f>
        <v>22023.5469</v>
      </c>
      <c r="U136" s="36">
        <f>IFERROR(__xludf.DUMMYFUNCTION("""COMPUTED_VALUE"""),1554.0400486890765)</f>
        <v>1554.040049</v>
      </c>
      <c r="V136" s="36">
        <f>IFERROR(__xludf.DUMMYFUNCTION("""COMPUTED_VALUE"""),-4929.106366827868)</f>
        <v>-4929.106367</v>
      </c>
      <c r="W136" s="10">
        <f>IFERROR(__xludf.DUMMYFUNCTION("""COMPUTED_VALUE"""),-0.2238107416879793)</f>
        <v>-0.2238107417</v>
      </c>
      <c r="X136" s="9"/>
      <c r="Y136" s="9"/>
      <c r="Z136" s="9"/>
    </row>
    <row r="137">
      <c r="A137" s="9" t="str">
        <f>IFERROR(__xludf.DUMMYFUNCTION("""COMPUTED_VALUE"""),"Mariana Jovenato")</f>
        <v>Mariana Jovenato</v>
      </c>
      <c r="B137" s="9"/>
      <c r="C137" s="11">
        <f>IFERROR(__xludf.DUMMYFUNCTION("""COMPUTED_VALUE"""),8.0)</f>
        <v>8</v>
      </c>
      <c r="D137" s="9"/>
      <c r="E137" s="9"/>
      <c r="F137" s="9"/>
      <c r="G137" s="10">
        <f>IFERROR(__xludf.DUMMYFUNCTION("""COMPUTED_VALUE"""),0.75)</f>
        <v>0.75</v>
      </c>
      <c r="H137" s="9"/>
      <c r="I137" s="9"/>
      <c r="J137" s="11">
        <f>IFERROR(__xludf.DUMMYFUNCTION("""COMPUTED_VALUE"""),6.0)</f>
        <v>6</v>
      </c>
      <c r="K137" s="9"/>
      <c r="L137" s="9"/>
      <c r="M137" s="9"/>
      <c r="N137" s="10">
        <f>IFERROR(__xludf.DUMMYFUNCTION("""COMPUTED_VALUE"""),0.8333333333333334)</f>
        <v>0.8333333333</v>
      </c>
      <c r="O137" s="9"/>
      <c r="P137" s="9"/>
      <c r="Q137" s="11">
        <f>IFERROR(__xludf.DUMMYFUNCTION("""COMPUTED_VALUE"""),5.0)</f>
        <v>5</v>
      </c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 t="str">
        <f>IFERROR(__xludf.DUMMYFUNCTION("""COMPUTED_VALUE"""),"Marcio Lucas")</f>
        <v>Marcio Lucas</v>
      </c>
      <c r="B138" s="9"/>
      <c r="C138" s="11">
        <f>IFERROR(__xludf.DUMMYFUNCTION("""COMPUTED_VALUE"""),7.0)</f>
        <v>7</v>
      </c>
      <c r="D138" s="9"/>
      <c r="E138" s="9"/>
      <c r="F138" s="9"/>
      <c r="G138" s="10">
        <f>IFERROR(__xludf.DUMMYFUNCTION("""COMPUTED_VALUE"""),1.0)</f>
        <v>1</v>
      </c>
      <c r="H138" s="9"/>
      <c r="I138" s="9"/>
      <c r="J138" s="11">
        <f>IFERROR(__xludf.DUMMYFUNCTION("""COMPUTED_VALUE"""),7.0)</f>
        <v>7</v>
      </c>
      <c r="K138" s="9"/>
      <c r="L138" s="9"/>
      <c r="M138" s="9"/>
      <c r="N138" s="10">
        <f>IFERROR(__xludf.DUMMYFUNCTION("""COMPUTED_VALUE"""),0.2857142857142857)</f>
        <v>0.2857142857</v>
      </c>
      <c r="O138" s="9"/>
      <c r="P138" s="9"/>
      <c r="Q138" s="11">
        <f>IFERROR(__xludf.DUMMYFUNCTION("""COMPUTED_VALUE"""),2.0)</f>
        <v>2</v>
      </c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 t="str">
        <f>IFERROR(__xludf.DUMMYFUNCTION("""COMPUTED_VALUE"""),"João Vitor Nascimento")</f>
        <v>João Vitor Nascimento</v>
      </c>
      <c r="B139" s="9"/>
      <c r="C139" s="11">
        <f>IFERROR(__xludf.DUMMYFUNCTION("""COMPUTED_VALUE"""),2.0)</f>
        <v>2</v>
      </c>
      <c r="D139" s="9"/>
      <c r="E139" s="9"/>
      <c r="F139" s="9"/>
      <c r="G139" s="10">
        <f>IFERROR(__xludf.DUMMYFUNCTION("""COMPUTED_VALUE"""),0.5)</f>
        <v>0.5</v>
      </c>
      <c r="H139" s="9"/>
      <c r="I139" s="9"/>
      <c r="J139" s="11">
        <f>IFERROR(__xludf.DUMMYFUNCTION("""COMPUTED_VALUE"""),1.0)</f>
        <v>1</v>
      </c>
      <c r="K139" s="9"/>
      <c r="L139" s="9"/>
      <c r="M139" s="9"/>
      <c r="N139" s="10">
        <f>IFERROR(__xludf.DUMMYFUNCTION("""COMPUTED_VALUE"""),1.0)</f>
        <v>1</v>
      </c>
      <c r="O139" s="9"/>
      <c r="P139" s="9"/>
      <c r="Q139" s="11">
        <f>IFERROR(__xludf.DUMMYFUNCTION("""COMPUTED_VALUE"""),1.0)</f>
        <v>1</v>
      </c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 t="str">
        <f>IFERROR(__xludf.DUMMYFUNCTION("""COMPUTED_VALUE"""),"Mylena Reis")</f>
        <v>Mylena Reis</v>
      </c>
      <c r="B140" s="9"/>
      <c r="C140" s="11">
        <f>IFERROR(__xludf.DUMMYFUNCTION("""COMPUTED_VALUE"""),4.0)</f>
        <v>4</v>
      </c>
      <c r="D140" s="9"/>
      <c r="E140" s="9"/>
      <c r="F140" s="9"/>
      <c r="G140" s="10">
        <f>IFERROR(__xludf.DUMMYFUNCTION("""COMPUTED_VALUE"""),0.5)</f>
        <v>0.5</v>
      </c>
      <c r="H140" s="9"/>
      <c r="I140" s="9"/>
      <c r="J140" s="11">
        <f>IFERROR(__xludf.DUMMYFUNCTION("""COMPUTED_VALUE"""),2.0)</f>
        <v>2</v>
      </c>
      <c r="K140" s="9"/>
      <c r="L140" s="9"/>
      <c r="M140" s="9"/>
      <c r="N140" s="10">
        <f>IFERROR(__xludf.DUMMYFUNCTION("""COMPUTED_VALUE"""),0.5)</f>
        <v>0.5</v>
      </c>
      <c r="O140" s="9"/>
      <c r="P140" s="9"/>
      <c r="Q140" s="11">
        <f>IFERROR(__xludf.DUMMYFUNCTION("""COMPUTED_VALUE"""),1.0)</f>
        <v>1</v>
      </c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 t="str">
        <f>IFERROR(__xludf.DUMMYFUNCTION("""COMPUTED_VALUE"""),"João Rios")</f>
        <v>João Rios</v>
      </c>
      <c r="B141" s="9"/>
      <c r="C141" s="11">
        <f>IFERROR(__xludf.DUMMYFUNCTION("""COMPUTED_VALUE"""),8.0)</f>
        <v>8</v>
      </c>
      <c r="D141" s="9"/>
      <c r="E141" s="9"/>
      <c r="F141" s="9"/>
      <c r="G141" s="10">
        <f>IFERROR(__xludf.DUMMYFUNCTION("""COMPUTED_VALUE"""),0.5)</f>
        <v>0.5</v>
      </c>
      <c r="H141" s="9"/>
      <c r="I141" s="9"/>
      <c r="J141" s="11">
        <f>IFERROR(__xludf.DUMMYFUNCTION("""COMPUTED_VALUE"""),4.0)</f>
        <v>4</v>
      </c>
      <c r="K141" s="9"/>
      <c r="L141" s="9"/>
      <c r="M141" s="9"/>
      <c r="N141" s="10">
        <f>IFERROR(__xludf.DUMMYFUNCTION("""COMPUTED_VALUE"""),0.25)</f>
        <v>0.25</v>
      </c>
      <c r="O141" s="9"/>
      <c r="P141" s="9"/>
      <c r="Q141" s="11">
        <f>IFERROR(__xludf.DUMMYFUNCTION("""COMPUTED_VALUE"""),1.0)</f>
        <v>1</v>
      </c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 t="str">
        <f>IFERROR(__xludf.DUMMYFUNCTION("""COMPUTED_VALUE"""),"Gustavo Pereira")</f>
        <v>Gustavo Pereira</v>
      </c>
      <c r="B142" s="9"/>
      <c r="C142" s="11">
        <f>IFERROR(__xludf.DUMMYFUNCTION("""COMPUTED_VALUE"""),8.0)</f>
        <v>8</v>
      </c>
      <c r="D142" s="9"/>
      <c r="E142" s="9"/>
      <c r="F142" s="9"/>
      <c r="G142" s="10">
        <f>IFERROR(__xludf.DUMMYFUNCTION("""COMPUTED_VALUE"""),0.5)</f>
        <v>0.5</v>
      </c>
      <c r="H142" s="9"/>
      <c r="I142" s="9"/>
      <c r="J142" s="11">
        <f>IFERROR(__xludf.DUMMYFUNCTION("""COMPUTED_VALUE"""),4.0)</f>
        <v>4</v>
      </c>
      <c r="K142" s="9"/>
      <c r="L142" s="9"/>
      <c r="M142" s="9"/>
      <c r="N142" s="10">
        <f>IFERROR(__xludf.DUMMYFUNCTION("""COMPUTED_VALUE"""),0.25)</f>
        <v>0.25</v>
      </c>
      <c r="O142" s="9"/>
      <c r="P142" s="9"/>
      <c r="Q142" s="11">
        <f>IFERROR(__xludf.DUMMYFUNCTION("""COMPUTED_VALUE"""),1.0)</f>
        <v>1</v>
      </c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 t="str">
        <f>IFERROR(__xludf.DUMMYFUNCTION("""COMPUTED_VALUE"""),"Felipe Maximo")</f>
        <v>Felipe Maximo</v>
      </c>
      <c r="B143" s="9"/>
      <c r="C143" s="11">
        <f>IFERROR(__xludf.DUMMYFUNCTION("""COMPUTED_VALUE"""),8.0)</f>
        <v>8</v>
      </c>
      <c r="D143" s="9"/>
      <c r="E143" s="9"/>
      <c r="F143" s="9"/>
      <c r="G143" s="10">
        <f>IFERROR(__xludf.DUMMYFUNCTION("""COMPUTED_VALUE"""),0.5)</f>
        <v>0.5</v>
      </c>
      <c r="H143" s="9"/>
      <c r="I143" s="9"/>
      <c r="J143" s="11">
        <f>IFERROR(__xludf.DUMMYFUNCTION("""COMPUTED_VALUE"""),4.0)</f>
        <v>4</v>
      </c>
      <c r="K143" s="9"/>
      <c r="L143" s="9"/>
      <c r="M143" s="9"/>
      <c r="N143" s="10">
        <f>IFERROR(__xludf.DUMMYFUNCTION("""COMPUTED_VALUE"""),0.25)</f>
        <v>0.25</v>
      </c>
      <c r="O143" s="9"/>
      <c r="P143" s="9"/>
      <c r="Q143" s="11">
        <f>IFERROR(__xludf.DUMMYFUNCTION("""COMPUTED_VALUE"""),1.0)</f>
        <v>1</v>
      </c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 t="str">
        <f>IFERROR(__xludf.DUMMYFUNCTION("""COMPUTED_VALUE"""),"Ilson Costa Lima")</f>
        <v>Ilson Costa Lima</v>
      </c>
      <c r="B144" s="9"/>
      <c r="C144" s="11">
        <f>IFERROR(__xludf.DUMMYFUNCTION("""COMPUTED_VALUE"""),8.0)</f>
        <v>8</v>
      </c>
      <c r="D144" s="9"/>
      <c r="E144" s="9"/>
      <c r="F144" s="9"/>
      <c r="G144" s="10">
        <f>IFERROR(__xludf.DUMMYFUNCTION("""COMPUTED_VALUE"""),0.625)</f>
        <v>0.625</v>
      </c>
      <c r="H144" s="9"/>
      <c r="I144" s="9"/>
      <c r="J144" s="11">
        <f>IFERROR(__xludf.DUMMYFUNCTION("""COMPUTED_VALUE"""),5.0)</f>
        <v>5</v>
      </c>
      <c r="K144" s="9"/>
      <c r="L144" s="9"/>
      <c r="M144" s="9"/>
      <c r="N144" s="10">
        <f>IFERROR(__xludf.DUMMYFUNCTION("""COMPUTED_VALUE"""),0.2)</f>
        <v>0.2</v>
      </c>
      <c r="O144" s="9"/>
      <c r="P144" s="9"/>
      <c r="Q144" s="11">
        <f>IFERROR(__xludf.DUMMYFUNCTION("""COMPUTED_VALUE"""),1.0)</f>
        <v>1</v>
      </c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 t="str">
        <f>IFERROR(__xludf.DUMMYFUNCTION("""COMPUTED_VALUE"""),"Cauã Andrade")</f>
        <v>Cauã Andrade</v>
      </c>
      <c r="B145" s="9"/>
      <c r="C145" s="11">
        <f>IFERROR(__xludf.DUMMYFUNCTION("""COMPUTED_VALUE"""),7.0)</f>
        <v>7</v>
      </c>
      <c r="D145" s="9"/>
      <c r="E145" s="9"/>
      <c r="F145" s="9"/>
      <c r="G145" s="10">
        <f>IFERROR(__xludf.DUMMYFUNCTION("""COMPUTED_VALUE"""),0.7142857142857143)</f>
        <v>0.7142857143</v>
      </c>
      <c r="H145" s="9"/>
      <c r="I145" s="9"/>
      <c r="J145" s="11">
        <f>IFERROR(__xludf.DUMMYFUNCTION("""COMPUTED_VALUE"""),5.0)</f>
        <v>5</v>
      </c>
      <c r="K145" s="9"/>
      <c r="L145" s="9"/>
      <c r="M145" s="9"/>
      <c r="N145" s="10">
        <f>IFERROR(__xludf.DUMMYFUNCTION("""COMPUTED_VALUE"""),0.2)</f>
        <v>0.2</v>
      </c>
      <c r="O145" s="9"/>
      <c r="P145" s="9"/>
      <c r="Q145" s="11">
        <f>IFERROR(__xludf.DUMMYFUNCTION("""COMPUTED_VALUE"""),1.0)</f>
        <v>1</v>
      </c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 t="str">
        <f>IFERROR(__xludf.DUMMYFUNCTION("""COMPUTED_VALUE"""),"Thalita Lopes")</f>
        <v>Thalita Lopes</v>
      </c>
      <c r="B146" s="9"/>
      <c r="C146" s="11">
        <f>IFERROR(__xludf.DUMMYFUNCTION("""COMPUTED_VALUE"""),8.0)</f>
        <v>8</v>
      </c>
      <c r="D146" s="9"/>
      <c r="E146" s="9"/>
      <c r="F146" s="9"/>
      <c r="G146" s="10">
        <f>IFERROR(__xludf.DUMMYFUNCTION("""COMPUTED_VALUE"""),0.25)</f>
        <v>0.25</v>
      </c>
      <c r="H146" s="9"/>
      <c r="I146" s="9"/>
      <c r="J146" s="11">
        <f>IFERROR(__xludf.DUMMYFUNCTION("""COMPUTED_VALUE"""),2.0)</f>
        <v>2</v>
      </c>
      <c r="K146" s="9"/>
      <c r="L146" s="9"/>
      <c r="M146" s="9"/>
      <c r="N146" s="10">
        <f>IFERROR(__xludf.DUMMYFUNCTION("""COMPUTED_VALUE"""),0.0)</f>
        <v>0</v>
      </c>
      <c r="O146" s="9"/>
      <c r="P146" s="9"/>
      <c r="Q146" s="11">
        <f>IFERROR(__xludf.DUMMYFUNCTION("""COMPUTED_VALUE"""),0.0)</f>
        <v>0</v>
      </c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 t="str">
        <f>IFERROR(__xludf.DUMMYFUNCTION("""COMPUTED_VALUE"""),"MQL Meta")</f>
        <v>MQL Meta</v>
      </c>
      <c r="C232" s="9" t="str">
        <f>IFERROR(__xludf.DUMMYFUNCTION("""COMPUTED_VALUE"""),"SAL Meta")</f>
        <v>SAL Meta</v>
      </c>
      <c r="D232" s="9" t="str">
        <f>IFERROR(__xludf.DUMMYFUNCTION("""COMPUTED_VALUE"""),"Opp Meta")</f>
        <v>Opp Meta</v>
      </c>
      <c r="E232" s="9" t="str">
        <f>IFERROR(__xludf.DUMMYFUNCTION("""COMPUTED_VALUE"""),"MQL Meta Diarizado")</f>
        <v>MQL Meta Diarizado</v>
      </c>
      <c r="F232" s="9" t="str">
        <f>IFERROR(__xludf.DUMMYFUNCTION("""COMPUTED_VALUE"""),"SAL Meta Diarizado")</f>
        <v>SAL Meta Diarizado</v>
      </c>
      <c r="G232" s="9" t="str">
        <f>IFERROR(__xludf.DUMMYFUNCTION("""COMPUTED_VALUE"""),"Opp Meta Diarizado")</f>
        <v>Opp Meta Diarizado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11">
        <f>IFERROR(__xludf.DUMMYFUNCTION("""COMPUTED_VALUE"""),750.0)</f>
        <v>750</v>
      </c>
      <c r="C233" s="34">
        <f>IFERROR(__xludf.DUMMYFUNCTION("""COMPUTED_VALUE"""),623.0)</f>
        <v>623</v>
      </c>
      <c r="D233" s="34">
        <f>IFERROR(__xludf.DUMMYFUNCTION("""COMPUTED_VALUE"""),168.0)</f>
        <v>168</v>
      </c>
      <c r="E233" s="34">
        <f>IFERROR(__xludf.DUMMYFUNCTION("""COMPUTED_VALUE"""),411.29032258064495)</f>
        <v>411.2903226</v>
      </c>
      <c r="F233" s="34">
        <f>IFERROR(__xludf.DUMMYFUNCTION("""COMPUTED_VALUE"""),341.6451612903224)</f>
        <v>341.6451613</v>
      </c>
      <c r="G233" s="34">
        <f>IFERROR(__xludf.DUMMYFUNCTION("""COMPUTED_VALUE"""),92.39999999999999)</f>
        <v>92.4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11">
        <f>IFERROR(__xludf.DUMMYFUNCTION("""COMPUTED_VALUE"""),31.0)</f>
        <v>31</v>
      </c>
      <c r="C234" s="34">
        <f>IFERROR(__xludf.DUMMYFUNCTION("""COMPUTED_VALUE"""),31.0)</f>
        <v>31</v>
      </c>
      <c r="D234" s="34">
        <f>IFERROR(__xludf.DUMMYFUNCTION("""COMPUTED_VALUE"""),11.0)</f>
        <v>11</v>
      </c>
      <c r="E234" s="34">
        <f>IFERROR(__xludf.DUMMYFUNCTION("""COMPUTED_VALUE"""),16.999999999999993)</f>
        <v>17</v>
      </c>
      <c r="F234" s="34">
        <f>IFERROR(__xludf.DUMMYFUNCTION("""COMPUTED_VALUE"""),16.999999999999993)</f>
        <v>17</v>
      </c>
      <c r="G234" s="34">
        <f>IFERROR(__xludf.DUMMYFUNCTION("""COMPUTED_VALUE"""),6.049999999999999)</f>
        <v>6.05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11">
        <f>IFERROR(__xludf.DUMMYFUNCTION("""COMPUTED_VALUE"""),1975.0)</f>
        <v>1975</v>
      </c>
      <c r="C235" s="34">
        <f>IFERROR(__xludf.DUMMYFUNCTION("""COMPUTED_VALUE"""),1514.0)</f>
        <v>1514</v>
      </c>
      <c r="D235" s="34">
        <f>IFERROR(__xludf.DUMMYFUNCTION("""COMPUTED_VALUE"""),529.0)</f>
        <v>529</v>
      </c>
      <c r="E235" s="34">
        <f>IFERROR(__xludf.DUMMYFUNCTION("""COMPUTED_VALUE"""),1083.0645161290317)</f>
        <v>1083.064516</v>
      </c>
      <c r="F235" s="34">
        <f>IFERROR(__xludf.DUMMYFUNCTION("""COMPUTED_VALUE"""),830.2580645161287)</f>
        <v>830.2580645</v>
      </c>
      <c r="G235" s="34">
        <f>IFERROR(__xludf.DUMMYFUNCTION("""COMPUTED_VALUE"""),290.95)</f>
        <v>290.95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11">
        <f>IFERROR(__xludf.DUMMYFUNCTION("""COMPUTED_VALUE"""),1237.0)</f>
        <v>1237</v>
      </c>
      <c r="C236" s="34">
        <f>IFERROR(__xludf.DUMMYFUNCTION("""COMPUTED_VALUE"""),970.0)</f>
        <v>970</v>
      </c>
      <c r="D236" s="34">
        <f>IFERROR(__xludf.DUMMYFUNCTION("""COMPUTED_VALUE"""),344.0)</f>
        <v>344</v>
      </c>
      <c r="E236" s="34">
        <f>IFERROR(__xludf.DUMMYFUNCTION("""COMPUTED_VALUE"""),678.3548387096771)</f>
        <v>678.3548387</v>
      </c>
      <c r="F236" s="34">
        <f>IFERROR(__xludf.DUMMYFUNCTION("""COMPUTED_VALUE"""),531.9354838709675)</f>
        <v>531.9354839</v>
      </c>
      <c r="G236" s="34">
        <f>IFERROR(__xludf.DUMMYFUNCTION("""COMPUTED_VALUE"""),189.2)</f>
        <v>189.2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11">
        <f>IFERROR(__xludf.DUMMYFUNCTION("""COMPUTED_VALUE"""),362.0)</f>
        <v>362</v>
      </c>
      <c r="C237" s="34">
        <f>IFERROR(__xludf.DUMMYFUNCTION("""COMPUTED_VALUE"""),276.0)</f>
        <v>276</v>
      </c>
      <c r="D237" s="34">
        <f>IFERROR(__xludf.DUMMYFUNCTION("""COMPUTED_VALUE"""),85.0)</f>
        <v>85</v>
      </c>
      <c r="E237" s="34">
        <f>IFERROR(__xludf.DUMMYFUNCTION("""COMPUTED_VALUE"""),198.51612903225796)</f>
        <v>198.516129</v>
      </c>
      <c r="F237" s="34">
        <f>IFERROR(__xludf.DUMMYFUNCTION("""COMPUTED_VALUE"""),151.35483870967735)</f>
        <v>151.3548387</v>
      </c>
      <c r="G237" s="34">
        <f>IFERROR(__xludf.DUMMYFUNCTION("""COMPUTED_VALUE"""),46.74999999999999)</f>
        <v>46.75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11">
        <f>IFERROR(__xludf.DUMMYFUNCTION("""COMPUTED_VALUE"""),280.0)</f>
        <v>280</v>
      </c>
      <c r="C238" s="34">
        <f>IFERROR(__xludf.DUMMYFUNCTION("""COMPUTED_VALUE"""),205.0)</f>
        <v>205</v>
      </c>
      <c r="D238" s="34">
        <f>IFERROR(__xludf.DUMMYFUNCTION("""COMPUTED_VALUE"""),80.0)</f>
        <v>80</v>
      </c>
      <c r="E238" s="34">
        <f>IFERROR(__xludf.DUMMYFUNCTION("""COMPUTED_VALUE"""),153.54838709677412)</f>
        <v>153.5483871</v>
      </c>
      <c r="F238" s="34">
        <f>IFERROR(__xludf.DUMMYFUNCTION("""COMPUTED_VALUE"""),112.41935483870962)</f>
        <v>112.4193548</v>
      </c>
      <c r="G238" s="34">
        <f>IFERROR(__xludf.DUMMYFUNCTION("""COMPUTED_VALUE"""),43.99999999999999)</f>
        <v>44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11">
        <f>IFERROR(__xludf.DUMMYFUNCTION("""COMPUTED_VALUE"""),96.0)</f>
        <v>96</v>
      </c>
      <c r="C239" s="34">
        <f>IFERROR(__xludf.DUMMYFUNCTION("""COMPUTED_VALUE"""),63.0)</f>
        <v>63</v>
      </c>
      <c r="D239" s="34">
        <f>IFERROR(__xludf.DUMMYFUNCTION("""COMPUTED_VALUE"""),20.0)</f>
        <v>20</v>
      </c>
      <c r="E239" s="34">
        <f>IFERROR(__xludf.DUMMYFUNCTION("""COMPUTED_VALUE"""),52.645161290322555)</f>
        <v>52.64516129</v>
      </c>
      <c r="F239" s="34">
        <f>IFERROR(__xludf.DUMMYFUNCTION("""COMPUTED_VALUE"""),34.54838709677418)</f>
        <v>34.5483871</v>
      </c>
      <c r="G239" s="34">
        <f>IFERROR(__xludf.DUMMYFUNCTION("""COMPUTED_VALUE"""),10.999999999999998)</f>
        <v>11</v>
      </c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11">
        <f>IFERROR(__xludf.DUMMYFUNCTION("""COMPUTED_VALUE"""),2456.0)</f>
        <v>2456</v>
      </c>
      <c r="C240" s="34">
        <f>IFERROR(__xludf.DUMMYFUNCTION("""COMPUTED_VALUE"""),1647.0)</f>
        <v>1647</v>
      </c>
      <c r="D240" s="34">
        <f>IFERROR(__xludf.DUMMYFUNCTION("""COMPUTED_VALUE"""),564.0)</f>
        <v>564</v>
      </c>
      <c r="E240" s="34">
        <f>IFERROR(__xludf.DUMMYFUNCTION("""COMPUTED_VALUE"""),1346.8387096774186)</f>
        <v>1346.83871</v>
      </c>
      <c r="F240" s="34">
        <f>IFERROR(__xludf.DUMMYFUNCTION("""COMPUTED_VALUE"""),903.1935483870964)</f>
        <v>903.1935484</v>
      </c>
      <c r="G240" s="34">
        <f>IFERROR(__xludf.DUMMYFUNCTION("""COMPUTED_VALUE"""),310.2)</f>
        <v>310.2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11">
        <f>IFERROR(__xludf.DUMMYFUNCTION("""COMPUTED_VALUE"""),371.0)</f>
        <v>371</v>
      </c>
      <c r="C241" s="34">
        <f>IFERROR(__xludf.DUMMYFUNCTION("""COMPUTED_VALUE"""),299.0)</f>
        <v>299</v>
      </c>
      <c r="D241" s="34">
        <f>IFERROR(__xludf.DUMMYFUNCTION("""COMPUTED_VALUE"""),102.0)</f>
        <v>102</v>
      </c>
      <c r="E241" s="34">
        <f>IFERROR(__xludf.DUMMYFUNCTION("""COMPUTED_VALUE"""),203.4516129032257)</f>
        <v>203.4516129</v>
      </c>
      <c r="F241" s="34">
        <f>IFERROR(__xludf.DUMMYFUNCTION("""COMPUTED_VALUE"""),163.9677419354838)</f>
        <v>163.9677419</v>
      </c>
      <c r="G241" s="34">
        <f>IFERROR(__xludf.DUMMYFUNCTION("""COMPUTED_VALUE"""),56.099999999999994)</f>
        <v>56.1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11">
        <f>IFERROR(__xludf.DUMMYFUNCTION("""COMPUTED_VALUE"""),360.0)</f>
        <v>360</v>
      </c>
      <c r="C242" s="34">
        <f>IFERROR(__xludf.DUMMYFUNCTION("""COMPUTED_VALUE"""),254.0)</f>
        <v>254</v>
      </c>
      <c r="D242" s="34">
        <f>IFERROR(__xludf.DUMMYFUNCTION("""COMPUTED_VALUE"""),58.0)</f>
        <v>58</v>
      </c>
      <c r="E242" s="34">
        <f>IFERROR(__xludf.DUMMYFUNCTION("""COMPUTED_VALUE"""),197.41935483870958)</f>
        <v>197.4193548</v>
      </c>
      <c r="F242" s="34">
        <f>IFERROR(__xludf.DUMMYFUNCTION("""COMPUTED_VALUE"""),139.2903225806451)</f>
        <v>139.2903226</v>
      </c>
      <c r="G242" s="34">
        <f>IFERROR(__xludf.DUMMYFUNCTION("""COMPUTED_VALUE"""),31.899999999999995)</f>
        <v>31.9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11">
        <f>IFERROR(__xludf.DUMMYFUNCTION("""COMPUTED_VALUE"""),221.0)</f>
        <v>221</v>
      </c>
      <c r="C243" s="34">
        <f>IFERROR(__xludf.DUMMYFUNCTION("""COMPUTED_VALUE"""),118.0)</f>
        <v>118</v>
      </c>
      <c r="D243" s="34">
        <f>IFERROR(__xludf.DUMMYFUNCTION("""COMPUTED_VALUE"""),36.0)</f>
        <v>36</v>
      </c>
      <c r="E243" s="34">
        <f>IFERROR(__xludf.DUMMYFUNCTION("""COMPUTED_VALUE"""),121.19354838709671)</f>
        <v>121.1935484</v>
      </c>
      <c r="F243" s="34">
        <f>IFERROR(__xludf.DUMMYFUNCTION("""COMPUTED_VALUE"""),64.7096774193548)</f>
        <v>64.70967742</v>
      </c>
      <c r="G243" s="34">
        <f>IFERROR(__xludf.DUMMYFUNCTION("""COMPUTED_VALUE"""),19.799999999999997)</f>
        <v>19.8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11">
        <f>IFERROR(__xludf.DUMMYFUNCTION("""COMPUTED_VALUE"""),1440.0)</f>
        <v>1440</v>
      </c>
      <c r="C244" s="34">
        <f>IFERROR(__xludf.DUMMYFUNCTION("""COMPUTED_VALUE"""),934.0)</f>
        <v>934</v>
      </c>
      <c r="D244" s="34">
        <f>IFERROR(__xludf.DUMMYFUNCTION("""COMPUTED_VALUE"""),355.0)</f>
        <v>355</v>
      </c>
      <c r="E244" s="34">
        <f>IFERROR(__xludf.DUMMYFUNCTION("""COMPUTED_VALUE"""),789.6774193548383)</f>
        <v>789.6774194</v>
      </c>
      <c r="F244" s="34">
        <f>IFERROR(__xludf.DUMMYFUNCTION("""COMPUTED_VALUE"""),512.1935483870965)</f>
        <v>512.1935484</v>
      </c>
      <c r="G244" s="34">
        <f>IFERROR(__xludf.DUMMYFUNCTION("""COMPUTED_VALUE"""),195.24999999999997)</f>
        <v>195.25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11">
        <f>IFERROR(__xludf.DUMMYFUNCTION("""COMPUTED_VALUE"""),64.0)</f>
        <v>64</v>
      </c>
      <c r="C245" s="34">
        <f>IFERROR(__xludf.DUMMYFUNCTION("""COMPUTED_VALUE"""),42.0)</f>
        <v>42</v>
      </c>
      <c r="D245" s="34">
        <f>IFERROR(__xludf.DUMMYFUNCTION("""COMPUTED_VALUE"""),13.0)</f>
        <v>13</v>
      </c>
      <c r="E245" s="34">
        <f>IFERROR(__xludf.DUMMYFUNCTION("""COMPUTED_VALUE"""),35.09677419354837)</f>
        <v>35.09677419</v>
      </c>
      <c r="F245" s="34">
        <f>IFERROR(__xludf.DUMMYFUNCTION("""COMPUTED_VALUE"""),23.032258064516117)</f>
        <v>23.03225806</v>
      </c>
      <c r="G245" s="34">
        <f>IFERROR(__xludf.DUMMYFUNCTION("""COMPUTED_VALUE"""),7.1499999999999995)</f>
        <v>7.15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3" max="3" width="19.25"/>
  </cols>
  <sheetData>
    <row r="1">
      <c r="A1" s="4" t="s">
        <v>132</v>
      </c>
      <c r="B1" s="4" t="s">
        <v>133</v>
      </c>
      <c r="C1" s="4" t="s">
        <v>134</v>
      </c>
    </row>
    <row r="2">
      <c r="A2" s="4" t="s">
        <v>135</v>
      </c>
      <c r="B2" s="4" t="s">
        <v>136</v>
      </c>
      <c r="C2" s="8">
        <v>88.0</v>
      </c>
    </row>
    <row r="3">
      <c r="A3" s="4"/>
      <c r="B3" s="4" t="s">
        <v>137</v>
      </c>
      <c r="C3" s="8">
        <v>26.0</v>
      </c>
    </row>
    <row r="4">
      <c r="A4" s="4" t="s">
        <v>138</v>
      </c>
      <c r="B4" s="4" t="s">
        <v>136</v>
      </c>
      <c r="C4" s="8">
        <v>147.0</v>
      </c>
    </row>
    <row r="5">
      <c r="A5" s="4"/>
      <c r="B5" s="4" t="s">
        <v>137</v>
      </c>
      <c r="C5" s="8">
        <v>80.0</v>
      </c>
    </row>
    <row r="6">
      <c r="A6" s="4" t="s">
        <v>139</v>
      </c>
      <c r="B6" s="4" t="s">
        <v>136</v>
      </c>
      <c r="C6" s="8">
        <v>9.0</v>
      </c>
    </row>
    <row r="7">
      <c r="A7" s="4"/>
      <c r="B7" s="4" t="s">
        <v>137</v>
      </c>
      <c r="C7" s="8">
        <v>1.0</v>
      </c>
    </row>
    <row r="8">
      <c r="A8" s="4" t="s">
        <v>140</v>
      </c>
      <c r="B8" s="4" t="s">
        <v>136</v>
      </c>
      <c r="C8" s="8">
        <v>47.0</v>
      </c>
    </row>
    <row r="9">
      <c r="A9" s="4"/>
      <c r="B9" s="4" t="s">
        <v>137</v>
      </c>
      <c r="C9" s="8">
        <v>9.0</v>
      </c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37" t="s">
        <v>141</v>
      </c>
    </row>
    <row r="2">
      <c r="A2" s="38" t="s">
        <v>142</v>
      </c>
      <c r="B2" s="38" t="s">
        <v>143</v>
      </c>
      <c r="C2" s="38" t="s">
        <v>144</v>
      </c>
      <c r="D2" s="38" t="s">
        <v>145</v>
      </c>
    </row>
    <row r="3">
      <c r="A3" s="39" t="s">
        <v>146</v>
      </c>
      <c r="B3" s="39"/>
      <c r="C3" s="39"/>
      <c r="D3" s="39"/>
    </row>
    <row r="4">
      <c r="A4" s="39" t="s">
        <v>147</v>
      </c>
      <c r="B4" s="39" t="s">
        <v>148</v>
      </c>
      <c r="C4" s="39" t="s">
        <v>149</v>
      </c>
      <c r="D4" s="39" t="s">
        <v>150</v>
      </c>
    </row>
    <row r="5">
      <c r="A5" s="39" t="s">
        <v>151</v>
      </c>
      <c r="B5" s="39" t="s">
        <v>148</v>
      </c>
      <c r="C5" s="39" t="s">
        <v>152</v>
      </c>
      <c r="D5" s="39" t="s">
        <v>150</v>
      </c>
    </row>
    <row r="6">
      <c r="A6" s="39" t="s">
        <v>153</v>
      </c>
      <c r="B6" s="39" t="s">
        <v>148</v>
      </c>
      <c r="C6" s="39" t="s">
        <v>154</v>
      </c>
      <c r="D6" s="39" t="s">
        <v>150</v>
      </c>
    </row>
    <row r="7">
      <c r="A7" s="39" t="s">
        <v>155</v>
      </c>
      <c r="B7" s="39" t="s">
        <v>148</v>
      </c>
      <c r="C7" s="39" t="s">
        <v>156</v>
      </c>
      <c r="D7" s="39" t="s">
        <v>150</v>
      </c>
    </row>
    <row r="8">
      <c r="A8" s="39" t="s">
        <v>157</v>
      </c>
      <c r="B8" s="39" t="s">
        <v>148</v>
      </c>
      <c r="C8" s="39" t="s">
        <v>158</v>
      </c>
      <c r="D8" s="39" t="s">
        <v>150</v>
      </c>
    </row>
    <row r="9">
      <c r="A9" s="39" t="s">
        <v>159</v>
      </c>
      <c r="B9" s="39" t="s">
        <v>148</v>
      </c>
      <c r="C9" s="39" t="s">
        <v>160</v>
      </c>
      <c r="D9" s="39" t="s">
        <v>150</v>
      </c>
    </row>
    <row r="10">
      <c r="A10" s="39" t="s">
        <v>161</v>
      </c>
      <c r="B10" s="39" t="s">
        <v>148</v>
      </c>
      <c r="C10" s="39" t="s">
        <v>162</v>
      </c>
      <c r="D10" s="39" t="s">
        <v>150</v>
      </c>
    </row>
    <row r="11">
      <c r="A11" s="39" t="s">
        <v>163</v>
      </c>
      <c r="B11" s="39" t="s">
        <v>148</v>
      </c>
      <c r="C11" s="39" t="s">
        <v>164</v>
      </c>
      <c r="D11" s="39" t="s">
        <v>150</v>
      </c>
    </row>
    <row r="12">
      <c r="A12" s="39" t="s">
        <v>165</v>
      </c>
      <c r="B12" s="39" t="s">
        <v>148</v>
      </c>
      <c r="C12" s="39" t="s">
        <v>166</v>
      </c>
      <c r="D12" s="39" t="s">
        <v>150</v>
      </c>
    </row>
    <row r="13">
      <c r="A13" s="39" t="s">
        <v>167</v>
      </c>
      <c r="B13" s="39" t="s">
        <v>148</v>
      </c>
      <c r="C13" s="39" t="s">
        <v>168</v>
      </c>
      <c r="D13" s="39" t="s">
        <v>150</v>
      </c>
    </row>
    <row r="14">
      <c r="A14" s="39" t="s">
        <v>169</v>
      </c>
      <c r="B14" s="39" t="s">
        <v>148</v>
      </c>
      <c r="C14" s="39" t="s">
        <v>170</v>
      </c>
      <c r="D14" s="39" t="s">
        <v>150</v>
      </c>
    </row>
    <row r="15">
      <c r="A15" s="39" t="s">
        <v>171</v>
      </c>
      <c r="B15" s="39" t="s">
        <v>148</v>
      </c>
      <c r="C15" s="39" t="s">
        <v>172</v>
      </c>
      <c r="D15" s="39"/>
    </row>
    <row r="16">
      <c r="A16" s="39" t="s">
        <v>173</v>
      </c>
      <c r="B16" s="39" t="s">
        <v>148</v>
      </c>
      <c r="C16" s="39" t="s">
        <v>149</v>
      </c>
      <c r="D16" s="39" t="s">
        <v>174</v>
      </c>
    </row>
    <row r="17">
      <c r="A17" s="39" t="s">
        <v>175</v>
      </c>
      <c r="B17" s="39" t="s">
        <v>148</v>
      </c>
      <c r="C17" s="39" t="s">
        <v>152</v>
      </c>
      <c r="D17" s="39" t="s">
        <v>174</v>
      </c>
    </row>
    <row r="18">
      <c r="A18" s="39" t="s">
        <v>176</v>
      </c>
      <c r="B18" s="39" t="s">
        <v>148</v>
      </c>
      <c r="C18" s="39" t="s">
        <v>154</v>
      </c>
      <c r="D18" s="39" t="s">
        <v>174</v>
      </c>
    </row>
    <row r="19">
      <c r="A19" s="39" t="s">
        <v>177</v>
      </c>
      <c r="B19" s="39" t="s">
        <v>148</v>
      </c>
      <c r="C19" s="39" t="s">
        <v>156</v>
      </c>
      <c r="D19" s="39" t="s">
        <v>174</v>
      </c>
    </row>
    <row r="20">
      <c r="A20" s="39" t="s">
        <v>178</v>
      </c>
      <c r="B20" s="39" t="s">
        <v>148</v>
      </c>
      <c r="C20" s="39" t="s">
        <v>158</v>
      </c>
      <c r="D20" s="39" t="s">
        <v>174</v>
      </c>
    </row>
    <row r="21">
      <c r="A21" s="39" t="s">
        <v>179</v>
      </c>
      <c r="B21" s="39" t="s">
        <v>148</v>
      </c>
      <c r="C21" s="39" t="s">
        <v>160</v>
      </c>
      <c r="D21" s="39" t="s">
        <v>174</v>
      </c>
    </row>
    <row r="22">
      <c r="A22" s="39" t="s">
        <v>180</v>
      </c>
      <c r="B22" s="39" t="s">
        <v>148</v>
      </c>
      <c r="C22" s="39" t="s">
        <v>162</v>
      </c>
      <c r="D22" s="39" t="s">
        <v>174</v>
      </c>
    </row>
    <row r="23">
      <c r="A23" s="39" t="s">
        <v>181</v>
      </c>
      <c r="B23" s="39" t="s">
        <v>148</v>
      </c>
      <c r="C23" s="39" t="s">
        <v>164</v>
      </c>
      <c r="D23" s="39" t="s">
        <v>174</v>
      </c>
    </row>
    <row r="24">
      <c r="A24" s="39" t="s">
        <v>182</v>
      </c>
      <c r="B24" s="39" t="s">
        <v>148</v>
      </c>
      <c r="C24" s="39" t="s">
        <v>166</v>
      </c>
      <c r="D24" s="39" t="s">
        <v>174</v>
      </c>
    </row>
    <row r="25">
      <c r="A25" s="39" t="s">
        <v>183</v>
      </c>
      <c r="B25" s="39" t="s">
        <v>148</v>
      </c>
      <c r="C25" s="39" t="s">
        <v>168</v>
      </c>
      <c r="D25" s="39" t="s">
        <v>174</v>
      </c>
    </row>
    <row r="26">
      <c r="A26" s="39" t="s">
        <v>184</v>
      </c>
      <c r="B26" s="39" t="s">
        <v>148</v>
      </c>
      <c r="C26" s="39" t="s">
        <v>170</v>
      </c>
      <c r="D26" s="39" t="s">
        <v>174</v>
      </c>
    </row>
    <row r="27">
      <c r="A27" s="39" t="s">
        <v>185</v>
      </c>
      <c r="B27" s="39" t="s">
        <v>148</v>
      </c>
      <c r="C27" s="39" t="s">
        <v>149</v>
      </c>
      <c r="D27" s="39" t="s">
        <v>186</v>
      </c>
    </row>
    <row r="28">
      <c r="A28" s="39" t="s">
        <v>187</v>
      </c>
      <c r="B28" s="39" t="s">
        <v>148</v>
      </c>
      <c r="C28" s="39" t="s">
        <v>152</v>
      </c>
      <c r="D28" s="39" t="s">
        <v>186</v>
      </c>
    </row>
    <row r="29">
      <c r="A29" s="39" t="s">
        <v>188</v>
      </c>
      <c r="B29" s="39" t="s">
        <v>148</v>
      </c>
      <c r="C29" s="39" t="s">
        <v>154</v>
      </c>
      <c r="D29" s="39" t="s">
        <v>186</v>
      </c>
    </row>
    <row r="30">
      <c r="A30" s="39" t="s">
        <v>189</v>
      </c>
      <c r="B30" s="39" t="s">
        <v>148</v>
      </c>
      <c r="C30" s="39" t="s">
        <v>156</v>
      </c>
      <c r="D30" s="39" t="s">
        <v>186</v>
      </c>
    </row>
    <row r="31">
      <c r="A31" s="39" t="s">
        <v>190</v>
      </c>
      <c r="B31" s="39" t="s">
        <v>148</v>
      </c>
      <c r="C31" s="39" t="s">
        <v>158</v>
      </c>
      <c r="D31" s="39" t="s">
        <v>186</v>
      </c>
    </row>
    <row r="32">
      <c r="A32" s="39" t="s">
        <v>191</v>
      </c>
      <c r="B32" s="39" t="s">
        <v>148</v>
      </c>
      <c r="C32" s="39" t="s">
        <v>160</v>
      </c>
      <c r="D32" s="39" t="s">
        <v>186</v>
      </c>
    </row>
    <row r="33">
      <c r="A33" s="39" t="s">
        <v>192</v>
      </c>
      <c r="B33" s="39" t="s">
        <v>148</v>
      </c>
      <c r="C33" s="39" t="s">
        <v>162</v>
      </c>
      <c r="D33" s="39" t="s">
        <v>186</v>
      </c>
    </row>
    <row r="34">
      <c r="A34" s="39" t="s">
        <v>193</v>
      </c>
      <c r="B34" s="39" t="s">
        <v>148</v>
      </c>
      <c r="C34" s="39" t="s">
        <v>164</v>
      </c>
      <c r="D34" s="39" t="s">
        <v>186</v>
      </c>
    </row>
    <row r="35">
      <c r="A35" s="39" t="s">
        <v>194</v>
      </c>
      <c r="B35" s="39" t="s">
        <v>148</v>
      </c>
      <c r="C35" s="39" t="s">
        <v>166</v>
      </c>
      <c r="D35" s="39" t="s">
        <v>186</v>
      </c>
    </row>
    <row r="36">
      <c r="A36" s="39" t="s">
        <v>195</v>
      </c>
      <c r="B36" s="39" t="s">
        <v>148</v>
      </c>
      <c r="C36" s="39" t="s">
        <v>168</v>
      </c>
      <c r="D36" s="39" t="s">
        <v>186</v>
      </c>
    </row>
    <row r="37">
      <c r="A37" s="39" t="s">
        <v>196</v>
      </c>
      <c r="B37" s="39" t="s">
        <v>148</v>
      </c>
      <c r="C37" s="39" t="s">
        <v>170</v>
      </c>
      <c r="D37" s="39" t="s">
        <v>186</v>
      </c>
    </row>
    <row r="38">
      <c r="A38" s="39" t="s">
        <v>197</v>
      </c>
      <c r="B38" s="39"/>
      <c r="C38" s="39"/>
      <c r="D38" s="39"/>
    </row>
    <row r="39">
      <c r="A39" s="39" t="s">
        <v>198</v>
      </c>
      <c r="B39" s="39" t="s">
        <v>148</v>
      </c>
      <c r="C39" s="39" t="s">
        <v>199</v>
      </c>
      <c r="D39" s="39" t="s">
        <v>200</v>
      </c>
    </row>
    <row r="40">
      <c r="A40" s="39" t="s">
        <v>201</v>
      </c>
      <c r="B40" s="39" t="s">
        <v>148</v>
      </c>
      <c r="C40" s="39" t="s">
        <v>199</v>
      </c>
      <c r="D40" s="39" t="s">
        <v>202</v>
      </c>
    </row>
    <row r="41">
      <c r="A41" s="39" t="s">
        <v>203</v>
      </c>
      <c r="B41" s="39" t="s">
        <v>148</v>
      </c>
      <c r="C41" s="39" t="s">
        <v>199</v>
      </c>
      <c r="D41" s="39" t="s">
        <v>204</v>
      </c>
    </row>
    <row r="42">
      <c r="A42" s="39" t="s">
        <v>205</v>
      </c>
      <c r="B42" s="39" t="s">
        <v>148</v>
      </c>
      <c r="C42" s="39" t="s">
        <v>199</v>
      </c>
      <c r="D42" s="39" t="s">
        <v>206</v>
      </c>
    </row>
    <row r="43">
      <c r="A43" s="39" t="s">
        <v>207</v>
      </c>
      <c r="B43" s="39" t="s">
        <v>148</v>
      </c>
      <c r="C43" s="39" t="s">
        <v>199</v>
      </c>
      <c r="D43" s="39" t="s">
        <v>208</v>
      </c>
    </row>
    <row r="44">
      <c r="A44" s="39" t="s">
        <v>209</v>
      </c>
      <c r="B44" s="39" t="s">
        <v>148</v>
      </c>
      <c r="C44" s="39" t="s">
        <v>172</v>
      </c>
      <c r="D44" s="39" t="s">
        <v>210</v>
      </c>
    </row>
    <row r="45">
      <c r="A45" s="39" t="s">
        <v>211</v>
      </c>
      <c r="B45" s="39" t="s">
        <v>148</v>
      </c>
      <c r="C45" s="39" t="s">
        <v>199</v>
      </c>
      <c r="D45" s="39" t="s">
        <v>212</v>
      </c>
    </row>
    <row r="46">
      <c r="A46" s="39" t="s">
        <v>213</v>
      </c>
      <c r="B46" s="39" t="s">
        <v>148</v>
      </c>
      <c r="C46" s="39" t="s">
        <v>199</v>
      </c>
      <c r="D46" s="39" t="s">
        <v>214</v>
      </c>
    </row>
    <row r="47">
      <c r="A47" s="39" t="s">
        <v>215</v>
      </c>
      <c r="B47" s="39" t="s">
        <v>148</v>
      </c>
      <c r="C47" s="39" t="s">
        <v>199</v>
      </c>
      <c r="D47" s="39" t="s">
        <v>216</v>
      </c>
    </row>
    <row r="48">
      <c r="A48" s="39" t="s">
        <v>217</v>
      </c>
      <c r="B48" s="39" t="s">
        <v>148</v>
      </c>
      <c r="C48" s="39" t="s">
        <v>199</v>
      </c>
      <c r="D48" s="39" t="s">
        <v>218</v>
      </c>
    </row>
    <row r="49">
      <c r="A49" s="39" t="s">
        <v>219</v>
      </c>
      <c r="B49" s="39" t="s">
        <v>148</v>
      </c>
      <c r="C49" s="39" t="s">
        <v>199</v>
      </c>
      <c r="D49" s="39" t="s">
        <v>220</v>
      </c>
    </row>
    <row r="50">
      <c r="A50" s="39" t="s">
        <v>221</v>
      </c>
      <c r="B50" s="39" t="s">
        <v>148</v>
      </c>
      <c r="C50" s="39" t="s">
        <v>199</v>
      </c>
      <c r="D50" s="39" t="s">
        <v>222</v>
      </c>
    </row>
    <row r="51">
      <c r="A51" s="39" t="s">
        <v>223</v>
      </c>
      <c r="B51" s="39" t="s">
        <v>148</v>
      </c>
      <c r="C51" s="39" t="s">
        <v>199</v>
      </c>
      <c r="D51" s="39" t="s">
        <v>224</v>
      </c>
    </row>
    <row r="52">
      <c r="A52" s="39" t="s">
        <v>225</v>
      </c>
      <c r="B52" s="39" t="s">
        <v>148</v>
      </c>
      <c r="C52" s="39" t="s">
        <v>199</v>
      </c>
      <c r="D52" s="39" t="s">
        <v>226</v>
      </c>
    </row>
    <row r="53">
      <c r="A53" s="39" t="s">
        <v>227</v>
      </c>
      <c r="B53" s="39" t="s">
        <v>148</v>
      </c>
      <c r="C53" s="39" t="s">
        <v>199</v>
      </c>
      <c r="D53" s="39" t="s">
        <v>228</v>
      </c>
    </row>
    <row r="54">
      <c r="A54" s="39" t="s">
        <v>132</v>
      </c>
      <c r="B54" s="39" t="s">
        <v>148</v>
      </c>
      <c r="C54" s="39" t="s">
        <v>199</v>
      </c>
      <c r="D54" s="39" t="s">
        <v>229</v>
      </c>
    </row>
    <row r="55">
      <c r="A55" s="39" t="s">
        <v>230</v>
      </c>
      <c r="B55" s="39" t="s">
        <v>148</v>
      </c>
      <c r="C55" s="39" t="s">
        <v>199</v>
      </c>
      <c r="D55" s="39" t="s">
        <v>231</v>
      </c>
    </row>
    <row r="56">
      <c r="A56" s="39" t="s">
        <v>232</v>
      </c>
      <c r="B56" s="39" t="s">
        <v>148</v>
      </c>
      <c r="C56" s="39" t="s">
        <v>199</v>
      </c>
      <c r="D56" s="39" t="s">
        <v>233</v>
      </c>
    </row>
    <row r="57">
      <c r="A57" s="39" t="s">
        <v>234</v>
      </c>
      <c r="B57" s="39" t="s">
        <v>148</v>
      </c>
      <c r="C57" s="39" t="s">
        <v>199</v>
      </c>
      <c r="D57" s="39" t="s">
        <v>235</v>
      </c>
    </row>
    <row r="58">
      <c r="A58" s="39" t="s">
        <v>236</v>
      </c>
      <c r="B58" s="39" t="s">
        <v>148</v>
      </c>
      <c r="C58" s="39" t="s">
        <v>172</v>
      </c>
      <c r="D58" s="39" t="s">
        <v>237</v>
      </c>
    </row>
    <row r="59">
      <c r="A59" s="39" t="s">
        <v>238</v>
      </c>
      <c r="B59" s="39" t="s">
        <v>148</v>
      </c>
      <c r="C59" s="39" t="s">
        <v>199</v>
      </c>
      <c r="D59" s="39" t="s">
        <v>239</v>
      </c>
    </row>
    <row r="60">
      <c r="A60" s="39" t="s">
        <v>240</v>
      </c>
      <c r="B60" s="39" t="s">
        <v>148</v>
      </c>
      <c r="C60" s="39" t="s">
        <v>199</v>
      </c>
      <c r="D60" s="39" t="s">
        <v>241</v>
      </c>
    </row>
    <row r="61">
      <c r="A61" s="39" t="s">
        <v>242</v>
      </c>
      <c r="B61" s="39" t="s">
        <v>148</v>
      </c>
      <c r="C61" s="39" t="s">
        <v>199</v>
      </c>
      <c r="D61" s="39" t="s">
        <v>243</v>
      </c>
    </row>
    <row r="62">
      <c r="A62" s="39" t="s">
        <v>244</v>
      </c>
      <c r="B62" s="39" t="s">
        <v>148</v>
      </c>
      <c r="C62" s="39" t="s">
        <v>199</v>
      </c>
      <c r="D62" s="39" t="s">
        <v>245</v>
      </c>
    </row>
    <row r="63">
      <c r="A63" s="39" t="s">
        <v>246</v>
      </c>
      <c r="B63" s="39" t="s">
        <v>148</v>
      </c>
      <c r="C63" s="39" t="s">
        <v>199</v>
      </c>
      <c r="D63" s="39" t="s">
        <v>247</v>
      </c>
    </row>
    <row r="64">
      <c r="A64" s="39" t="s">
        <v>248</v>
      </c>
      <c r="B64" s="39" t="s">
        <v>148</v>
      </c>
      <c r="C64" s="39" t="s">
        <v>199</v>
      </c>
      <c r="D64" s="39" t="s">
        <v>249</v>
      </c>
    </row>
    <row r="65">
      <c r="A65" s="39" t="s">
        <v>250</v>
      </c>
      <c r="B65" s="39" t="s">
        <v>148</v>
      </c>
      <c r="C65" s="39" t="s">
        <v>251</v>
      </c>
      <c r="D65" s="39" t="s">
        <v>252</v>
      </c>
    </row>
    <row r="66">
      <c r="A66" s="39" t="s">
        <v>253</v>
      </c>
      <c r="B66" s="39" t="s">
        <v>148</v>
      </c>
      <c r="C66" s="39" t="s">
        <v>199</v>
      </c>
      <c r="D66" s="39" t="s">
        <v>254</v>
      </c>
    </row>
    <row r="67">
      <c r="A67" s="39" t="s">
        <v>255</v>
      </c>
      <c r="B67" s="39" t="s">
        <v>148</v>
      </c>
      <c r="C67" s="39" t="s">
        <v>199</v>
      </c>
      <c r="D67" s="39" t="s">
        <v>256</v>
      </c>
    </row>
    <row r="68">
      <c r="A68" s="39" t="s">
        <v>257</v>
      </c>
      <c r="B68" s="39" t="s">
        <v>148</v>
      </c>
      <c r="C68" s="39" t="s">
        <v>251</v>
      </c>
      <c r="D68" s="39"/>
    </row>
    <row r="69">
      <c r="A69" s="39" t="s">
        <v>258</v>
      </c>
      <c r="B69" s="39" t="s">
        <v>148</v>
      </c>
      <c r="C69" s="39" t="s">
        <v>172</v>
      </c>
      <c r="D69" s="39" t="s">
        <v>259</v>
      </c>
    </row>
    <row r="70">
      <c r="A70" s="39" t="s">
        <v>260</v>
      </c>
      <c r="B70" s="39" t="s">
        <v>148</v>
      </c>
      <c r="C70" s="39" t="s">
        <v>199</v>
      </c>
      <c r="D70" s="39" t="s">
        <v>261</v>
      </c>
    </row>
    <row r="71">
      <c r="A71" s="39" t="s">
        <v>262</v>
      </c>
      <c r="B71" s="39" t="s">
        <v>148</v>
      </c>
      <c r="C71" s="39" t="s">
        <v>199</v>
      </c>
      <c r="D71" s="39" t="s">
        <v>263</v>
      </c>
    </row>
    <row r="72">
      <c r="A72" s="39" t="s">
        <v>264</v>
      </c>
      <c r="B72" s="39" t="s">
        <v>148</v>
      </c>
      <c r="C72" s="39" t="s">
        <v>199</v>
      </c>
      <c r="D72" s="39" t="s">
        <v>265</v>
      </c>
    </row>
    <row r="73">
      <c r="A73" s="39" t="s">
        <v>266</v>
      </c>
      <c r="B73" s="39" t="s">
        <v>148</v>
      </c>
      <c r="C73" s="39" t="s">
        <v>199</v>
      </c>
      <c r="D73" s="39" t="s">
        <v>267</v>
      </c>
    </row>
    <row r="74">
      <c r="A74" s="39" t="s">
        <v>268</v>
      </c>
      <c r="B74" s="39" t="s">
        <v>148</v>
      </c>
      <c r="C74" s="39" t="s">
        <v>199</v>
      </c>
      <c r="D74" s="39" t="s">
        <v>259</v>
      </c>
    </row>
    <row r="75">
      <c r="A75" s="39" t="s">
        <v>269</v>
      </c>
      <c r="B75" s="39" t="s">
        <v>148</v>
      </c>
      <c r="C75" s="39" t="s">
        <v>199</v>
      </c>
      <c r="D75" s="39" t="s">
        <v>270</v>
      </c>
    </row>
    <row r="76">
      <c r="A76" s="39" t="s">
        <v>271</v>
      </c>
      <c r="B76" s="39" t="s">
        <v>148</v>
      </c>
      <c r="C76" s="39" t="s">
        <v>199</v>
      </c>
      <c r="D76" s="39" t="s">
        <v>272</v>
      </c>
    </row>
    <row r="77">
      <c r="A77" s="39" t="s">
        <v>273</v>
      </c>
      <c r="B77" s="39" t="s">
        <v>148</v>
      </c>
      <c r="C77" s="39" t="s">
        <v>199</v>
      </c>
      <c r="D77" s="39" t="s">
        <v>274</v>
      </c>
    </row>
    <row r="78">
      <c r="A78" s="39" t="s">
        <v>275</v>
      </c>
      <c r="B78" s="39" t="s">
        <v>148</v>
      </c>
      <c r="C78" s="39" t="s">
        <v>199</v>
      </c>
      <c r="D78" s="39" t="s">
        <v>276</v>
      </c>
    </row>
    <row r="79">
      <c r="A79" s="39" t="s">
        <v>277</v>
      </c>
      <c r="B79" s="39" t="s">
        <v>148</v>
      </c>
      <c r="C79" s="39" t="s">
        <v>199</v>
      </c>
      <c r="D79" s="39" t="s">
        <v>278</v>
      </c>
    </row>
    <row r="80">
      <c r="A80" s="39" t="s">
        <v>279</v>
      </c>
      <c r="B80" s="39"/>
      <c r="C80" s="39"/>
      <c r="D80" s="39"/>
    </row>
    <row r="81">
      <c r="A81" s="39" t="s">
        <v>280</v>
      </c>
      <c r="B81" s="39" t="s">
        <v>148</v>
      </c>
      <c r="C81" s="39" t="s">
        <v>172</v>
      </c>
      <c r="D81" s="39" t="s">
        <v>281</v>
      </c>
    </row>
    <row r="82">
      <c r="A82" s="39" t="s">
        <v>282</v>
      </c>
      <c r="B82" s="39" t="s">
        <v>148</v>
      </c>
      <c r="C82" s="39" t="s">
        <v>199</v>
      </c>
      <c r="D82" s="39" t="s">
        <v>283</v>
      </c>
    </row>
    <row r="83">
      <c r="A83" s="39" t="s">
        <v>284</v>
      </c>
      <c r="B83" s="39" t="s">
        <v>148</v>
      </c>
      <c r="C83" s="39" t="s">
        <v>199</v>
      </c>
      <c r="D83" s="39" t="s">
        <v>285</v>
      </c>
    </row>
    <row r="84">
      <c r="A84" s="39" t="s">
        <v>286</v>
      </c>
      <c r="B84" s="39" t="s">
        <v>148</v>
      </c>
      <c r="C84" s="39" t="s">
        <v>199</v>
      </c>
      <c r="D84" s="39" t="s">
        <v>287</v>
      </c>
    </row>
    <row r="85">
      <c r="A85" s="39" t="s">
        <v>288</v>
      </c>
      <c r="B85" s="39" t="s">
        <v>148</v>
      </c>
      <c r="C85" s="39" t="s">
        <v>199</v>
      </c>
      <c r="D85" s="39" t="s">
        <v>289</v>
      </c>
    </row>
    <row r="86">
      <c r="A86" s="39" t="s">
        <v>290</v>
      </c>
      <c r="B86" s="39" t="s">
        <v>148</v>
      </c>
      <c r="C86" s="39" t="s">
        <v>251</v>
      </c>
      <c r="D86" s="39" t="s">
        <v>291</v>
      </c>
    </row>
    <row r="87">
      <c r="A87" s="39" t="s">
        <v>292</v>
      </c>
      <c r="B87" s="39" t="s">
        <v>148</v>
      </c>
      <c r="C87" s="39" t="s">
        <v>199</v>
      </c>
      <c r="D87" s="39" t="s">
        <v>293</v>
      </c>
    </row>
    <row r="88">
      <c r="A88" s="39" t="s">
        <v>294</v>
      </c>
      <c r="B88" s="39"/>
      <c r="C88" s="39"/>
      <c r="D88" s="39"/>
    </row>
    <row r="89">
      <c r="A89" s="39" t="s">
        <v>295</v>
      </c>
      <c r="B89" s="39" t="s">
        <v>296</v>
      </c>
      <c r="C89" s="39"/>
      <c r="D89" s="39"/>
    </row>
    <row r="90">
      <c r="A90" s="39" t="s">
        <v>297</v>
      </c>
      <c r="B90" s="39" t="s">
        <v>296</v>
      </c>
      <c r="C90" s="39"/>
      <c r="D90" s="39"/>
    </row>
    <row r="91">
      <c r="A91" s="39" t="s">
        <v>298</v>
      </c>
      <c r="B91" s="39" t="s">
        <v>296</v>
      </c>
      <c r="C91" s="39"/>
      <c r="D91" s="39"/>
    </row>
    <row r="92">
      <c r="A92" s="39" t="s">
        <v>134</v>
      </c>
      <c r="B92" s="39" t="s">
        <v>296</v>
      </c>
      <c r="C92" s="39"/>
      <c r="D92" s="39"/>
    </row>
    <row r="93">
      <c r="A93" s="39" t="s">
        <v>299</v>
      </c>
      <c r="B93" s="39" t="s">
        <v>296</v>
      </c>
      <c r="C93" s="39"/>
      <c r="D93" s="39"/>
    </row>
    <row r="94">
      <c r="A94" s="39" t="s">
        <v>300</v>
      </c>
      <c r="B94" s="39" t="s">
        <v>296</v>
      </c>
      <c r="C94" s="39"/>
      <c r="D94" s="39"/>
    </row>
    <row r="95">
      <c r="A95" s="39" t="s">
        <v>301</v>
      </c>
      <c r="B95" s="39" t="s">
        <v>296</v>
      </c>
      <c r="C95" s="39"/>
      <c r="D95" s="39"/>
    </row>
    <row r="96">
      <c r="A96" s="39" t="s">
        <v>302</v>
      </c>
      <c r="B96" s="39" t="s">
        <v>296</v>
      </c>
      <c r="C96" s="39"/>
      <c r="D96" s="39"/>
    </row>
    <row r="97">
      <c r="A97" s="39" t="s">
        <v>303</v>
      </c>
      <c r="B97" s="39" t="s">
        <v>296</v>
      </c>
      <c r="C97" s="39"/>
      <c r="D97" s="39"/>
    </row>
    <row r="98">
      <c r="A98" s="39" t="s">
        <v>304</v>
      </c>
      <c r="B98" s="39" t="s">
        <v>296</v>
      </c>
      <c r="C98" s="39"/>
      <c r="D98" s="39"/>
    </row>
    <row r="99">
      <c r="A99" s="39" t="s">
        <v>305</v>
      </c>
      <c r="B99" s="39" t="s">
        <v>296</v>
      </c>
      <c r="C99" s="39"/>
      <c r="D99" s="39"/>
    </row>
    <row r="100">
      <c r="A100" s="39" t="s">
        <v>306</v>
      </c>
      <c r="B100" s="39" t="s">
        <v>296</v>
      </c>
      <c r="C100" s="39"/>
      <c r="D100" s="39"/>
    </row>
    <row r="101">
      <c r="A101" s="39" t="s">
        <v>307</v>
      </c>
      <c r="B101" s="39" t="s">
        <v>296</v>
      </c>
      <c r="C101" s="39"/>
      <c r="D101" s="39"/>
    </row>
    <row r="102">
      <c r="A102" s="39" t="s">
        <v>308</v>
      </c>
      <c r="B102" s="39" t="s">
        <v>296</v>
      </c>
      <c r="C102" s="39"/>
      <c r="D102" s="39" t="s">
        <v>309</v>
      </c>
    </row>
    <row r="103">
      <c r="A103" s="39" t="s">
        <v>310</v>
      </c>
      <c r="B103" s="39" t="s">
        <v>296</v>
      </c>
      <c r="C103" s="39"/>
      <c r="D103" s="39"/>
    </row>
    <row r="104">
      <c r="A104" s="39" t="s">
        <v>311</v>
      </c>
      <c r="B104" s="39" t="s">
        <v>296</v>
      </c>
      <c r="C104" s="39"/>
      <c r="D104" s="39"/>
    </row>
    <row r="105">
      <c r="A105" s="39" t="s">
        <v>312</v>
      </c>
      <c r="B105" s="39" t="s">
        <v>296</v>
      </c>
      <c r="C105" s="39"/>
      <c r="D105" s="39" t="s">
        <v>313</v>
      </c>
    </row>
    <row r="106">
      <c r="A106" s="39" t="s">
        <v>314</v>
      </c>
      <c r="B106" s="39" t="s">
        <v>296</v>
      </c>
      <c r="C106" s="39"/>
      <c r="D106" s="39" t="s">
        <v>315</v>
      </c>
    </row>
    <row r="107">
      <c r="A107" s="39" t="s">
        <v>316</v>
      </c>
      <c r="B107" s="39" t="s">
        <v>296</v>
      </c>
      <c r="C107" s="39"/>
      <c r="D107" s="39"/>
    </row>
    <row r="108">
      <c r="A108" s="39" t="s">
        <v>317</v>
      </c>
      <c r="B108" s="39" t="s">
        <v>296</v>
      </c>
      <c r="C108" s="39"/>
      <c r="D108" s="39"/>
    </row>
    <row r="109">
      <c r="A109" s="39" t="s">
        <v>318</v>
      </c>
      <c r="B109" s="39" t="s">
        <v>296</v>
      </c>
      <c r="C109" s="39"/>
      <c r="D109" s="39" t="s">
        <v>319</v>
      </c>
    </row>
    <row r="110">
      <c r="A110" s="39" t="s">
        <v>320</v>
      </c>
      <c r="B110" s="39" t="s">
        <v>296</v>
      </c>
      <c r="C110" s="39"/>
      <c r="D110" s="39" t="s">
        <v>321</v>
      </c>
    </row>
    <row r="111">
      <c r="A111" s="39" t="s">
        <v>322</v>
      </c>
      <c r="B111" s="39" t="s">
        <v>296</v>
      </c>
      <c r="C111" s="39"/>
      <c r="D111" s="39" t="s">
        <v>323</v>
      </c>
    </row>
    <row r="112">
      <c r="A112" s="39" t="s">
        <v>324</v>
      </c>
      <c r="B112" s="39" t="s">
        <v>296</v>
      </c>
      <c r="C112" s="39"/>
      <c r="D112" s="39" t="s">
        <v>325</v>
      </c>
    </row>
    <row r="113">
      <c r="A113" s="39" t="s">
        <v>326</v>
      </c>
      <c r="B113" s="39" t="s">
        <v>296</v>
      </c>
      <c r="C113" s="39"/>
      <c r="D113" s="39" t="s">
        <v>327</v>
      </c>
    </row>
    <row r="114">
      <c r="A114" s="39" t="s">
        <v>328</v>
      </c>
      <c r="B114" s="39" t="s">
        <v>296</v>
      </c>
      <c r="C114" s="39"/>
      <c r="D114" s="39" t="s">
        <v>329</v>
      </c>
    </row>
    <row r="115">
      <c r="A115" s="39" t="s">
        <v>330</v>
      </c>
      <c r="B115" s="39" t="s">
        <v>296</v>
      </c>
      <c r="C115" s="39"/>
      <c r="D115" s="39" t="s">
        <v>331</v>
      </c>
    </row>
    <row r="116">
      <c r="A116" s="39" t="s">
        <v>332</v>
      </c>
      <c r="B116" s="39" t="s">
        <v>296</v>
      </c>
      <c r="C116" s="39"/>
      <c r="D116" s="39" t="s">
        <v>333</v>
      </c>
    </row>
    <row r="117">
      <c r="A117" s="39" t="s">
        <v>334</v>
      </c>
      <c r="B117" s="39" t="s">
        <v>296</v>
      </c>
      <c r="C117" s="39"/>
      <c r="D117" s="39" t="s">
        <v>335</v>
      </c>
    </row>
    <row r="118">
      <c r="A118" s="39" t="s">
        <v>336</v>
      </c>
      <c r="B118" s="39" t="s">
        <v>296</v>
      </c>
      <c r="C118" s="39"/>
      <c r="D118" s="39" t="s">
        <v>337</v>
      </c>
    </row>
    <row r="119">
      <c r="A119" s="39" t="s">
        <v>338</v>
      </c>
      <c r="B119" s="39" t="s">
        <v>296</v>
      </c>
      <c r="C119" s="39"/>
      <c r="D119" s="39" t="s">
        <v>339</v>
      </c>
    </row>
    <row r="120">
      <c r="A120" s="39" t="s">
        <v>340</v>
      </c>
      <c r="B120" s="39" t="s">
        <v>296</v>
      </c>
      <c r="C120" s="39"/>
      <c r="D120" s="39" t="s">
        <v>341</v>
      </c>
    </row>
    <row r="121">
      <c r="A121" s="39" t="s">
        <v>342</v>
      </c>
      <c r="B121" s="39" t="s">
        <v>296</v>
      </c>
      <c r="C121" s="39"/>
      <c r="D121" s="39"/>
    </row>
    <row r="122">
      <c r="A122" s="39" t="s">
        <v>343</v>
      </c>
      <c r="B122" s="39" t="s">
        <v>296</v>
      </c>
      <c r="C122" s="39"/>
      <c r="D122" s="39"/>
    </row>
    <row r="123">
      <c r="A123" s="39" t="s">
        <v>344</v>
      </c>
      <c r="B123" s="39" t="s">
        <v>296</v>
      </c>
      <c r="C123" s="39"/>
      <c r="D123" s="39"/>
    </row>
    <row r="124">
      <c r="A124" s="39" t="s">
        <v>345</v>
      </c>
      <c r="B124" s="39" t="s">
        <v>296</v>
      </c>
      <c r="C124" s="39"/>
      <c r="D124" s="39"/>
    </row>
    <row r="125">
      <c r="A125" s="39" t="s">
        <v>346</v>
      </c>
      <c r="B125" s="39" t="s">
        <v>296</v>
      </c>
      <c r="C125" s="39"/>
      <c r="D125" s="39"/>
    </row>
    <row r="126">
      <c r="A126" s="39" t="s">
        <v>347</v>
      </c>
      <c r="B126" s="39" t="s">
        <v>296</v>
      </c>
      <c r="C126" s="39"/>
      <c r="D126" s="39"/>
    </row>
    <row r="127">
      <c r="A127" s="39" t="s">
        <v>348</v>
      </c>
      <c r="B127" s="39" t="s">
        <v>296</v>
      </c>
      <c r="C127" s="39"/>
      <c r="D127" s="39"/>
    </row>
    <row r="128">
      <c r="A128" s="39" t="s">
        <v>349</v>
      </c>
      <c r="B128" s="39" t="s">
        <v>296</v>
      </c>
      <c r="C128" s="39"/>
      <c r="D128" s="39"/>
    </row>
    <row r="129">
      <c r="A129" s="39" t="s">
        <v>350</v>
      </c>
      <c r="B129" s="39" t="s">
        <v>296</v>
      </c>
      <c r="C129" s="39"/>
      <c r="D129" s="39" t="s">
        <v>351</v>
      </c>
    </row>
    <row r="130">
      <c r="A130" s="39" t="s">
        <v>352</v>
      </c>
      <c r="B130" s="39" t="s">
        <v>296</v>
      </c>
      <c r="C130" s="39"/>
      <c r="D130" s="39" t="s">
        <v>353</v>
      </c>
    </row>
    <row r="131">
      <c r="A131" s="39" t="s">
        <v>354</v>
      </c>
      <c r="B131" s="39" t="s">
        <v>296</v>
      </c>
      <c r="C131" s="39"/>
      <c r="D131" s="39" t="s">
        <v>355</v>
      </c>
    </row>
    <row r="132">
      <c r="A132" s="39" t="s">
        <v>356</v>
      </c>
      <c r="B132" s="39" t="s">
        <v>296</v>
      </c>
      <c r="C132" s="39"/>
      <c r="D132" s="39"/>
    </row>
    <row r="133">
      <c r="A133" s="39" t="s">
        <v>357</v>
      </c>
      <c r="B133" s="39" t="s">
        <v>296</v>
      </c>
      <c r="C133" s="39"/>
      <c r="D133" s="39"/>
    </row>
    <row r="134">
      <c r="A134" s="39" t="s">
        <v>358</v>
      </c>
      <c r="B134" s="39" t="s">
        <v>296</v>
      </c>
      <c r="C134" s="39"/>
      <c r="D134" s="39"/>
    </row>
    <row r="135">
      <c r="A135" s="39" t="s">
        <v>359</v>
      </c>
      <c r="B135" s="39" t="s">
        <v>296</v>
      </c>
      <c r="C135" s="39"/>
      <c r="D135" s="39"/>
    </row>
    <row r="136">
      <c r="A136" s="39" t="s">
        <v>360</v>
      </c>
      <c r="B136" s="39" t="s">
        <v>296</v>
      </c>
      <c r="C136" s="39"/>
      <c r="D136" s="39" t="s">
        <v>361</v>
      </c>
    </row>
    <row r="137">
      <c r="A137" s="39" t="s">
        <v>362</v>
      </c>
      <c r="B137" s="39" t="s">
        <v>296</v>
      </c>
      <c r="C137" s="39"/>
      <c r="D137" s="39" t="s">
        <v>363</v>
      </c>
    </row>
    <row r="138">
      <c r="A138" s="39" t="s">
        <v>364</v>
      </c>
      <c r="B138" s="39"/>
      <c r="C138" s="39"/>
      <c r="D138" s="39"/>
    </row>
    <row r="139">
      <c r="A139" s="39" t="s">
        <v>365</v>
      </c>
      <c r="B139" s="39" t="s">
        <v>296</v>
      </c>
      <c r="C139" s="39"/>
      <c r="D139" s="39"/>
    </row>
    <row r="140">
      <c r="A140" s="39" t="s">
        <v>366</v>
      </c>
      <c r="B140" s="39" t="s">
        <v>296</v>
      </c>
      <c r="C140" s="39"/>
      <c r="D140" s="39"/>
    </row>
    <row r="141">
      <c r="A141" s="39" t="s">
        <v>367</v>
      </c>
      <c r="B141" s="39" t="s">
        <v>296</v>
      </c>
      <c r="C141" s="39"/>
      <c r="D141" s="39"/>
    </row>
    <row r="142">
      <c r="A142" s="39" t="s">
        <v>368</v>
      </c>
      <c r="B142" s="39" t="s">
        <v>296</v>
      </c>
      <c r="C142" s="39"/>
      <c r="D142" s="39"/>
    </row>
    <row r="143">
      <c r="A143" s="39" t="s">
        <v>369</v>
      </c>
      <c r="B143" s="39" t="s">
        <v>296</v>
      </c>
      <c r="C143" s="39"/>
      <c r="D143" s="39"/>
    </row>
    <row r="144">
      <c r="A144" s="39" t="s">
        <v>370</v>
      </c>
      <c r="B144" s="39" t="s">
        <v>296</v>
      </c>
      <c r="C144" s="39"/>
      <c r="D144" s="39"/>
    </row>
    <row r="145">
      <c r="A145" s="39" t="s">
        <v>371</v>
      </c>
      <c r="B145" s="39"/>
      <c r="C145" s="39"/>
      <c r="D145" s="39"/>
    </row>
    <row r="146">
      <c r="A146" s="39" t="s">
        <v>372</v>
      </c>
      <c r="B146" s="39" t="s">
        <v>296</v>
      </c>
      <c r="C146" s="39"/>
      <c r="D146" s="39" t="s">
        <v>373</v>
      </c>
    </row>
    <row r="147">
      <c r="A147" s="39" t="s">
        <v>374</v>
      </c>
      <c r="B147" s="39" t="s">
        <v>296</v>
      </c>
      <c r="C147" s="39"/>
      <c r="D147" s="39" t="s">
        <v>375</v>
      </c>
    </row>
    <row r="148">
      <c r="A148" s="39" t="s">
        <v>376</v>
      </c>
      <c r="B148" s="39" t="s">
        <v>296</v>
      </c>
      <c r="C148" s="39"/>
      <c r="D148" s="39" t="s">
        <v>377</v>
      </c>
    </row>
    <row r="149">
      <c r="A149" s="39" t="s">
        <v>378</v>
      </c>
      <c r="B149" s="39" t="s">
        <v>296</v>
      </c>
      <c r="C149" s="39"/>
      <c r="D149" s="39" t="s">
        <v>379</v>
      </c>
    </row>
    <row r="150">
      <c r="A150" s="39" t="s">
        <v>380</v>
      </c>
      <c r="B150" s="39" t="s">
        <v>296</v>
      </c>
      <c r="C150" s="39"/>
      <c r="D150" s="39" t="s">
        <v>381</v>
      </c>
    </row>
    <row r="151">
      <c r="A151" s="39" t="s">
        <v>382</v>
      </c>
      <c r="B151" s="39" t="s">
        <v>296</v>
      </c>
      <c r="C151" s="39"/>
      <c r="D151" s="39" t="s">
        <v>383</v>
      </c>
    </row>
    <row r="152">
      <c r="A152" s="39" t="s">
        <v>384</v>
      </c>
      <c r="B152" s="39" t="s">
        <v>296</v>
      </c>
      <c r="C152" s="39"/>
      <c r="D152" s="39" t="s">
        <v>385</v>
      </c>
    </row>
    <row r="153">
      <c r="A153" s="39" t="s">
        <v>386</v>
      </c>
      <c r="B153" s="39" t="s">
        <v>296</v>
      </c>
      <c r="C153" s="39"/>
      <c r="D153" s="39" t="s">
        <v>387</v>
      </c>
    </row>
    <row r="154">
      <c r="A154" s="39" t="s">
        <v>388</v>
      </c>
      <c r="B154" s="39" t="s">
        <v>296</v>
      </c>
      <c r="C154" s="39"/>
      <c r="D154" s="39" t="s">
        <v>389</v>
      </c>
    </row>
    <row r="155">
      <c r="A155" s="39" t="s">
        <v>390</v>
      </c>
      <c r="B155" s="39" t="s">
        <v>296</v>
      </c>
      <c r="C155" s="39"/>
      <c r="D155" s="39" t="s">
        <v>391</v>
      </c>
    </row>
    <row r="156">
      <c r="A156" s="39" t="s">
        <v>392</v>
      </c>
      <c r="B156" s="39" t="s">
        <v>296</v>
      </c>
      <c r="C156" s="39"/>
      <c r="D156" s="39" t="s">
        <v>393</v>
      </c>
    </row>
  </sheetData>
</worksheet>
</file>