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<sst xmlns="http://schemas.openxmlformats.org/spreadsheetml/2006/main" count="682" uniqueCount="394">
  <si>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</si>
  <si>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</si>
  <si>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</si>
  <si>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</si>
  <si>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</si>
  <si>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</si>
  <si>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</si>
  <si>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</si>
  <si>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</si>
  <si>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</si>
  <si>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</si>
  <si>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</si>
  <si>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</si>
  <si>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</si>
  <si>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</si>
  <si>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</si>
  <si>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</si>
  <si>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</si>
  <si>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</si>
  <si>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</si>
  <si>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</si>
  <si>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</si>
  <si>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</si>
  <si>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</si>
  <si>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</si>
  <si>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</si>
  <si>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</si>
  <si>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</si>
  <si>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</si>
  <si>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</si>
  <si>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</si>
  <si>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</si>
  <si>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</si>
  <si>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</si>
  <si>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</si>
  <si>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</si>
  <si>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</si>
  <si>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</si>
  <si>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</si>
  <si>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</si>
  <si>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</si>
  <si>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</si>
  <si>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</si>
  <si>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</si>
  <si>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</si>
  <si>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</si>
  <si>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</si>
  <si>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</si>
  <si>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</si>
  <si>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</si>
  <si>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</si>
  <si>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</si>
  <si>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</si>
  <si>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</si>
  <si>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</si>
  <si>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</si>
  <si>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</si>
  <si>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</si>
  <si>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</si>
  <si>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</si>
  <si>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</si>
  <si>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</si>
  <si>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</si>
  <si>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</si>
  <si>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</si>
  <si>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</si>
  <si>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</si>
  <si>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</si>
  <si>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</si>
  <si>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</si>
  <si>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</si>
  <si>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</si>
  <si>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</si>
  <si>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</si>
  <si>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</si>
  <si>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</si>
  <si>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</si>
  <si>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</si>
  <si>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</si>
  <si>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</si>
  <si>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</si>
  <si>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</si>
  <si>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</si>
  <si>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</si>
  <si>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</si>
  <si>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</si>
  <si>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</si>
  <si>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</si>
  <si>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</si>
  <si>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</si>
  <si>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</si>
  <si>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</si>
  <si>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</si>
  <si>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</si>
  <si>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</si>
  <si>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</si>
  <si>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Visão</t>
  </si>
  <si>
    <t>Mari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</si>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</sst>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0" fontId="1" numFmtId="4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Comercial!AE4:AF4"")"),9650087.930015557)</f>
        <v>9650087.93</v>
      </c>
      <c r="B2" s="3">
        <f>IFERROR(__xludf.DUMMYFUNCTION("""COMPUTED_VALUE"""),1.3405208912404785E7)</f>
        <v>13405208.91</v>
      </c>
      <c r="C2" s="3">
        <f>B2-A2</f>
        <v>3755120.982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Chat")</f>
        <v>[ON] Chat</v>
      </c>
      <c r="G2" s="5">
        <f>IFERROR(__xludf.DUMMYFUNCTION("""COMPUTED_VALUE"""),-0.36048951048951017)</f>
        <v>-0.3604895105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"),"Form G4 Incompleto Outros")</f>
        <v>Form G4 Incompleto Outros</v>
      </c>
      <c r="I2" s="5">
        <f>IFERROR(__xludf.DUMMYFUNCTION("""COMPUTED_VALUE"""),-0.463399981037566)</f>
        <v>-0.463399981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"),"Aplicativo G4 - Indicação")</f>
        <v>Aplicativo G4 - Indicação</v>
      </c>
      <c r="K2" s="6">
        <f>IFERROR(__xludf.DUMMYFUNCTION("""COMPUTED_VALUE"""),-13.307692307692307)</f>
        <v>-13.30769231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"),"Form G4 Outros - Não Orgânico")</f>
        <v>Form G4 Outros - Não Orgânico</v>
      </c>
      <c r="M2" s="6">
        <f>IFERROR(__xludf.DUMMYFUNCTION("""COMPUTED_VALUE"""),-25.0)</f>
        <v>-25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"),"Form G4 Outros - Não Orgânico")</f>
        <v>Form G4 Outros - Não Orgânico</v>
      </c>
      <c r="O2" s="5">
        <f>IFERROR(__xludf.DUMMYFUNCTION("""COMPUTED_VALUE"""),-1.0)</f>
        <v>-1</v>
      </c>
      <c r="P2" s="3">
        <f>IFERROR(__xludf.DUMMYFUNCTION("""COMPUTED_VALUE"""),-26000.0)</f>
        <v>-26000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"),0.7872340425531915)</f>
        <v>0.7872340426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"),0.5)</f>
        <v>0.5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"),"Aplicativo G4 - Indicação")</f>
        <v>Aplicativo G4 - Indicação</v>
      </c>
      <c r="AB2" s="5">
        <f>IFERROR(__xludf.DUMMYFUNCTION("""COMPUTED_VALUE"""),-0.8434769947582994)</f>
        <v>-0.8434769948</v>
      </c>
      <c r="AC2" s="3">
        <f>IFERROR(__xludf.DUMMYFUNCTION("""COMPUTED_VALUE"""),-3302.375)</f>
        <v>-3302.375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"),"[SKL] CRM - Email")</f>
        <v>[SKL] CRM - Email</v>
      </c>
      <c r="AE2" s="5">
        <f>IFERROR(__xludf.DUMMYFUNCTION("""COMPUTED_VALUE"""),2.2902411915177576)</f>
        <v>2.290241192</v>
      </c>
      <c r="AF2" s="3">
        <f>IFERROR(__xludf.DUMMYFUNCTION("""COMPUTED_VALUE"""),4622.209523809524)</f>
        <v>4622.209524</v>
      </c>
      <c r="AG2" s="4" t="str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Comercial!AE2"")"),"#DIV/0!")</f>
        <v>#DIV/0!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IFERROR(__xludf.DUMMYFUNCTION("""COMPUTED_VALUE"""),"Form G4 Incompleto Outros")</f>
        <v>Form G4 Incompleto Outros</v>
      </c>
      <c r="G3" s="5">
        <f>IFERROR(__xludf.DUMMYFUNCTION("""COMPUTED_VALUE"""),-0.3489876935291779)</f>
        <v>-0.3489876935</v>
      </c>
      <c r="H3" s="4" t="str">
        <f>IFERROR(__xludf.DUMMYFUNCTION("""COMPUTED_VALUE"""),"[SKL] Site")</f>
        <v>[SKL] Site</v>
      </c>
      <c r="I3" s="5">
        <f>IFERROR(__xludf.DUMMYFUNCTION("""COMPUTED_VALUE"""),-0.40865469495252604)</f>
        <v>-0.408654695</v>
      </c>
      <c r="J3" s="4" t="str">
        <f>IFERROR(__xludf.DUMMYFUNCTION("""COMPUTED_VALUE"""),"[SKL] Outros")</f>
        <v>[SKL] Outros</v>
      </c>
      <c r="K3" s="6">
        <f>IFERROR(__xludf.DUMMYFUNCTION("""COMPUTED_VALUE"""),-11.05263157894737)</f>
        <v>-11.05263158</v>
      </c>
      <c r="L3" s="4" t="str">
        <f>IFERROR(__xludf.DUMMYFUNCTION("""COMPUTED_VALUE"""),"[CM] Form G4 - Instagram")</f>
        <v>[CM] Form G4 - Instagram</v>
      </c>
      <c r="M3" s="6">
        <f>IFERROR(__xludf.DUMMYFUNCTION("""COMPUTED_VALUE"""),-21.0)</f>
        <v>-21</v>
      </c>
      <c r="N3" s="4" t="str">
        <f>IFERROR(__xludf.DUMMYFUNCTION("""COMPUTED_VALUE"""),"[CM] Form G4 - Instagram")</f>
        <v>[CM] Form G4 - Instagram</v>
      </c>
      <c r="O3" s="5">
        <f>IFERROR(__xludf.DUMMYFUNCTION("""COMPUTED_VALUE"""),-1.0)</f>
        <v>-1</v>
      </c>
      <c r="P3" s="3">
        <f>IFERROR(__xludf.DUMMYFUNCTION("""COMPUTED_VALUE"""),-40000.0)</f>
        <v>-40000</v>
      </c>
      <c r="T3" s="4"/>
      <c r="AA3" s="4" t="str">
        <f>IFERROR(__xludf.DUMMYFUNCTION("""COMPUTED_VALUE"""),"[IM] Form Facebook Ads")</f>
        <v>[IM] Form Facebook Ads</v>
      </c>
      <c r="AB3" s="5">
        <f>IFERROR(__xludf.DUMMYFUNCTION("""COMPUTED_VALUE"""),-0.5788209169608161)</f>
        <v>-0.578820917</v>
      </c>
      <c r="AC3" s="3">
        <f>IFERROR(__xludf.DUMMYFUNCTION("""COMPUTED_VALUE"""),-3381.1262626262615)</f>
        <v>-3381.126263</v>
      </c>
      <c r="AD3" s="4" t="str">
        <f>IFERROR(__xludf.DUMMYFUNCTION("""COMPUTED_VALUE"""),"Form G4 Google")</f>
        <v>Form G4 Google</v>
      </c>
      <c r="AE3" s="5">
        <f>IFERROR(__xludf.DUMMYFUNCTION("""COMPUTED_VALUE"""),1.1947124788907848)</f>
        <v>1.194712479</v>
      </c>
      <c r="AF3" s="3">
        <f>IFERROR(__xludf.DUMMYFUNCTION("""COMPUTED_VALUE"""),4080.523255813954)</f>
        <v>4080.523256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Site")</f>
        <v>[SKL] Site</v>
      </c>
      <c r="G4" s="5">
        <f>IFERROR(__xludf.DUMMYFUNCTION("""COMPUTED_VALUE"""),-0.33903467666354226)</f>
        <v>-0.3390346767</v>
      </c>
      <c r="H4" s="4" t="str">
        <f>IFERROR(__xludf.DUMMYFUNCTION("""COMPUTED_VALUE"""),"[ON] Chat")</f>
        <v>[ON] Chat</v>
      </c>
      <c r="I4" s="5">
        <f>IFERROR(__xludf.DUMMYFUNCTION("""COMPUTED_VALUE"""),-0.36771561771561734)</f>
        <v>-0.3677156177</v>
      </c>
      <c r="J4" s="4" t="str">
        <f>IFERROR(__xludf.DUMMYFUNCTION("""COMPUTED_VALUE"""),"[SKL] CRM - WhatsApp")</f>
        <v>[SKL] CRM - WhatsApp</v>
      </c>
      <c r="K4" s="6">
        <f>IFERROR(__xludf.DUMMYFUNCTION("""COMPUTED_VALUE"""),-9.570175438596491)</f>
        <v>-9.570175439</v>
      </c>
      <c r="L4" s="4" t="str">
        <f>IFERROR(__xludf.DUMMYFUNCTION("""COMPUTED_VALUE"""),"[ON] Abandono de carrinho")</f>
        <v>[ON] Abandono de carrinho</v>
      </c>
      <c r="M4" s="6">
        <f>IFERROR(__xludf.DUMMYFUNCTION("""COMPUTED_VALUE"""),-16.58536585365854)</f>
        <v>-16.58536585</v>
      </c>
      <c r="N4" s="4" t="str">
        <f>IFERROR(__xludf.DUMMYFUNCTION("""COMPUTED_VALUE"""),"Aplicativo G4 - Indicação")</f>
        <v>Aplicativo G4 - Indicação</v>
      </c>
      <c r="O4" s="5">
        <f>IFERROR(__xludf.DUMMYFUNCTION("""COMPUTED_VALUE"""),-0.613)</f>
        <v>-0.613</v>
      </c>
      <c r="P4" s="3">
        <f>IFERROR(__xludf.DUMMYFUNCTION("""COMPUTED_VALUE"""),-17777.0)</f>
        <v>-17777</v>
      </c>
      <c r="S4" s="4"/>
      <c r="T4" s="4"/>
      <c r="AA4" s="4" t="str">
        <f>IFERROR(__xludf.DUMMYFUNCTION("""COMPUTED_VALUE"""),"[IM] Social DM")</f>
        <v>[IM] Social DM</v>
      </c>
      <c r="AB4" s="5">
        <f>IFERROR(__xludf.DUMMYFUNCTION("""COMPUTED_VALUE"""),-0.5627906765920041)</f>
        <v>-0.5627906766</v>
      </c>
      <c r="AC4" s="3">
        <f>IFERROR(__xludf.DUMMYFUNCTION("""COMPUTED_VALUE"""),-7110.389285132998)</f>
        <v>-7110.389285</v>
      </c>
      <c r="AD4" s="4" t="str">
        <f>IFERROR(__xludf.DUMMYFUNCTION("""COMPUTED_VALUE"""),"[SKL] CRM - WhatsApp")</f>
        <v>[SKL] CRM - WhatsApp</v>
      </c>
      <c r="AE4" s="5">
        <f>IFERROR(__xludf.DUMMYFUNCTION("""COMPUTED_VALUE"""),0.961688252818423)</f>
        <v>0.9616882528</v>
      </c>
      <c r="AF4" s="3">
        <f>IFERROR(__xludf.DUMMYFUNCTION("""COMPUTED_VALUE"""),1601.5764734604782)</f>
        <v>1601.576473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IFERROR(__xludf.DUMMYFUNCTION("""COMPUTED_VALUE"""),"Form G4 Outros - Não Orgânico")</f>
        <v>Form G4 Outros - Não Orgânico</v>
      </c>
      <c r="G5" s="5">
        <f>IFERROR(__xludf.DUMMYFUNCTION("""COMPUTED_VALUE"""),-0.13552704963747864)</f>
        <v>-0.1355270496</v>
      </c>
      <c r="H5" s="4" t="str">
        <f>IFERROR(__xludf.DUMMYFUNCTION("""COMPUTED_VALUE"""),"Form G4 Outros - Não Orgânico")</f>
        <v>Form G4 Outros - Não Orgânico</v>
      </c>
      <c r="I5" s="5">
        <f>IFERROR(__xludf.DUMMYFUNCTION("""COMPUTED_VALUE"""),-0.1605716664977391)</f>
        <v>-0.1605716665</v>
      </c>
      <c r="J5" s="4" t="str">
        <f>IFERROR(__xludf.DUMMYFUNCTION("""COMPUTED_VALUE"""),"[SKL] CRM - Email")</f>
        <v>[SKL] CRM - Email</v>
      </c>
      <c r="K5" s="6">
        <f>IFERROR(__xludf.DUMMYFUNCTION("""COMPUTED_VALUE"""),-9.195121951219512)</f>
        <v>-9.195121951</v>
      </c>
      <c r="L5" s="4" t="str">
        <f>IFERROR(__xludf.DUMMYFUNCTION("""COMPUTED_VALUE"""),"Form G4 Outros - Orgânico")</f>
        <v>Form G4 Outros - Orgânico</v>
      </c>
      <c r="M5" s="6">
        <f>IFERROR(__xludf.DUMMYFUNCTION("""COMPUTED_VALUE"""),-13.057971014492754)</f>
        <v>-13.05797101</v>
      </c>
      <c r="N5" s="4" t="str">
        <f>IFERROR(__xludf.DUMMYFUNCTION("""COMPUTED_VALUE"""),"[IM] Social DM")</f>
        <v>[IM] Social DM</v>
      </c>
      <c r="O5" s="5">
        <f>IFERROR(__xludf.DUMMYFUNCTION("""COMPUTED_VALUE"""),-0.5876988280614216)</f>
        <v>-0.5876988281</v>
      </c>
      <c r="P5" s="3">
        <f>IFERROR(__xludf.DUMMYFUNCTION("""COMPUTED_VALUE"""),-18806.362497965492)</f>
        <v>-18806.3625</v>
      </c>
      <c r="S5" s="4"/>
      <c r="T5" s="4"/>
      <c r="AA5" s="4" t="str">
        <f>IFERROR(__xludf.DUMMYFUNCTION("""COMPUTED_VALUE"""),"[SKL] Social")</f>
        <v>[SKL] Social</v>
      </c>
      <c r="AB5" s="5">
        <f>IFERROR(__xludf.DUMMYFUNCTION("""COMPUTED_VALUE"""),-0.5096629761015317)</f>
        <v>-0.5096629761</v>
      </c>
      <c r="AC5" s="3">
        <f>IFERROR(__xludf.DUMMYFUNCTION("""COMPUTED_VALUE"""),-2054.3939393939395)</f>
        <v>-2054.393939</v>
      </c>
      <c r="AD5" s="4" t="str">
        <f>IFERROR(__xludf.DUMMYFUNCTION("""COMPUTED_VALUE"""),"[IM] Form G4 Facebook Ads - K")</f>
        <v>[IM] Form G4 Facebook Ads - K</v>
      </c>
      <c r="AE5" s="5">
        <f>IFERROR(__xludf.DUMMYFUNCTION("""COMPUTED_VALUE"""),0.8201619922938987)</f>
        <v>0.8201619923</v>
      </c>
      <c r="AF5" s="3">
        <f>IFERROR(__xludf.DUMMYFUNCTION("""COMPUTED_VALUE"""),619.0706876960148)</f>
        <v>619.0706877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/>
      <c r="G6" s="4"/>
      <c r="H6" s="4"/>
      <c r="I6" s="4"/>
      <c r="J6" s="4" t="str">
        <f>IFERROR(__xludf.DUMMYFUNCTION("""COMPUTED_VALUE"""),"[CM] Form G4 - Instagram")</f>
        <v>[CM] Form G4 - Instagram</v>
      </c>
      <c r="K6" s="6">
        <f>IFERROR(__xludf.DUMMYFUNCTION("""COMPUTED_VALUE"""),-8.821917808219181)</f>
        <v>-8.821917808</v>
      </c>
      <c r="L6" s="4" t="str">
        <f>IFERROR(__xludf.DUMMYFUNCTION("""COMPUTED_VALUE"""),"Form G4 Instagram Outros")</f>
        <v>Form G4 Instagram Outros</v>
      </c>
      <c r="M6" s="6">
        <f>IFERROR(__xludf.DUMMYFUNCTION("""COMPUTED_VALUE"""),-11.735849056603772)</f>
        <v>-11.73584906</v>
      </c>
      <c r="N6" s="4" t="str">
        <f>IFERROR(__xludf.DUMMYFUNCTION("""COMPUTED_VALUE"""),"[FS] Time de vendas")</f>
        <v>[FS] Time de vendas</v>
      </c>
      <c r="O6" s="5">
        <f>IFERROR(__xludf.DUMMYFUNCTION("""COMPUTED_VALUE"""),-0.5484356527150628)</f>
        <v>-0.5484356527</v>
      </c>
      <c r="P6" s="3">
        <f>IFERROR(__xludf.DUMMYFUNCTION("""COMPUTED_VALUE"""),-29372.09990324409)</f>
        <v>-29372.0999</v>
      </c>
      <c r="Q6" s="7"/>
      <c r="S6" s="4"/>
      <c r="T6" s="4"/>
      <c r="AA6" s="4" t="str">
        <f>IFERROR(__xludf.DUMMYFUNCTION("""COMPUTED_VALUE"""),"Form G4 - K Outros")</f>
        <v>Form G4 - K Outros</v>
      </c>
      <c r="AB6" s="5">
        <f>IFERROR(__xludf.DUMMYFUNCTION("""COMPUTED_VALUE"""),-0.4743454708691005)</f>
        <v>-0.4743454709</v>
      </c>
      <c r="AC6" s="3">
        <f>IFERROR(__xludf.DUMMYFUNCTION("""COMPUTED_VALUE"""),-1175.6295913384884)</f>
        <v>-1175.629591</v>
      </c>
      <c r="AD6" s="4" t="str">
        <f>IFERROR(__xludf.DUMMYFUNCTION("""COMPUTED_VALUE"""),"Form G4 Instagram Tallis")</f>
        <v>Form G4 Instagram Tallis</v>
      </c>
      <c r="AE6" s="5">
        <f>IFERROR(__xludf.DUMMYFUNCTION("""COMPUTED_VALUE"""),0.7256661596781135)</f>
        <v>0.7256661597</v>
      </c>
      <c r="AF6" s="3">
        <f>IFERROR(__xludf.DUMMYFUNCTION("""COMPUTED_VALUE"""),1558.302013422819)</f>
        <v>1558.302013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/>
      <c r="G7" s="4"/>
      <c r="H7" s="4"/>
      <c r="I7" s="4"/>
      <c r="J7" s="4" t="str">
        <f>IFERROR(__xludf.DUMMYFUNCTION("""COMPUTED_VALUE"""),"[IM] Social DM")</f>
        <v>[IM] Social DM</v>
      </c>
      <c r="K7" s="6">
        <f>IFERROR(__xludf.DUMMYFUNCTION("""COMPUTED_VALUE"""),-8.467889908256875)</f>
        <v>-8.467889908</v>
      </c>
      <c r="L7" s="4" t="str">
        <f>IFERROR(__xludf.DUMMYFUNCTION("""COMPUTED_VALUE"""),"[ON] Form G4")</f>
        <v>[ON] Form G4</v>
      </c>
      <c r="M7" s="6">
        <f>IFERROR(__xludf.DUMMYFUNCTION("""COMPUTED_VALUE"""),-11.461538461538462)</f>
        <v>-11.46153846</v>
      </c>
      <c r="N7" s="4" t="str">
        <f>IFERROR(__xludf.DUMMYFUNCTION("""COMPUTED_VALUE"""),"[SKL] Midia Paga - Quente")</f>
        <v>[SKL] Midia Paga - Quente</v>
      </c>
      <c r="O7" s="5">
        <f>IFERROR(__xludf.DUMMYFUNCTION("""COMPUTED_VALUE"""),-0.4976453589489739)</f>
        <v>-0.4976453589</v>
      </c>
      <c r="P7" s="3">
        <f>IFERROR(__xludf.DUMMYFUNCTION("""COMPUTED_VALUE"""),-10627.714285714286)</f>
        <v>-10627.71429</v>
      </c>
      <c r="S7" s="4"/>
      <c r="T7" s="4"/>
      <c r="AA7" s="4" t="str">
        <f>IFERROR(__xludf.DUMMYFUNCTION("""COMPUTED_VALUE"""),"Form G4 Incompleto Instagram")</f>
        <v>Form G4 Incompleto Instagram</v>
      </c>
      <c r="AB7" s="5">
        <f>IFERROR(__xludf.DUMMYFUNCTION("""COMPUTED_VALUE"""),-0.43557455653135113)</f>
        <v>-0.4355745565</v>
      </c>
      <c r="AC7" s="3">
        <f>IFERROR(__xludf.DUMMYFUNCTION("""COMPUTED_VALUE"""),-1127.5376712328766)</f>
        <v>-1127.537671</v>
      </c>
      <c r="AD7" s="4" t="str">
        <f>IFERROR(__xludf.DUMMYFUNCTION("""COMPUTED_VALUE"""),"[CM] Form G4 - Outros")</f>
        <v>[CM] Form G4 - Outros</v>
      </c>
      <c r="AE7" s="5">
        <f>IFERROR(__xludf.DUMMYFUNCTION("""COMPUTED_VALUE"""),0.6039419067957217)</f>
        <v>0.6039419068</v>
      </c>
      <c r="AF7" s="3">
        <f>IFERROR(__xludf.DUMMYFUNCTION("""COMPUTED_VALUE"""),2276.923076923076)</f>
        <v>2276.923077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/>
      <c r="G8" s="4"/>
      <c r="H8" s="4"/>
      <c r="I8" s="4"/>
      <c r="J8" s="4" t="str">
        <f>IFERROR(__xludf.DUMMYFUNCTION("""COMPUTED_VALUE"""),"[IM] Link de Indicação")</f>
        <v>[IM] Link de Indicação</v>
      </c>
      <c r="K8" s="6">
        <f>IFERROR(__xludf.DUMMYFUNCTION("""COMPUTED_VALUE"""),-7.847826086956519)</f>
        <v>-7.847826087</v>
      </c>
      <c r="L8" s="4" t="str">
        <f>IFERROR(__xludf.DUMMYFUNCTION("""COMPUTED_VALUE"""),"[SKL] Outros")</f>
        <v>[SKL] Outros</v>
      </c>
      <c r="M8" s="6">
        <f>IFERROR(__xludf.DUMMYFUNCTION("""COMPUTED_VALUE"""),-11.13207547169811)</f>
        <v>-11.13207547</v>
      </c>
      <c r="N8" s="4" t="str">
        <f>IFERROR(__xludf.DUMMYFUNCTION("""COMPUTED_VALUE"""),"[SKL] Midia Paga - Frio")</f>
        <v>[SKL] Midia Paga - Frio</v>
      </c>
      <c r="O8" s="5">
        <f>IFERROR(__xludf.DUMMYFUNCTION("""COMPUTED_VALUE"""),-0.46320625210456196)</f>
        <v>-0.4632062521</v>
      </c>
      <c r="P8" s="3">
        <f>IFERROR(__xludf.DUMMYFUNCTION("""COMPUTED_VALUE"""),-7909.7099609375)</f>
        <v>-7909.709961</v>
      </c>
      <c r="Q8" s="4"/>
      <c r="S8" s="4"/>
      <c r="T8" s="4"/>
      <c r="AA8" s="4" t="str">
        <f>IFERROR(__xludf.DUMMYFUNCTION("""COMPUTED_VALUE"""),"Form G4 Outros - Orgânico")</f>
        <v>Form G4 Outros - Orgânico</v>
      </c>
      <c r="AB8" s="5">
        <f>IFERROR(__xludf.DUMMYFUNCTION("""COMPUTED_VALUE"""),-0.42462751912078645)</f>
        <v>-0.4246275191</v>
      </c>
      <c r="AC8" s="3">
        <f>IFERROR(__xludf.DUMMYFUNCTION("""COMPUTED_VALUE"""),-3786.514492753622)</f>
        <v>-3786.514493</v>
      </c>
      <c r="AD8" s="4" t="str">
        <f>IFERROR(__xludf.DUMMYFUNCTION("""COMPUTED_VALUE"""),"[ON] Form G4 Incompleto")</f>
        <v>[ON] Form G4 Incompleto</v>
      </c>
      <c r="AE8" s="5">
        <f>IFERROR(__xludf.DUMMYFUNCTION("""COMPUTED_VALUE"""),0.5177278248300672)</f>
        <v>0.5177278248</v>
      </c>
      <c r="AF8" s="3">
        <f>IFERROR(__xludf.DUMMYFUNCTION("""COMPUTED_VALUE"""),241.2617031665559)</f>
        <v>241.2617032</v>
      </c>
    </row>
    <row r="9">
      <c r="F9" s="4"/>
      <c r="G9" s="4"/>
      <c r="H9" s="4"/>
      <c r="I9" s="4"/>
      <c r="J9" s="4" t="str">
        <f>IFERROR(__xludf.DUMMYFUNCTION("""COMPUTED_VALUE"""),"[SKL] Midia Paga - Frio")</f>
        <v>[SKL] Midia Paga - Frio</v>
      </c>
      <c r="K9" s="6">
        <f>IFERROR(__xludf.DUMMYFUNCTION("""COMPUTED_VALUE"""),-6.66949720670391)</f>
        <v>-6.669497207</v>
      </c>
      <c r="L9" s="4" t="str">
        <f>IFERROR(__xludf.DUMMYFUNCTION("""COMPUTED_VALUE"""),"[SKL] Site")</f>
        <v>[SKL] Site</v>
      </c>
      <c r="M9" s="6">
        <f>IFERROR(__xludf.DUMMYFUNCTION("""COMPUTED_VALUE"""),-9.608695652173916)</f>
        <v>-9.608695652</v>
      </c>
      <c r="N9" s="9" t="str">
        <f>IFERROR(__xludf.DUMMYFUNCTION("""COMPUTED_VALUE"""),"[IM] Form Facebook Ads")</f>
        <v>[IM] Form Facebook Ads</v>
      </c>
      <c r="O9" s="5">
        <f>IFERROR(__xludf.DUMMYFUNCTION("""COMPUTED_VALUE"""),-0.3197018255578094)</f>
        <v>-0.3197018256</v>
      </c>
      <c r="P9" s="3">
        <f>IFERROR(__xludf.DUMMYFUNCTION("""COMPUTED_VALUE"""),-9271.352941176472)</f>
        <v>-9271.352941</v>
      </c>
      <c r="S9" s="4"/>
      <c r="T9" s="4"/>
      <c r="AA9" s="4" t="str">
        <f>IFERROR(__xludf.DUMMYFUNCTION("""COMPUTED_VALUE"""),"[ON] Form G4")</f>
        <v>[ON] Form G4</v>
      </c>
      <c r="AB9" s="5">
        <f>IFERROR(__xludf.DUMMYFUNCTION("""COMPUTED_VALUE"""),-0.2789788488757823)</f>
        <v>-0.2789788489</v>
      </c>
      <c r="AC9" s="3">
        <f>IFERROR(__xludf.DUMMYFUNCTION("""COMPUTED_VALUE"""),-1281.5692232572114)</f>
        <v>-1281.569223</v>
      </c>
      <c r="AD9" s="4" t="str">
        <f>IFERROR(__xludf.DUMMYFUNCTION("""COMPUTED_VALUE"""),"Form G4 - K Instagram")</f>
        <v>Form G4 - K Instagram</v>
      </c>
      <c r="AE9" s="5">
        <f>IFERROR(__xludf.DUMMYFUNCTION("""COMPUTED_VALUE"""),0.37125686045998907)</f>
        <v>0.3712568605</v>
      </c>
      <c r="AF9" s="3">
        <f>IFERROR(__xludf.DUMMYFUNCTION("""COMPUTED_VALUE"""),135.54925446012135)</f>
        <v>135.5492545</v>
      </c>
    </row>
    <row r="10">
      <c r="F10" s="4"/>
      <c r="G10" s="4"/>
      <c r="H10" s="4"/>
      <c r="I10" s="4"/>
      <c r="J10" s="4" t="str">
        <f>IFERROR(__xludf.DUMMYFUNCTION("""COMPUTED_VALUE"""),"[SKL] Midia Paga - Quente")</f>
        <v>[SKL] Midia Paga - Quente</v>
      </c>
      <c r="K10" s="6">
        <f>IFERROR(__xludf.DUMMYFUNCTION("""COMPUTED_VALUE"""),-6.472738853503185)</f>
        <v>-6.472738854</v>
      </c>
      <c r="L10" s="4" t="str">
        <f>IFERROR(__xludf.DUMMYFUNCTION("""COMPUTED_VALUE"""),"[IM] Form Facebook Ads")</f>
        <v>[IM] Form Facebook Ads</v>
      </c>
      <c r="M10" s="6">
        <f>IFERROR(__xludf.DUMMYFUNCTION("""COMPUTED_VALUE"""),-8.914141414141413)</f>
        <v>-8.914141414</v>
      </c>
      <c r="N10" s="9" t="str">
        <f>IFERROR(__xludf.DUMMYFUNCTION("""COMPUTED_VALUE"""),"Form G4 Instagram G4")</f>
        <v>Form G4 Instagram G4</v>
      </c>
      <c r="O10" s="5">
        <f>IFERROR(__xludf.DUMMYFUNCTION("""COMPUTED_VALUE"""),-0.3196324216978891)</f>
        <v>-0.3196324217</v>
      </c>
      <c r="P10" s="3">
        <f>IFERROR(__xludf.DUMMYFUNCTION("""COMPUTED_VALUE"""),-10228.23749433245)</f>
        <v>-10228.23749</v>
      </c>
      <c r="Q10" s="4"/>
      <c r="S10" s="4"/>
      <c r="T10" s="4"/>
      <c r="AA10" s="4" t="str">
        <f>IFERROR(__xludf.DUMMYFUNCTION("""COMPUTED_VALUE"""),"Form G4 Instagram G4")</f>
        <v>Form G4 Instagram G4</v>
      </c>
      <c r="AB10" s="5">
        <f>IFERROR(__xludf.DUMMYFUNCTION("""COMPUTED_VALUE"""),-0.2728557088863439)</f>
        <v>-0.2728557089</v>
      </c>
      <c r="AC10" s="3">
        <f>IFERROR(__xludf.DUMMYFUNCTION("""COMPUTED_VALUE"""),-2576.4979875937283)</f>
        <v>-2576.497988</v>
      </c>
      <c r="AD10" s="9" t="str">
        <f>IFERROR(__xludf.DUMMYFUNCTION("""COMPUTED_VALUE"""),"[SKL] Midia Paga - Frio")</f>
        <v>[SKL] Midia Paga - Frio</v>
      </c>
      <c r="AE10" s="10">
        <f>IFERROR(__xludf.DUMMYFUNCTION("""COMPUTED_VALUE"""),0.3024441296474927)</f>
        <v>0.3024441296</v>
      </c>
      <c r="AF10" s="11">
        <f>IFERROR(__xludf.DUMMYFUNCTION("""COMPUTED_VALUE"""),32.432268075284014)</f>
        <v>32.43226808</v>
      </c>
    </row>
    <row r="11">
      <c r="F11" s="4"/>
      <c r="G11" s="4"/>
      <c r="H11" s="4"/>
      <c r="I11" s="4"/>
      <c r="J11" s="4" t="str">
        <f>IFERROR(__xludf.DUMMYFUNCTION("""COMPUTED_VALUE"""),"Form G4 Facebook")</f>
        <v>Form G4 Facebook</v>
      </c>
      <c r="K11" s="6">
        <f>IFERROR(__xludf.DUMMYFUNCTION("""COMPUTED_VALUE"""),-4.976190476190478)</f>
        <v>-4.976190476</v>
      </c>
      <c r="L11" s="4" t="str">
        <f>IFERROR(__xludf.DUMMYFUNCTION("""COMPUTED_VALUE"""),"Aplicativo G4 - Indicação")</f>
        <v>Aplicativo G4 - Indicação</v>
      </c>
      <c r="M11" s="6">
        <f>IFERROR(__xludf.DUMMYFUNCTION("""COMPUTED_VALUE"""),-8.833333333333334)</f>
        <v>-8.833333333</v>
      </c>
      <c r="N11" s="9" t="str">
        <f>IFERROR(__xludf.DUMMYFUNCTION("""COMPUTED_VALUE"""),"[SKL] Social")</f>
        <v>[SKL] Social</v>
      </c>
      <c r="O11" s="5">
        <f>IFERROR(__xludf.DUMMYFUNCTION("""COMPUTED_VALUE"""),-0.3161111111111111)</f>
        <v>-0.3161111111</v>
      </c>
      <c r="P11" s="3">
        <f>IFERROR(__xludf.DUMMYFUNCTION("""COMPUTED_VALUE"""),-6638.333333333334)</f>
        <v>-6638.333333</v>
      </c>
      <c r="AA11" s="4" t="str">
        <f>IFERROR(__xludf.DUMMYFUNCTION("""COMPUTED_VALUE"""),"[IM] Chat")</f>
        <v>[IM] Chat</v>
      </c>
      <c r="AB11" s="5">
        <f>IFERROR(__xludf.DUMMYFUNCTION("""COMPUTED_VALUE"""),-0.24833195408603537)</f>
        <v>-0.2483319541</v>
      </c>
      <c r="AC11" s="3">
        <f>IFERROR(__xludf.DUMMYFUNCTION("""COMPUTED_VALUE"""),-1997.4000005778475)</f>
        <v>-1997.400001</v>
      </c>
      <c r="AD11" s="9" t="str">
        <f>IFERROR(__xludf.DUMMYFUNCTION("""COMPUTED_VALUE"""),"Form G4 Incompleto Outros")</f>
        <v>Form G4 Incompleto Outros</v>
      </c>
      <c r="AE11" s="10">
        <f>IFERROR(__xludf.DUMMYFUNCTION("""COMPUTED_VALUE"""),0.2863461448744056)</f>
        <v>0.2863461449</v>
      </c>
      <c r="AF11" s="11">
        <f>IFERROR(__xludf.DUMMYFUNCTION("""COMPUTED_VALUE"""),34.88372093023281)</f>
        <v>34.88372093</v>
      </c>
    </row>
    <row r="12">
      <c r="F12" s="4"/>
      <c r="G12" s="4"/>
      <c r="H12" s="4"/>
      <c r="I12" s="4"/>
      <c r="J12" s="4" t="str">
        <f>IFERROR(__xludf.DUMMYFUNCTION("""COMPUTED_VALUE"""),"Form G4 Outros - Não Orgânico")</f>
        <v>Form G4 Outros - Não Orgânico</v>
      </c>
      <c r="K12" s="6">
        <f>IFERROR(__xludf.DUMMYFUNCTION("""COMPUTED_VALUE"""),-4.084337349397593)</f>
        <v>-4.084337349</v>
      </c>
      <c r="L12" s="4" t="str">
        <f>IFERROR(__xludf.DUMMYFUNCTION("""COMPUTED_VALUE"""),"[SKL] CRM - Email")</f>
        <v>[SKL] CRM - Email</v>
      </c>
      <c r="M12" s="6">
        <f>IFERROR(__xludf.DUMMYFUNCTION("""COMPUTED_VALUE"""),-8.676190476190476)</f>
        <v>-8.676190476</v>
      </c>
      <c r="N12" s="9" t="str">
        <f>IFERROR(__xludf.DUMMYFUNCTION("""COMPUTED_VALUE"""),"[IM] Chat")</f>
        <v>[IM] Chat</v>
      </c>
      <c r="O12" s="5">
        <f>IFERROR(__xludf.DUMMYFUNCTION("""COMPUTED_VALUE"""),-0.23492400015024031)</f>
        <v>-0.2349240002</v>
      </c>
      <c r="P12" s="3">
        <f>IFERROR(__xludf.DUMMYFUNCTION("""COMPUTED_VALUE"""),-6108.024003906248)</f>
        <v>-6108.024004</v>
      </c>
      <c r="AA12" s="4" t="str">
        <f>IFERROR(__xludf.DUMMYFUNCTION("""COMPUTED_VALUE"""),"Form G4 Instagram Outros")</f>
        <v>Form G4 Instagram Outros</v>
      </c>
      <c r="AB12" s="5">
        <f>IFERROR(__xludf.DUMMYFUNCTION("""COMPUTED_VALUE"""),-0.20918430497268348)</f>
        <v>-0.209184305</v>
      </c>
      <c r="AC12" s="3">
        <f>IFERROR(__xludf.DUMMYFUNCTION("""COMPUTED_VALUE"""),-2284.6509433962274)</f>
        <v>-2284.650943</v>
      </c>
      <c r="AD12" s="9" t="str">
        <f>IFERROR(__xludf.DUMMYFUNCTION("""COMPUTED_VALUE"""),"[IM] Link de Indicação")</f>
        <v>[IM] Link de Indicação</v>
      </c>
      <c r="AE12" s="10">
        <f>IFERROR(__xludf.DUMMYFUNCTION("""COMPUTED_VALUE"""),0.24402373270036626)</f>
        <v>0.2440237327</v>
      </c>
      <c r="AF12" s="11">
        <f>IFERROR(__xludf.DUMMYFUNCTION("""COMPUTED_VALUE"""),-78.15789473684345)</f>
        <v>-78.15789474</v>
      </c>
    </row>
    <row r="13">
      <c r="F13" s="4"/>
      <c r="G13" s="4"/>
      <c r="H13" s="4"/>
      <c r="I13" s="4"/>
      <c r="J13" s="4" t="str">
        <f>IFERROR(__xludf.DUMMYFUNCTION("""COMPUTED_VALUE"""),"[ON] Form G4 Incompleto")</f>
        <v>[ON] Form G4 Incompleto</v>
      </c>
      <c r="K13" s="6">
        <f>IFERROR(__xludf.DUMMYFUNCTION("""COMPUTED_VALUE"""),-2.4979253112033195)</f>
        <v>-2.497925311</v>
      </c>
      <c r="L13" s="4" t="str">
        <f>IFERROR(__xludf.DUMMYFUNCTION("""COMPUTED_VALUE"""),"Form G4 Incompleto Outros")</f>
        <v>Form G4 Incompleto Outros</v>
      </c>
      <c r="M13" s="6">
        <f>IFERROR(__xludf.DUMMYFUNCTION("""COMPUTED_VALUE"""),-7.348837209302325)</f>
        <v>-7.348837209</v>
      </c>
      <c r="N13" s="9" t="str">
        <f>IFERROR(__xludf.DUMMYFUNCTION("""COMPUTED_VALUE"""),"Form G4 Incompleto Instagram")</f>
        <v>Form G4 Incompleto Instagram</v>
      </c>
      <c r="O13" s="5">
        <f>IFERROR(__xludf.DUMMYFUNCTION("""COMPUTED_VALUE"""),-0.21635588235294112)</f>
        <v>-0.2163558824</v>
      </c>
      <c r="P13" s="3">
        <f>IFERROR(__xludf.DUMMYFUNCTION("""COMPUTED_VALUE"""),-3678.0499999999993)</f>
        <v>-3678.05</v>
      </c>
      <c r="AA13" s="4" t="str">
        <f>IFERROR(__xludf.DUMMYFUNCTION("""COMPUTED_VALUE"""),"[SKL] Midia Paga - Quente")</f>
        <v>[SKL] Midia Paga - Quente</v>
      </c>
      <c r="AB13" s="5">
        <f>IFERROR(__xludf.DUMMYFUNCTION("""COMPUTED_VALUE"""),-0.19004540701566197)</f>
        <v>-0.190045407</v>
      </c>
      <c r="AC13" s="3">
        <f>IFERROR(__xludf.DUMMYFUNCTION("""COMPUTED_VALUE"""),-607.2895884057971)</f>
        <v>-607.2895884</v>
      </c>
      <c r="AD13" s="9" t="str">
        <f>IFERROR(__xludf.DUMMYFUNCTION("""COMPUTED_VALUE"""),"[SKL] Site")</f>
        <v>[SKL] Site</v>
      </c>
      <c r="AE13" s="10">
        <f>IFERROR(__xludf.DUMMYFUNCTION("""COMPUTED_VALUE"""),0.24378764337168857)</f>
        <v>0.2437876434</v>
      </c>
      <c r="AF13" s="11">
        <f>IFERROR(__xludf.DUMMYFUNCTION("""COMPUTED_VALUE"""),-73.59565005095101)</f>
        <v>-73.59565005</v>
      </c>
    </row>
    <row r="14">
      <c r="F14" s="4"/>
      <c r="G14" s="4"/>
      <c r="H14" s="4"/>
      <c r="I14" s="4"/>
      <c r="J14" s="4" t="str">
        <f>IFERROR(__xludf.DUMMYFUNCTION("""COMPUTED_VALUE"""),"[ON] Abandono de carrinho")</f>
        <v>[ON] Abandono de carrinho</v>
      </c>
      <c r="K14" s="6">
        <f>IFERROR(__xludf.DUMMYFUNCTION("""COMPUTED_VALUE"""),-2.2929292929292937)</f>
        <v>-2.292929293</v>
      </c>
      <c r="L14" s="4" t="str">
        <f>IFERROR(__xludf.DUMMYFUNCTION("""COMPUTED_VALUE"""),"Form G4 - K Outros")</f>
        <v>Form G4 - K Outros</v>
      </c>
      <c r="M14" s="6">
        <f>IFERROR(__xludf.DUMMYFUNCTION("""COMPUTED_VALUE"""),-7.336734693877552)</f>
        <v>-7.336734694</v>
      </c>
      <c r="N14" s="9" t="str">
        <f>IFERROR(__xludf.DUMMYFUNCTION("""COMPUTED_VALUE"""),"Form G4 - K Outros")</f>
        <v>Form G4 - K Outros</v>
      </c>
      <c r="O14" s="5">
        <f>IFERROR(__xludf.DUMMYFUNCTION("""COMPUTED_VALUE"""),-0.20905480722280648)</f>
        <v>-0.2090548072</v>
      </c>
      <c r="P14" s="3">
        <f>IFERROR(__xludf.DUMMYFUNCTION("""COMPUTED_VALUE"""),-2717.7124938964844)</f>
        <v>-2717.712494</v>
      </c>
      <c r="AA14" s="4" t="str">
        <f>IFERROR(__xludf.DUMMYFUNCTION("""COMPUTED_VALUE"""),"[SKL] Outros")</f>
        <v>[SKL] Outros</v>
      </c>
      <c r="AB14" s="5">
        <f>IFERROR(__xludf.DUMMYFUNCTION("""COMPUTED_VALUE"""),-0.16058893444235112)</f>
        <v>-0.1605889344</v>
      </c>
      <c r="AC14" s="3">
        <f>IFERROR(__xludf.DUMMYFUNCTION("""COMPUTED_VALUE"""),-2310.1132075471687)</f>
        <v>-2310.113208</v>
      </c>
    </row>
    <row r="15">
      <c r="F15" s="4"/>
      <c r="G15" s="4"/>
      <c r="H15" s="4"/>
      <c r="I15" s="4"/>
      <c r="J15" s="4" t="str">
        <f>IFERROR(__xludf.DUMMYFUNCTION("""COMPUTED_VALUE"""),"Form G4 Instagram G4")</f>
        <v>Form G4 Instagram G4</v>
      </c>
      <c r="K15" s="6">
        <f>IFERROR(__xludf.DUMMYFUNCTION("""COMPUTED_VALUE"""),-1.9852805887764502)</f>
        <v>-1.985280589</v>
      </c>
      <c r="L15" s="9" t="str">
        <f>IFERROR(__xludf.DUMMYFUNCTION("""COMPUTED_VALUE"""),"[SKL] Social")</f>
        <v>[SKL] Social</v>
      </c>
      <c r="M15" s="6">
        <f>IFERROR(__xludf.DUMMYFUNCTION("""COMPUTED_VALUE"""),-6.909090909090909)</f>
        <v>-6.909090909</v>
      </c>
      <c r="N15" s="9" t="str">
        <f>IFERROR(__xludf.DUMMYFUNCTION("""COMPUTED_VALUE"""),"[IM] Time de vendas")</f>
        <v>[IM] Time de vendas</v>
      </c>
      <c r="O15" s="5">
        <f>IFERROR(__xludf.DUMMYFUNCTION("""COMPUTED_VALUE"""),-0.18712672778532544)</f>
        <v>-0.1871267278</v>
      </c>
      <c r="P15" s="3">
        <f>IFERROR(__xludf.DUMMYFUNCTION("""COMPUTED_VALUE"""),-5599.114661937452)</f>
        <v>-5599.114662</v>
      </c>
      <c r="AA15" s="4" t="str">
        <f>IFERROR(__xludf.DUMMYFUNCTION("""COMPUTED_VALUE"""),"Form G4 Facebook")</f>
        <v>Form G4 Facebook</v>
      </c>
      <c r="AB15" s="5">
        <f>IFERROR(__xludf.DUMMYFUNCTION("""COMPUTED_VALUE"""),-0.06437473478065014)</f>
        <v>-0.06437473478</v>
      </c>
      <c r="AC15" s="3">
        <f>IFERROR(__xludf.DUMMYFUNCTION("""COMPUTED_VALUE"""),-832.5405405405404)</f>
        <v>-832.5405405</v>
      </c>
    </row>
    <row r="16">
      <c r="F16" s="4"/>
      <c r="G16" s="4"/>
      <c r="H16" s="4"/>
      <c r="I16" s="4"/>
      <c r="J16" s="4" t="str">
        <f>IFERROR(__xludf.DUMMYFUNCTION("""COMPUTED_VALUE"""),"Form G4 Incompleto Outros")</f>
        <v>Form G4 Incompleto Outros</v>
      </c>
      <c r="K16" s="6">
        <f>IFERROR(__xludf.DUMMYFUNCTION("""COMPUTED_VALUE"""),-1.9016393442622959)</f>
        <v>-1.901639344</v>
      </c>
      <c r="L16" s="9" t="str">
        <f>IFERROR(__xludf.DUMMYFUNCTION("""COMPUTED_VALUE"""),"[ON] Form G4 Incompleto")</f>
        <v>[ON] Form G4 Incompleto</v>
      </c>
      <c r="M16" s="6">
        <f>IFERROR(__xludf.DUMMYFUNCTION("""COMPUTED_VALUE"""),-6.3617021276595755)</f>
        <v>-6.361702128</v>
      </c>
      <c r="N16" s="9" t="str">
        <f>IFERROR(__xludf.DUMMYFUNCTION("""COMPUTED_VALUE"""),"Form G4 Outros - Orgânico")</f>
        <v>Form G4 Outros - Orgânico</v>
      </c>
      <c r="O16" s="5">
        <f>IFERROR(__xludf.DUMMYFUNCTION("""COMPUTED_VALUE"""),-0.17056628787878783)</f>
        <v>-0.1705662879</v>
      </c>
      <c r="P16" s="3">
        <f>IFERROR(__xludf.DUMMYFUNCTION("""COMPUTED_VALUE"""),-4093.590909090908)</f>
        <v>-4093.590909</v>
      </c>
      <c r="AA16" s="4"/>
      <c r="AB16" s="4"/>
      <c r="AC16" s="4"/>
    </row>
    <row r="17">
      <c r="F17" s="4"/>
      <c r="G17" s="4"/>
      <c r="H17" s="4"/>
      <c r="I17" s="4"/>
      <c r="J17" s="4" t="str">
        <f>IFERROR(__xludf.DUMMYFUNCTION("""COMPUTED_VALUE"""),"[SKL] Social")</f>
        <v>[SKL] Social</v>
      </c>
      <c r="K17" s="6">
        <f>IFERROR(__xludf.DUMMYFUNCTION("""COMPUTED_VALUE"""),-1.5820895522388052)</f>
        <v>-1.582089552</v>
      </c>
      <c r="L17" s="9" t="str">
        <f>IFERROR(__xludf.DUMMYFUNCTION("""COMPUTED_VALUE"""),"[ON] Chat")</f>
        <v>[ON] Chat</v>
      </c>
      <c r="M17" s="6">
        <f>IFERROR(__xludf.DUMMYFUNCTION("""COMPUTED_VALUE"""),-6.0)</f>
        <v>-6</v>
      </c>
      <c r="N17" s="9" t="str">
        <f>IFERROR(__xludf.DUMMYFUNCTION("""COMPUTED_VALUE"""),"[IM] Link de Indicação")</f>
        <v>[IM] Link de Indicação</v>
      </c>
      <c r="O17" s="5">
        <f>IFERROR(__xludf.DUMMYFUNCTION("""COMPUTED_VALUE"""),-0.138375)</f>
        <v>-0.138375</v>
      </c>
      <c r="P17" s="3">
        <f>IFERROR(__xludf.DUMMYFUNCTION("""COMPUTED_VALUE"""),-3321.0)</f>
        <v>-3321</v>
      </c>
      <c r="AA17" s="4"/>
      <c r="AB17" s="4"/>
      <c r="AC17" s="4"/>
    </row>
    <row r="18">
      <c r="F18" s="4"/>
      <c r="G18" s="4"/>
      <c r="H18" s="4"/>
      <c r="I18" s="4"/>
      <c r="J18" s="4" t="str">
        <f>IFERROR(__xludf.DUMMYFUNCTION("""COMPUTED_VALUE"""),"[IM] Form Facebook Ads")</f>
        <v>[IM] Form Facebook Ads</v>
      </c>
      <c r="K18" s="6">
        <f>IFERROR(__xludf.DUMMYFUNCTION("""COMPUTED_VALUE"""),-0.7697160883280763)</f>
        <v>-0.7697160883</v>
      </c>
      <c r="L18" s="9" t="str">
        <f>IFERROR(__xludf.DUMMYFUNCTION("""COMPUTED_VALUE"""),"Form G4 - K Instagram")</f>
        <v>Form G4 - K Instagram</v>
      </c>
      <c r="M18" s="6">
        <f>IFERROR(__xludf.DUMMYFUNCTION("""COMPUTED_VALUE"""),-5.805970149253732)</f>
        <v>-5.805970149</v>
      </c>
      <c r="N18" s="9" t="str">
        <f>IFERROR(__xludf.DUMMYFUNCTION("""COMPUTED_VALUE"""),"[ON] Chat")</f>
        <v>[ON] Chat</v>
      </c>
      <c r="O18" s="5">
        <f>IFERROR(__xludf.DUMMYFUNCTION("""COMPUTED_VALUE"""),-0.04803613053613059)</f>
        <v>-0.04803613054</v>
      </c>
      <c r="P18" s="3">
        <f>IFERROR(__xludf.DUMMYFUNCTION("""COMPUTED_VALUE"""),-317.0384615384619)</f>
        <v>-317.0384615</v>
      </c>
      <c r="AA18" s="4"/>
      <c r="AB18" s="4"/>
      <c r="AC18" s="4"/>
    </row>
    <row r="19">
      <c r="F19" s="4"/>
      <c r="G19" s="4"/>
      <c r="H19" s="4"/>
      <c r="I19" s="4"/>
      <c r="J19" s="4" t="str">
        <f>IFERROR(__xludf.DUMMYFUNCTION("""COMPUTED_VALUE"""),"Form G4 - K Outros")</f>
        <v>Form G4 - K Outros</v>
      </c>
      <c r="K19" s="6">
        <f>IFERROR(__xludf.DUMMYFUNCTION("""COMPUTED_VALUE"""),-0.41409691629955836)</f>
        <v>-0.4140969163</v>
      </c>
      <c r="L19" s="9" t="str">
        <f>IFERROR(__xludf.DUMMYFUNCTION("""COMPUTED_VALUE"""),"[IM] Social DM")</f>
        <v>[IM] Social DM</v>
      </c>
      <c r="M19" s="6">
        <f>IFERROR(__xludf.DUMMYFUNCTION("""COMPUTED_VALUE"""),-5.428571428571432)</f>
        <v>-5.428571429</v>
      </c>
      <c r="N19" s="9" t="str">
        <f>IFERROR(__xludf.DUMMYFUNCTION("""COMPUTED_VALUE"""),"Form G4 Facebook")</f>
        <v>Form G4 Facebook</v>
      </c>
      <c r="O19" s="5">
        <f>IFERROR(__xludf.DUMMYFUNCTION("""COMPUTED_VALUE"""),-0.03982608695652174)</f>
        <v>-0.03982608696</v>
      </c>
      <c r="P19" s="3">
        <f>IFERROR(__xludf.DUMMYFUNCTION("""COMPUTED_VALUE"""),-916.0)</f>
        <v>-916</v>
      </c>
      <c r="AA19" s="4"/>
      <c r="AB19" s="4"/>
      <c r="AC19" s="4"/>
    </row>
    <row r="20">
      <c r="F20" s="4"/>
      <c r="G20" s="4"/>
      <c r="H20" s="4"/>
      <c r="I20" s="4"/>
      <c r="J20" s="4" t="str">
        <f>IFERROR(__xludf.DUMMYFUNCTION("""COMPUTED_VALUE"""),"Form G4 Incompleto Instagram")</f>
        <v>Form G4 Incompleto Instagram</v>
      </c>
      <c r="K20" s="6">
        <f>IFERROR(__xludf.DUMMYFUNCTION("""COMPUTED_VALUE"""),-0.16033254156769539)</f>
        <v>-0.1603325416</v>
      </c>
      <c r="L20" s="9" t="str">
        <f>IFERROR(__xludf.DUMMYFUNCTION("""COMPUTED_VALUE"""),"Form G4 Incompleto Instagram")</f>
        <v>Form G4 Incompleto Instagram</v>
      </c>
      <c r="M20" s="6">
        <f>IFERROR(__xludf.DUMMYFUNCTION("""COMPUTED_VALUE"""),-5.1506849315068495)</f>
        <v>-5.150684932</v>
      </c>
      <c r="N20" s="9" t="str">
        <f>IFERROR(__xludf.DUMMYFUNCTION("""COMPUTED_VALUE"""),"[ON] Abandono de carrinho")</f>
        <v>[ON] Abandono de carrinho</v>
      </c>
      <c r="O20" s="5">
        <f>IFERROR(__xludf.DUMMYFUNCTION("""COMPUTED_VALUE"""),-0.021422961591490146)</f>
        <v>-0.02142296159</v>
      </c>
      <c r="P20" s="3">
        <f>IFERROR(__xludf.DUMMYFUNCTION("""COMPUTED_VALUE"""),-72.8380694110665)</f>
        <v>-72.83806941</v>
      </c>
      <c r="AA20" s="4"/>
      <c r="AB20" s="4"/>
      <c r="AC20" s="4"/>
    </row>
    <row r="21">
      <c r="F21" s="4"/>
      <c r="G21" s="4"/>
      <c r="H21" s="4"/>
      <c r="I21" s="4"/>
      <c r="J21" s="4" t="str">
        <f>IFERROR(__xludf.DUMMYFUNCTION("""COMPUTED_VALUE"""),"[ON] Form G4")</f>
        <v>[ON] Form G4</v>
      </c>
      <c r="K21" s="6">
        <f>IFERROR(__xludf.DUMMYFUNCTION("""COMPUTED_VALUE"""),-0.010380622837369291)</f>
        <v>-0.01038062284</v>
      </c>
      <c r="L21" s="9" t="str">
        <f>IFERROR(__xludf.DUMMYFUNCTION("""COMPUTED_VALUE"""),"[IM] Chat")</f>
        <v>[IM] Chat</v>
      </c>
      <c r="M21" s="6">
        <f>IFERROR(__xludf.DUMMYFUNCTION("""COMPUTED_VALUE"""),-4.207100591715976)</f>
        <v>-4.207100592</v>
      </c>
      <c r="O21" s="4"/>
      <c r="P21" s="4"/>
      <c r="AA21" s="4"/>
      <c r="AB21" s="4"/>
      <c r="AC21" s="4"/>
    </row>
    <row r="22">
      <c r="F22" s="4"/>
      <c r="G22" s="4"/>
      <c r="H22" s="4"/>
      <c r="I22" s="4"/>
      <c r="J22" s="4"/>
      <c r="K22" s="4"/>
      <c r="L22" s="9" t="str">
        <f>IFERROR(__xludf.DUMMYFUNCTION("""COMPUTED_VALUE"""),"Form G4 Facebook")</f>
        <v>Form G4 Facebook</v>
      </c>
      <c r="M22" s="6">
        <f>IFERROR(__xludf.DUMMYFUNCTION("""COMPUTED_VALUE"""),-3.18918918918919)</f>
        <v>-3.189189189</v>
      </c>
      <c r="O22" s="4"/>
      <c r="P22" s="4"/>
      <c r="AA22" s="4"/>
      <c r="AB22" s="4"/>
    </row>
    <row r="23">
      <c r="F23" s="4"/>
      <c r="G23" s="4"/>
      <c r="H23" s="4"/>
      <c r="I23" s="4"/>
      <c r="J23" s="4"/>
      <c r="K23" s="4"/>
      <c r="L23" s="9" t="str">
        <f>IFERROR(__xludf.DUMMYFUNCTION("""COMPUTED_VALUE"""),"Form G4 Instagram G4")</f>
        <v>Form G4 Instagram G4</v>
      </c>
      <c r="M23" s="6">
        <f>IFERROR(__xludf.DUMMYFUNCTION("""COMPUTED_VALUE"""),-2.908045977011495)</f>
        <v>-2.908045977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IFERROR(__xludf.DUMMYFUNCTION("""COMPUTED_VALUE"""),"[IM] Form G4 Facebook Ads - K")</f>
        <v>[IM] Form G4 Facebook Ads - K</v>
      </c>
      <c r="M24" s="6">
        <f>IFERROR(__xludf.DUMMYFUNCTION("""COMPUTED_VALUE"""),-1.6723568568308282)</f>
        <v>-1.672356857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IFERROR(__xludf.DUMMYFUNCTION("""COMPUTED_VALUE"""),"[SKL] CRM - WhatsApp")</f>
        <v>[SKL] CRM - WhatsApp</v>
      </c>
      <c r="M25" s="6">
        <f>IFERROR(__xludf.DUMMYFUNCTION("""COMPUTED_VALUE"""),-1.3529411764705874)</f>
        <v>-1.352941176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M26" s="4"/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M27" s="4"/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2">
        <f>IFERROR(__xludf.DUMMYFUNCTION("IMPORTRANGE(""https://docs.google.com/spreadsheets/d/1D6uzcbxSwPrh4oDMzqUQcTT-8H5GNx5DfmYrtr-kz2w"",""Visão ""&amp;'Parâmetro'!B1&amp;"" - Metas Comercial!AE1"")"),1.0164199938602418E7)</f>
        <v>10164199.94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Comercial!AF4"")"),7403791.100341797)</f>
        <v>7403791.1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Comercial!AE4"")"),7892501.252324777)</f>
        <v>7892501.252</v>
      </c>
    </row>
    <row r="5">
      <c r="A5" s="1" t="s">
        <v>36</v>
      </c>
      <c r="B5" s="1" t="s">
        <v>2</v>
      </c>
      <c r="C5" s="3">
        <f>C3-C4</f>
        <v>-488710.152</v>
      </c>
    </row>
    <row r="6">
      <c r="A6" s="1" t="s">
        <v>36</v>
      </c>
      <c r="B6" s="1" t="s">
        <v>39</v>
      </c>
      <c r="C6" s="5">
        <f>C3/C2</f>
        <v>0.728418483</v>
      </c>
    </row>
    <row r="7">
      <c r="A7" s="1" t="s">
        <v>36</v>
      </c>
      <c r="B7" s="1" t="s">
        <v>40</v>
      </c>
      <c r="C7" s="5">
        <f>C3/C4</f>
        <v>0.9380791797</v>
      </c>
    </row>
    <row r="8">
      <c r="A8" s="1" t="s">
        <v>36</v>
      </c>
      <c r="B8" s="1" t="s">
        <v>41</v>
      </c>
      <c r="C8" s="5">
        <f>C9-C6</f>
        <v>0.04808151698</v>
      </c>
    </row>
    <row r="9">
      <c r="A9" s="1" t="s">
        <v>36</v>
      </c>
      <c r="B9" s="1" t="s">
        <v>42</v>
      </c>
      <c r="C9" s="7">
        <f>C4/C2</f>
        <v>0.7765</v>
      </c>
    </row>
    <row r="10">
      <c r="A10" s="1" t="s">
        <v>36</v>
      </c>
      <c r="B10" s="1" t="s">
        <v>43</v>
      </c>
      <c r="C10" s="13">
        <v>5000000.0</v>
      </c>
    </row>
    <row r="11">
      <c r="A11" s="1" t="s">
        <v>36</v>
      </c>
      <c r="B11" s="1" t="s">
        <v>44</v>
      </c>
      <c r="C11" s="3">
        <f>C3+C10</f>
        <v>12403791.1</v>
      </c>
    </row>
    <row r="12">
      <c r="A12" s="1" t="s">
        <v>36</v>
      </c>
      <c r="B12" s="1" t="s">
        <v>45</v>
      </c>
      <c r="C12" s="12">
        <f>C2-C11</f>
        <v>-2239591.162</v>
      </c>
    </row>
    <row r="13">
      <c r="A13" s="1" t="s">
        <v>46</v>
      </c>
      <c r="B13" s="1" t="s">
        <v>47</v>
      </c>
      <c r="C13" s="7">
        <f t="array" ref="C13:C14">TRANSPOSE('Dados Relatório'!Q2:R2)</f>
        <v>0.7872340426</v>
      </c>
    </row>
    <row r="14">
      <c r="A14" s="1" t="s">
        <v>46</v>
      </c>
      <c r="B14" s="1" t="s">
        <v>48</v>
      </c>
      <c r="C14" s="7">
        <v>0.5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Mari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)"),"[IM] Form Facebook Ads")</f>
        <v>[IM] Form Facebook Ads</v>
      </c>
      <c r="B2" s="12">
        <f>IFERROR(__xludf.DUMMYFUNCTION("""COMPUTED_VALUE"""),-110987.8903570532)</f>
        <v>-110987.8904</v>
      </c>
      <c r="C2" s="7">
        <f t="shared" ref="C2:C1000" si="1">IF(B2="","",B2/SUM($B$2:$B$1000))</f>
        <v>0.5191206907</v>
      </c>
      <c r="D2" s="7">
        <f>IF(B2="","",C2)</f>
        <v>0.5191206907</v>
      </c>
      <c r="E2" s="3">
        <f t="array" ref="E2">XLOOKUP(A2,'Dados Funil'!$A:$A,'Dados Funil'!$K:$K,"")</f>
        <v>-68.34229702</v>
      </c>
      <c r="F2" s="5">
        <f t="array" ref="F2">XLOOKUP(A2,'Dados Funil'!$A:$A,'Dados Funil'!$L:$L,"")</f>
        <v>-0.1956313266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)"),"Aplicativo G4 - Indicação")</f>
        <v>Aplicativo G4 - Indicação</v>
      </c>
      <c r="H2" s="12">
        <f>IFERROR(__xludf.DUMMYFUNCTION("""COMPUTED_VALUE"""),-178961.9)</f>
        <v>-178961.9</v>
      </c>
      <c r="I2" s="7">
        <f t="shared" ref="I2:I1000" si="2">IF(H2="","",H2/SUM($H$2:$H$1000))</f>
        <v>0.3104494374</v>
      </c>
      <c r="J2" s="7">
        <f>IF(H2="","",I2)</f>
        <v>0.3104494374</v>
      </c>
      <c r="K2" s="6">
        <f t="array" ref="K2">XLOOKUP(G2,'Dados Funil'!A:A,'Dados Funil'!O:O,"")</f>
        <v>-15.46254072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)"),"Form G4 Instagram G4")</f>
        <v>Form G4 Instagram G4</v>
      </c>
      <c r="M2" s="12">
        <f>IFERROR(__xludf.DUMMYFUNCTION("""COMPUTED_VALUE"""),-925463.2996826174)</f>
        <v>-925463.2997</v>
      </c>
      <c r="N2" s="7">
        <f t="shared" ref="N2:N1000" si="3">IF(M2="","",M2/SUM($M$2:$M$1000))</f>
        <v>0.3007700815</v>
      </c>
      <c r="O2" s="7">
        <f>IF(M2="","",N2)</f>
        <v>0.3007700815</v>
      </c>
      <c r="P2" s="12">
        <f t="array" ref="P2">XLOOKUP(L2,'Dados Funil'!A:A,'Dados Funil'!AM:AM,"")</f>
        <v>-2754.355059</v>
      </c>
      <c r="Q2" s="5">
        <f t="array" ref="Q2">XLOOKUP(L2,'Dados Funil'!A:A,'Dados Funil'!AN:AN,"")</f>
        <v>-0.4530189241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)"),"Form G4 Google")</f>
        <v>Form G4 Google</v>
      </c>
      <c r="S2" s="12">
        <f>IFERROR(__xludf.DUMMYFUNCTION("""COMPUTED_VALUE"""),272795.82226204453)</f>
        <v>272795.8223</v>
      </c>
      <c r="T2" s="7">
        <f t="shared" ref="T2:T1000" si="4">IF(S2="","",S2/SUM($S$2:$S$1000))</f>
        <v>0.2780753337</v>
      </c>
      <c r="U2" s="7">
        <f>IF(S2="","",T2)</f>
        <v>0.2780753337</v>
      </c>
      <c r="V2" s="3">
        <f t="array" ref="V2">XLOOKUP(R2,'Dados Funil'!$A:$A,'Dados Funil'!$K:$K,"")</f>
        <v>133.5663055</v>
      </c>
      <c r="W2" s="5">
        <f t="array" ref="W2">XLOOKUP(R2,'Dados Funil'!$A:$A,'Dados Funil'!$L:$L,"")</f>
        <v>1.794433372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)"),"Form G4 Instagram Tallis")</f>
        <v>Form G4 Instagram Tallis</v>
      </c>
      <c r="Y2" s="12">
        <f>IFERROR(__xludf.DUMMYFUNCTION("""COMPUTED_VALUE"""),138817.59999999995)</f>
        <v>138817.6</v>
      </c>
      <c r="Z2" s="7">
        <f t="shared" ref="Z2:Z1000" si="5">IF(Y2="","",Y2/SUM($Y$2:$Y$1000))</f>
        <v>0.293286988</v>
      </c>
      <c r="AA2" s="7">
        <f>IF(Y2="","",Z2)</f>
        <v>0.293286988</v>
      </c>
      <c r="AB2" s="6">
        <f t="array" ref="AB2">XLOOKUP(X2,'Dados Funil'!A:A,'Dados Funil'!O:O,"")</f>
        <v>9.657817109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)"),"Form G4 Google")</f>
        <v>Form G4 Google</v>
      </c>
      <c r="AD2" s="12">
        <f>IFERROR(__xludf.DUMMYFUNCTION("""COMPUTED_VALUE"""),318635.0)</f>
        <v>318635</v>
      </c>
      <c r="AE2" s="7">
        <f t="shared" ref="AE2:AE1000" si="6">IF(AD2="","",AD2/SUM($AD$2:$AD$1000))</f>
        <v>0.5372709767</v>
      </c>
      <c r="AF2" s="7">
        <f>IF(AD2="","",AE2)</f>
        <v>0.5372709767</v>
      </c>
      <c r="AG2" s="12">
        <f t="array" ref="AG2">XLOOKUP(AC2,'Dados Funil'!A:A,'Dados Funil'!AM:AM,"")</f>
        <v>3748.647059</v>
      </c>
      <c r="AH2" s="5">
        <f t="array" ref="AH2">XLOOKUP(AC2,'Dados Funil'!A:A,'Dados Funil'!AN:AN,"")</f>
        <v>0.679102728</v>
      </c>
      <c r="AI2" s="9" t="str">
        <f>IFERROR(__xludf.DUMMYFUNCTION("QUERY('Dados Funil'!A2:AP100,""SELECT Col1, Col9, Col13, Col37 WHERE Col9 &gt; 0"")"),"Form G4 Instagram G4")</f>
        <v>Form G4 Instagram G4</v>
      </c>
      <c r="AJ2" s="11">
        <f>IFERROR(__xludf.DUMMYFUNCTION("""COMPUTED_VALUE"""),1006.954492418527)</f>
        <v>1006.954492</v>
      </c>
      <c r="AK2" s="10">
        <f>IFERROR(__xludf.DUMMYFUNCTION("""COMPUTED_VALUE"""),0.34)</f>
        <v>0.34</v>
      </c>
      <c r="AL2" s="9">
        <f>IFERROR(__xludf.DUMMYFUNCTION("""COMPUTED_VALUE"""),6080.000000000001)</f>
        <v>6080</v>
      </c>
      <c r="AM2" s="9">
        <f t="shared" ref="AM2:AM15" si="7">AJ2*AK2*AL2</f>
        <v>2081576.327</v>
      </c>
      <c r="AN2" s="9" t="str">
        <f>IFERROR(__xludf.DUMMYFUNCTION("QUERY('Dados Funil'!A2:AZ100,""SELECT Col1, Col10, Col14, Col38 WHERE Col9 &gt; 0"")"),"Form G4 Instagram G4")</f>
        <v>Form G4 Instagram G4</v>
      </c>
      <c r="AO2" s="11">
        <f>IFERROR(__xludf.DUMMYFUNCTION("""COMPUTED_VALUE"""),1057.0)</f>
        <v>1057</v>
      </c>
      <c r="AP2" s="10">
        <f>IFERROR(__xludf.DUMMYFUNCTION("""COMPUTED_VALUE"""),0.31788079470198677)</f>
        <v>0.3178807947</v>
      </c>
      <c r="AQ2" s="14">
        <f>IFERROR(__xludf.DUMMYFUNCTION("""COMPUTED_VALUE"""),3325.6449414207823)</f>
        <v>3325.644941</v>
      </c>
      <c r="AR2" s="9">
        <f t="shared" ref="AR2:AR15" si="8">AO2*AP2*AQ2</f>
        <v>1117416.7</v>
      </c>
    </row>
    <row r="3">
      <c r="A3" s="4" t="str">
        <f>IFERROR(__xludf.DUMMYFUNCTION("""COMPUTED_VALUE"""),"Form G4 Outros - Não Orgânico")</f>
        <v>Form G4 Outros - Não Orgânico</v>
      </c>
      <c r="B3" s="12">
        <f>IFERROR(__xludf.DUMMYFUNCTION("""COMPUTED_VALUE"""),-88693.2153700188)</f>
        <v>-88693.21537</v>
      </c>
      <c r="C3" s="7">
        <f t="shared" si="1"/>
        <v>0.4148424038</v>
      </c>
      <c r="D3" s="7">
        <f t="shared" ref="D3:D1000" si="9">IF(B3="","",C3+D2)</f>
        <v>0.9339630945</v>
      </c>
      <c r="E3" s="3">
        <f t="array" ref="E3">XLOOKUP(A3,'Dados Funil'!$A:$A,'Dados Funil'!$K:$K,"")</f>
        <v>-41.34881835</v>
      </c>
      <c r="F3" s="5">
        <f t="array" ref="F3">XLOOKUP(A3,'Dados Funil'!$A:$A,'Dados Funil'!$L:$L,"")</f>
        <v>-0.3407434775</v>
      </c>
      <c r="G3" s="4" t="str">
        <f>IFERROR(__xludf.DUMMYFUNCTION("""COMPUTED_VALUE"""),"Form G4 Instagram G4")</f>
        <v>Form G4 Instagram G4</v>
      </c>
      <c r="H3" s="12">
        <f>IFERROR(__xludf.DUMMYFUNCTION("""COMPUTED_VALUE"""),-142150.40000000008)</f>
        <v>-142150.4</v>
      </c>
      <c r="I3" s="7">
        <f t="shared" si="2"/>
        <v>0.2465916584</v>
      </c>
      <c r="J3" s="7">
        <f t="shared" ref="J3:J1000" si="10">IF(H3="","",I3+J2)</f>
        <v>0.5570410958</v>
      </c>
      <c r="K3" s="6">
        <f t="array" ref="K3">XLOOKUP(G3,'Dados Funil'!A:A,'Dados Funil'!O:O,"")</f>
        <v>-2.21192053</v>
      </c>
      <c r="L3" s="4" t="str">
        <f>IFERROR(__xludf.DUMMYFUNCTION("""COMPUTED_VALUE"""),"Form G4 Outros - Orgânico")</f>
        <v>Form G4 Outros - Orgânico</v>
      </c>
      <c r="M3" s="12">
        <f>IFERROR(__xludf.DUMMYFUNCTION("""COMPUTED_VALUE"""),-515578.9999999999)</f>
        <v>-515579</v>
      </c>
      <c r="N3" s="7">
        <f t="shared" si="3"/>
        <v>0.167560116</v>
      </c>
      <c r="O3" s="7">
        <f t="shared" ref="O3:O1000" si="11">IF(N3="","",N3+O2)</f>
        <v>0.4683301975</v>
      </c>
      <c r="P3" s="12">
        <f t="array" ref="P3">XLOOKUP(L3,'Dados Funil'!A:A,'Dados Funil'!AM:AM,"")</f>
        <v>-3763.350365</v>
      </c>
      <c r="Q3" s="5">
        <f t="array" ref="Q3">XLOOKUP(L3,'Dados Funil'!A:A,'Dados Funil'!AN:AN,"")</f>
        <v>-0.5407112593</v>
      </c>
      <c r="R3" s="4" t="str">
        <f>IFERROR(__xludf.DUMMYFUNCTION("""COMPUTED_VALUE"""),"Aplicativo G4 - Indicação")</f>
        <v>Aplicativo G4 - Indicação</v>
      </c>
      <c r="S3" s="12">
        <f>IFERROR(__xludf.DUMMYFUNCTION("""COMPUTED_VALUE"""),168239.7490184848)</f>
        <v>168239.749</v>
      </c>
      <c r="T3" s="7">
        <f t="shared" si="4"/>
        <v>0.1714957508</v>
      </c>
      <c r="U3" s="7">
        <f t="shared" ref="U3:U9" si="12">IF(S3="","",T3+U2)</f>
        <v>0.4495710845</v>
      </c>
      <c r="V3" s="3">
        <f t="array" ref="V3">XLOOKUP(R3,'Dados Funil'!$A:$A,'Dados Funil'!$K:$K,"")</f>
        <v>212.5044196</v>
      </c>
      <c r="W3" s="5">
        <f t="array" ref="W3">XLOOKUP(R3,'Dados Funil'!$A:$A,'Dados Funil'!$L:$L,"")</f>
        <v>2.248829192</v>
      </c>
      <c r="X3" s="4" t="str">
        <f>IFERROR(__xludf.DUMMYFUNCTION("""COMPUTED_VALUE"""),"[IM] Form Facebook Ads")</f>
        <v>[IM] Form Facebook Ads</v>
      </c>
      <c r="Y3" s="12">
        <f>IFERROR(__xludf.DUMMYFUNCTION("""COMPUTED_VALUE"""),137430.99999999994)</f>
        <v>137431</v>
      </c>
      <c r="Z3" s="7">
        <f t="shared" si="5"/>
        <v>0.2903574478</v>
      </c>
      <c r="AA3" s="7">
        <f t="shared" ref="AA3:AA1000" si="13">IF(Y3="","",Z3+AA2)</f>
        <v>0.5836444359</v>
      </c>
      <c r="AB3" s="6">
        <f t="array" ref="AB3">XLOOKUP(X3,'Dados Funil'!A:A,'Dados Funil'!O:O,"")</f>
        <v>9.637010676</v>
      </c>
      <c r="AC3" s="4" t="str">
        <f>IFERROR(__xludf.DUMMYFUNCTION("""COMPUTED_VALUE"""),"Form G4 Instagram Tallis")</f>
        <v>Form G4 Instagram Tallis</v>
      </c>
      <c r="AD3" s="12">
        <f>IFERROR(__xludf.DUMMYFUNCTION("""COMPUTED_VALUE"""),236427.00000000006)</f>
        <v>236427</v>
      </c>
      <c r="AE3" s="7">
        <f t="shared" si="6"/>
        <v>0.3986547781</v>
      </c>
      <c r="AF3" s="7">
        <f t="shared" ref="AF3:AF11" si="14">IF(AE3="","",AE3+AF2)</f>
        <v>0.9359257548</v>
      </c>
      <c r="AG3" s="12">
        <f t="array" ref="AG3">XLOOKUP(AC3,'Dados Funil'!A:A,'Dados Funil'!AM:AM,"")</f>
        <v>1597.47973</v>
      </c>
      <c r="AH3" s="5">
        <f t="array" ref="AH3">XLOOKUP(AC3,'Dados Funil'!A:A,'Dados Funil'!AN:AN,"")</f>
        <v>0.3767640872</v>
      </c>
      <c r="AI3" s="9" t="str">
        <f>IFERROR(__xludf.DUMMYFUNCTION("""COMPUTED_VALUE"""),"Form G4 Outros - Orgânico")</f>
        <v>Form G4 Outros - Orgânico</v>
      </c>
      <c r="AJ3" s="11">
        <f>IFERROR(__xludf.DUMMYFUNCTION("""COMPUTED_VALUE"""),281.7481976667213)</f>
        <v>281.7481977</v>
      </c>
      <c r="AK3" s="10">
        <f>IFERROR(__xludf.DUMMYFUNCTION("""COMPUTED_VALUE"""),0.42)</f>
        <v>0.42</v>
      </c>
      <c r="AL3" s="9">
        <f>IFERROR(__xludf.DUMMYFUNCTION("""COMPUTED_VALUE"""),6959.999999999999)</f>
        <v>6960</v>
      </c>
      <c r="AM3" s="9">
        <f t="shared" si="7"/>
        <v>823606.3314</v>
      </c>
      <c r="AN3" s="9" t="str">
        <f>IFERROR(__xludf.DUMMYFUNCTION("""COMPUTED_VALUE"""),"Form G4 Outros - Orgânico")</f>
        <v>Form G4 Outros - Orgânico</v>
      </c>
      <c r="AO3" s="11">
        <f>IFERROR(__xludf.DUMMYFUNCTION("""COMPUTED_VALUE"""),296.0)</f>
        <v>296</v>
      </c>
      <c r="AP3" s="10">
        <f>IFERROR(__xludf.DUMMYFUNCTION("""COMPUTED_VALUE"""),0.46283783783783783)</f>
        <v>0.4628378378</v>
      </c>
      <c r="AQ3" s="14">
        <f>IFERROR(__xludf.DUMMYFUNCTION("""COMPUTED_VALUE"""),3196.6496350364964)</f>
        <v>3196.649635</v>
      </c>
      <c r="AR3" s="9">
        <f t="shared" si="8"/>
        <v>437941</v>
      </c>
    </row>
    <row r="4">
      <c r="A4" s="4" t="str">
        <f>IFERROR(__xludf.DUMMYFUNCTION("""COMPUTED_VALUE"""),"[IM] Chat")</f>
        <v>[IM] Chat</v>
      </c>
      <c r="B4" s="12">
        <f>IFERROR(__xludf.DUMMYFUNCTION("""COMPUTED_VALUE"""),-13095.935334674741)</f>
        <v>-13095.93533</v>
      </c>
      <c r="C4" s="7">
        <f t="shared" si="1"/>
        <v>0.06125326803</v>
      </c>
      <c r="D4" s="7">
        <f t="shared" si="9"/>
        <v>0.9952163625</v>
      </c>
      <c r="E4" s="3">
        <f t="array" ref="E4">XLOOKUP(A4,'Dados Funil'!$A:$A,'Dados Funil'!$K:$K,"")</f>
        <v>-9.46785377</v>
      </c>
      <c r="F4" s="5">
        <f t="array" ref="F4">XLOOKUP(A4,'Dados Funil'!$A:$A,'Dados Funil'!$L:$L,"")</f>
        <v>-0.01619910096</v>
      </c>
      <c r="G4" s="4" t="str">
        <f>IFERROR(__xludf.DUMMYFUNCTION("""COMPUTED_VALUE"""),"[IM] Social DM")</f>
        <v>[IM] Social DM</v>
      </c>
      <c r="H4" s="12">
        <f>IFERROR(__xludf.DUMMYFUNCTION("""COMPUTED_VALUE"""),-100422.39999999995)</f>
        <v>-100422.4</v>
      </c>
      <c r="I4" s="7">
        <f t="shared" si="2"/>
        <v>0.1742051106</v>
      </c>
      <c r="J4" s="7">
        <f t="shared" si="10"/>
        <v>0.7312462064</v>
      </c>
      <c r="K4" s="6">
        <f t="array" ref="K4">XLOOKUP(G4,'Dados Funil'!A:A,'Dados Funil'!O:O,"")</f>
        <v>-8.467889908</v>
      </c>
      <c r="L4" s="4" t="str">
        <f>IFERROR(__xludf.DUMMYFUNCTION("""COMPUTED_VALUE"""),"[IM] Form Facebook Ads")</f>
        <v>[IM] Form Facebook Ads</v>
      </c>
      <c r="M4" s="12">
        <f>IFERROR(__xludf.DUMMYFUNCTION("""COMPUTED_VALUE"""),-453820.9999999999)</f>
        <v>-453821</v>
      </c>
      <c r="N4" s="7">
        <f t="shared" si="3"/>
        <v>0.1474891324</v>
      </c>
      <c r="O4" s="7">
        <f t="shared" si="11"/>
        <v>0.6158193299</v>
      </c>
      <c r="P4" s="12">
        <f t="array" ref="P4">XLOOKUP(L4,'Dados Funil'!A:A,'Dados Funil'!AM:AM,"")</f>
        <v>-3878.811966</v>
      </c>
      <c r="Q4" s="5">
        <f t="array" ref="Q4">XLOOKUP(L4,'Dados Funil'!A:A,'Dados Funil'!AN:AN,"")</f>
        <v>-0.7642979243</v>
      </c>
      <c r="R4" s="4" t="str">
        <f>IFERROR(__xludf.DUMMYFUNCTION("""COMPUTED_VALUE"""),"Form G4 Instagram Tallis")</f>
        <v>Form G4 Instagram Tallis</v>
      </c>
      <c r="S4" s="12">
        <f>IFERROR(__xludf.DUMMYFUNCTION("""COMPUTED_VALUE"""),118649.04583155095)</f>
        <v>118649.0458</v>
      </c>
      <c r="T4" s="7">
        <f t="shared" si="4"/>
        <v>0.1209453017</v>
      </c>
      <c r="U4" s="7">
        <f t="shared" si="12"/>
        <v>0.5705163862</v>
      </c>
      <c r="V4" s="3">
        <f t="array" ref="V4">XLOOKUP(R4,'Dados Funil'!$A:$A,'Dados Funil'!$K:$K,"")</f>
        <v>82.30372214</v>
      </c>
      <c r="W4" s="5">
        <f t="array" ref="W4">XLOOKUP(R4,'Dados Funil'!$A:$A,'Dados Funil'!$L:$L,"")</f>
        <v>0.3206268623</v>
      </c>
      <c r="X4" s="4" t="str">
        <f>IFERROR(__xludf.DUMMYFUNCTION("""COMPUTED_VALUE"""),"Form G4 Outros - Orgânico")</f>
        <v>Form G4 Outros - Orgânico</v>
      </c>
      <c r="Y4" s="12">
        <f>IFERROR(__xludf.DUMMYFUNCTION("""COMPUTED_VALUE"""),88252.8)</f>
        <v>88252.8</v>
      </c>
      <c r="Z4" s="7">
        <f t="shared" si="5"/>
        <v>0.1864561691</v>
      </c>
      <c r="AA4" s="7">
        <f t="shared" si="13"/>
        <v>0.770100605</v>
      </c>
      <c r="AB4" s="6">
        <f t="array" ref="AB4">XLOOKUP(X4,'Dados Funil'!A:A,'Dados Funil'!O:O,"")</f>
        <v>4.283783784</v>
      </c>
      <c r="AC4" s="4" t="str">
        <f>IFERROR(__xludf.DUMMYFUNCTION("""COMPUTED_VALUE"""),"[CM] Form G4 - Outros")</f>
        <v>[CM] Form G4 - Outros</v>
      </c>
      <c r="AD4" s="12">
        <f>IFERROR(__xludf.DUMMYFUNCTION("""COMPUTED_VALUE"""),37999.99999999999)</f>
        <v>38000</v>
      </c>
      <c r="AE4" s="7">
        <f t="shared" si="6"/>
        <v>0.06407424519</v>
      </c>
      <c r="AF4" s="7">
        <f t="shared" si="14"/>
        <v>1</v>
      </c>
      <c r="AG4" s="12">
        <f t="array" ref="AG4">XLOOKUP(AC4,'Dados Funil'!A:A,'Dados Funil'!AM:AM,"")</f>
        <v>3166.666667</v>
      </c>
      <c r="AH4" s="5">
        <f t="array" ref="AH4">XLOOKUP(AC4,'Dados Funil'!A:A,'Dados Funil'!AN:AN,"")</f>
        <v>0.376984127</v>
      </c>
      <c r="AI4" s="9" t="str">
        <f>IFERROR(__xludf.DUMMYFUNCTION("""COMPUTED_VALUE"""),"[IM] Chat")</f>
        <v>[IM] Chat</v>
      </c>
      <c r="AJ4" s="11">
        <f>IFERROR(__xludf.DUMMYFUNCTION("""COMPUTED_VALUE"""),584.4678537700078)</f>
        <v>584.4678538</v>
      </c>
      <c r="AK4" s="10">
        <f>IFERROR(__xludf.DUMMYFUNCTION("""COMPUTED_VALUE"""),0.28)</f>
        <v>0.28</v>
      </c>
      <c r="AL4" s="9">
        <f>IFERROR(__xludf.DUMMYFUNCTION("""COMPUTED_VALUE"""),4940.0)</f>
        <v>4940</v>
      </c>
      <c r="AM4" s="9">
        <f t="shared" si="7"/>
        <v>808435.9353</v>
      </c>
      <c r="AN4" s="9" t="str">
        <f>IFERROR(__xludf.DUMMYFUNCTION("""COMPUTED_VALUE"""),"[IM] Chat")</f>
        <v>[IM] Chat</v>
      </c>
      <c r="AO4" s="11">
        <f>IFERROR(__xludf.DUMMYFUNCTION("""COMPUTED_VALUE"""),575.0)</f>
        <v>575</v>
      </c>
      <c r="AP4" s="10">
        <f>IFERROR(__xludf.DUMMYFUNCTION("""COMPUTED_VALUE"""),0.288695652173913)</f>
        <v>0.2886956522</v>
      </c>
      <c r="AQ4" s="14">
        <f>IFERROR(__xludf.DUMMYFUNCTION("""COMPUTED_VALUE"""),2891.5024090502634)</f>
        <v>2891.502409</v>
      </c>
      <c r="AR4" s="9">
        <f t="shared" si="8"/>
        <v>479989.3999</v>
      </c>
    </row>
    <row r="5">
      <c r="A5" s="4" t="str">
        <f>IFERROR(__xludf.DUMMYFUNCTION("""COMPUTED_VALUE"""),"[CM] Form G4 - Outros")</f>
        <v>[CM] Form G4 - Outros</v>
      </c>
      <c r="B5" s="12">
        <f>IFERROR(__xludf.DUMMYFUNCTION("""COMPUTED_VALUE"""),-1022.7406451612459)</f>
        <v>-1022.740645</v>
      </c>
      <c r="C5" s="7">
        <f t="shared" si="1"/>
        <v>0.004783637462</v>
      </c>
      <c r="D5" s="7">
        <f t="shared" si="9"/>
        <v>1</v>
      </c>
      <c r="E5" s="3">
        <f t="array" ref="E5">XLOOKUP(A5,'Dados Funil'!$A:$A,'Dados Funil'!$K:$K,"")</f>
        <v>-0.4348387097</v>
      </c>
      <c r="F5" s="5">
        <f t="array" ref="F5">XLOOKUP(A5,'Dados Funil'!$A:$A,'Dados Funil'!$L:$L,"")</f>
        <v>-0.0134065322</v>
      </c>
      <c r="G5" s="4" t="str">
        <f>IFERROR(__xludf.DUMMYFUNCTION("""COMPUTED_VALUE"""),"[IM] Link de Indicação")</f>
        <v>[IM] Link de Indicação</v>
      </c>
      <c r="H5" s="12">
        <f>IFERROR(__xludf.DUMMYFUNCTION("""COMPUTED_VALUE"""),-51694.8)</f>
        <v>-51694.8</v>
      </c>
      <c r="I5" s="7">
        <f t="shared" si="2"/>
        <v>0.08967619128</v>
      </c>
      <c r="J5" s="7">
        <f t="shared" si="10"/>
        <v>0.8209223977</v>
      </c>
      <c r="K5" s="6">
        <f t="array" ref="K5">XLOOKUP(G5,'Dados Funil'!A:A,'Dados Funil'!O:O,"")</f>
        <v>-10.52247191</v>
      </c>
      <c r="L5" s="4" t="str">
        <f>IFERROR(__xludf.DUMMYFUNCTION("""COMPUTED_VALUE"""),"[IM] Chat")</f>
        <v>[IM] Chat</v>
      </c>
      <c r="M5" s="12">
        <f>IFERROR(__xludf.DUMMYFUNCTION("""COMPUTED_VALUE"""),-340050.60009765625)</f>
        <v>-340050.6001</v>
      </c>
      <c r="N5" s="7">
        <f t="shared" si="3"/>
        <v>0.1105144275</v>
      </c>
      <c r="O5" s="7">
        <f t="shared" si="11"/>
        <v>0.7263337574</v>
      </c>
      <c r="P5" s="12">
        <f t="array" ref="P5">XLOOKUP(L5,'Dados Funil'!A:A,'Dados Funil'!AM:AM,"")</f>
        <v>-2048.497591</v>
      </c>
      <c r="Q5" s="5">
        <f t="array" ref="Q5">XLOOKUP(L5,'Dados Funil'!A:A,'Dados Funil'!AN:AN,"")</f>
        <v>-0.4146756257</v>
      </c>
      <c r="R5" s="4" t="str">
        <f>IFERROR(__xludf.DUMMYFUNCTION("""COMPUTED_VALUE"""),"[IM] Social DM")</f>
        <v>[IM] Social DM</v>
      </c>
      <c r="S5" s="12">
        <f>IFERROR(__xludf.DUMMYFUNCTION("""COMPUTED_VALUE"""),114633.90967741961)</f>
        <v>114633.9097</v>
      </c>
      <c r="T5" s="7">
        <f t="shared" si="4"/>
        <v>0.1168524592</v>
      </c>
      <c r="U5" s="7">
        <f t="shared" si="12"/>
        <v>0.6873688454</v>
      </c>
      <c r="V5" s="3">
        <f t="array" ref="V5">XLOOKUP(R5,'Dados Funil'!$A:$A,'Dados Funil'!$K:$K,"")</f>
        <v>22.41745731</v>
      </c>
      <c r="W5" s="5">
        <f t="array" ref="W5">XLOOKUP(R5,'Dados Funil'!$A:$A,'Dados Funil'!$L:$L,"")</f>
        <v>0.258914287</v>
      </c>
      <c r="X5" s="4" t="str">
        <f>IFERROR(__xludf.DUMMYFUNCTION("""COMPUTED_VALUE"""),"Form G4 Google")</f>
        <v>Form G4 Google</v>
      </c>
      <c r="Y5" s="12">
        <f>IFERROR(__xludf.DUMMYFUNCTION("""COMPUTED_VALUE"""),44380.799999999996)</f>
        <v>44380.8</v>
      </c>
      <c r="Z5" s="7">
        <f t="shared" si="5"/>
        <v>0.09376556833</v>
      </c>
      <c r="AA5" s="7">
        <f t="shared" si="13"/>
        <v>0.8638661733</v>
      </c>
      <c r="AB5" s="6">
        <f t="array" ref="AB5">XLOOKUP(X5,'Dados Funil'!A:A,'Dados Funil'!O:O,"")</f>
        <v>3.865384615</v>
      </c>
      <c r="AC5" s="4"/>
      <c r="AD5" s="4"/>
      <c r="AE5" s="7" t="str">
        <f t="shared" si="6"/>
        <v/>
      </c>
      <c r="AF5" s="4" t="str">
        <f t="shared" si="14"/>
        <v/>
      </c>
      <c r="AG5" s="4" t="str">
        <f t="array" ref="AG5">XLOOKUP(AC5,'Dados Funil'!A:A,'Dados Funil'!AM:AM,"")</f>
        <v/>
      </c>
      <c r="AH5" s="4" t="str">
        <f t="array" ref="AH5">XLOOKUP(AC5,'Dados Funil'!A:A,'Dados Funil'!AN:AN,"")</f>
        <v/>
      </c>
      <c r="AI5" s="9" t="str">
        <f>IFERROR(__xludf.DUMMYFUNCTION("""COMPUTED_VALUE"""),"[IM] Form Facebook Ads")</f>
        <v>[IM] Form Facebook Ads</v>
      </c>
      <c r="AJ5" s="11">
        <f>IFERROR(__xludf.DUMMYFUNCTION("""COMPUTED_VALUE"""),349.3422970178899)</f>
        <v>349.342297</v>
      </c>
      <c r="AK5" s="10">
        <f>IFERROR(__xludf.DUMMYFUNCTION("""COMPUTED_VALUE"""),0.32)</f>
        <v>0.32</v>
      </c>
      <c r="AL5" s="9">
        <f>IFERROR(__xludf.DUMMYFUNCTION("""COMPUTED_VALUE"""),5074.999999999999)</f>
        <v>5075</v>
      </c>
      <c r="AM5" s="9">
        <f t="shared" si="7"/>
        <v>567331.8904</v>
      </c>
      <c r="AN5" s="9" t="str">
        <f>IFERROR(__xludf.DUMMYFUNCTION("""COMPUTED_VALUE"""),"[IM] Form Facebook Ads")</f>
        <v>[IM] Form Facebook Ads</v>
      </c>
      <c r="AO5" s="11">
        <f>IFERROR(__xludf.DUMMYFUNCTION("""COMPUTED_VALUE"""),281.0)</f>
        <v>281</v>
      </c>
      <c r="AP5" s="10">
        <f>IFERROR(__xludf.DUMMYFUNCTION("""COMPUTED_VALUE"""),0.41637010676156583)</f>
        <v>0.4163701068</v>
      </c>
      <c r="AQ5" s="14">
        <f>IFERROR(__xludf.DUMMYFUNCTION("""COMPUTED_VALUE"""),1196.1880341880342)</f>
        <v>1196.188034</v>
      </c>
      <c r="AR5" s="9">
        <f t="shared" si="8"/>
        <v>139954</v>
      </c>
    </row>
    <row r="6">
      <c r="A6" s="4"/>
      <c r="B6" s="4"/>
      <c r="C6" s="7" t="str">
        <f t="shared" si="1"/>
        <v/>
      </c>
      <c r="D6" s="4" t="str">
        <f t="shared" si="9"/>
        <v/>
      </c>
      <c r="E6" s="4" t="str">
        <f t="array" ref="E6">XLOOKUP(A6,'Dados Funil'!$A:$A,'Dados Funil'!$K:$K,"")</f>
        <v/>
      </c>
      <c r="F6" s="4" t="str">
        <f t="array" ref="F6">XLOOKUP(A6,'Dados Funil'!$A:$A,'Dados Funil'!$L:$L,"")</f>
        <v/>
      </c>
      <c r="G6" s="4" t="str">
        <f>IFERROR(__xludf.DUMMYFUNCTION("""COMPUTED_VALUE"""),"[CM] Form G4 - Instagram")</f>
        <v>[CM] Form G4 - Instagram</v>
      </c>
      <c r="H6" s="12">
        <f>IFERROR(__xludf.DUMMYFUNCTION("""COMPUTED_VALUE"""),-47712.000000000015)</f>
        <v>-47712</v>
      </c>
      <c r="I6" s="7">
        <f t="shared" si="2"/>
        <v>0.082767134</v>
      </c>
      <c r="J6" s="7">
        <f t="shared" si="10"/>
        <v>0.9036895317</v>
      </c>
      <c r="K6" s="6">
        <f t="array" ref="K6">XLOOKUP(G6,'Dados Funil'!A:A,'Dados Funil'!O:O,"")</f>
        <v>-10.14285714</v>
      </c>
      <c r="L6" s="4" t="str">
        <f>IFERROR(__xludf.DUMMYFUNCTION("""COMPUTED_VALUE"""),"[IM] Social DM")</f>
        <v>[IM] Social DM</v>
      </c>
      <c r="M6" s="12">
        <f>IFERROR(__xludf.DUMMYFUNCTION("""COMPUTED_VALUE"""),-298636.34997558594)</f>
        <v>-298636.35</v>
      </c>
      <c r="N6" s="7">
        <f t="shared" si="3"/>
        <v>0.09705504189</v>
      </c>
      <c r="O6" s="7">
        <f t="shared" si="11"/>
        <v>0.8233887992</v>
      </c>
      <c r="P6" s="12">
        <f t="array" ref="P6">XLOOKUP(L6,'Dados Funil'!A:A,'Dados Funil'!AM:AM,"")</f>
        <v>-7110.389285</v>
      </c>
      <c r="Q6" s="5">
        <f t="array" ref="Q6">XLOOKUP(L6,'Dados Funil'!A:A,'Dados Funil'!AN:AN,"")</f>
        <v>-0.6535284269</v>
      </c>
      <c r="R6" s="4" t="str">
        <f>IFERROR(__xludf.DUMMYFUNCTION("""COMPUTED_VALUE"""),"Form G4 Instagram G4")</f>
        <v>Form G4 Instagram G4</v>
      </c>
      <c r="S6" s="12">
        <f>IFERROR(__xludf.DUMMYFUNCTION("""COMPUTED_VALUE"""),103454.07327242095)</f>
        <v>103454.0733</v>
      </c>
      <c r="T6" s="7">
        <f t="shared" si="4"/>
        <v>0.1054562556</v>
      </c>
      <c r="U6" s="7">
        <f t="shared" si="12"/>
        <v>0.7928251009</v>
      </c>
      <c r="V6" s="3">
        <f t="array" ref="V6">XLOOKUP(R6,'Dados Funil'!$A:$A,'Dados Funil'!$K:$K,"")</f>
        <v>50.04550758</v>
      </c>
      <c r="W6" s="5">
        <f t="array" ref="W6">XLOOKUP(R6,'Dados Funil'!$A:$A,'Dados Funil'!$L:$L,"")</f>
        <v>0.04969987021</v>
      </c>
      <c r="X6" s="4" t="str">
        <f>IFERROR(__xludf.DUMMYFUNCTION("""COMPUTED_VALUE"""),"[CM] Form G4 - Outros")</f>
        <v>[CM] Form G4 - Outros</v>
      </c>
      <c r="Y6" s="12">
        <f>IFERROR(__xludf.DUMMYFUNCTION("""COMPUTED_VALUE"""),25535.999999999993)</f>
        <v>25536</v>
      </c>
      <c r="Z6" s="7">
        <f t="shared" si="5"/>
        <v>0.05395120306</v>
      </c>
      <c r="AA6" s="7">
        <f t="shared" si="13"/>
        <v>0.9178173764</v>
      </c>
      <c r="AB6" s="6">
        <f t="array" ref="AB6">XLOOKUP(X6,'Dados Funil'!A:A,'Dados Funil'!O:O,"")</f>
        <v>9.5</v>
      </c>
      <c r="AC6" s="4"/>
      <c r="AD6" s="4"/>
      <c r="AE6" s="7" t="str">
        <f t="shared" si="6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IFERROR(__xludf.DUMMYFUNCTION("""COMPUTED_VALUE"""),"Form G4 Instagram Outros")</f>
        <v>Form G4 Instagram Outros</v>
      </c>
      <c r="AJ6" s="11">
        <f>IFERROR(__xludf.DUMMYFUNCTION("""COMPUTED_VALUE"""),285.92087399873384)</f>
        <v>285.920874</v>
      </c>
      <c r="AK6" s="10">
        <f>IFERROR(__xludf.DUMMYFUNCTION("""COMPUTED_VALUE"""),0.31)</f>
        <v>0.31</v>
      </c>
      <c r="AL6" s="9">
        <f>IFERROR(__xludf.DUMMYFUNCTION("""COMPUTED_VALUE"""),6120.000000000001)</f>
        <v>6120</v>
      </c>
      <c r="AM6" s="9">
        <f t="shared" si="7"/>
        <v>542449.0822</v>
      </c>
      <c r="AN6" s="9" t="str">
        <f>IFERROR(__xludf.DUMMYFUNCTION("""COMPUTED_VALUE"""),"Form G4 Instagram Outros")</f>
        <v>Form G4 Instagram Outros</v>
      </c>
      <c r="AO6" s="11">
        <f>IFERROR(__xludf.DUMMYFUNCTION("""COMPUTED_VALUE"""),328.0)</f>
        <v>328</v>
      </c>
      <c r="AP6" s="10">
        <f>IFERROR(__xludf.DUMMYFUNCTION("""COMPUTED_VALUE"""),0.3170731707317073)</f>
        <v>0.3170731707</v>
      </c>
      <c r="AQ6" s="14">
        <f>IFERROR(__xludf.DUMMYFUNCTION("""COMPUTED_VALUE"""),3909.105769230769)</f>
        <v>3909.105769</v>
      </c>
      <c r="AR6" s="9">
        <f t="shared" si="8"/>
        <v>406547</v>
      </c>
    </row>
    <row r="7">
      <c r="A7" s="4"/>
      <c r="B7" s="4"/>
      <c r="C7" s="7" t="str">
        <f t="shared" si="1"/>
        <v/>
      </c>
      <c r="D7" s="4" t="str">
        <f t="shared" si="9"/>
        <v/>
      </c>
      <c r="E7" s="4" t="str">
        <f t="array" ref="E7">XLOOKUP(A7,'Dados Funil'!$A:$A,'Dados Funil'!$K:$K,"")</f>
        <v/>
      </c>
      <c r="F7" s="4" t="str">
        <f t="array" ref="F7">XLOOKUP(A7,'Dados Funil'!$A:$A,'Dados Funil'!$L:$L,"")</f>
        <v/>
      </c>
      <c r="G7" s="4" t="str">
        <f>IFERROR(__xludf.DUMMYFUNCTION("""COMPUTED_VALUE"""),"Form G4 Outros - Não Orgânico")</f>
        <v>Form G4 Outros - Não Orgânico</v>
      </c>
      <c r="H7" s="12">
        <f>IFERROR(__xludf.DUMMYFUNCTION("""COMPUTED_VALUE"""),-28599.999999999996)</f>
        <v>-28600</v>
      </c>
      <c r="I7" s="7">
        <f t="shared" si="2"/>
        <v>0.04961309591</v>
      </c>
      <c r="J7" s="7">
        <f t="shared" si="10"/>
        <v>0.9533026276</v>
      </c>
      <c r="K7" s="6">
        <f t="array" ref="K7">XLOOKUP(G7,'Dados Funil'!A:A,'Dados Funil'!O:O,"")</f>
        <v>-5.5</v>
      </c>
      <c r="L7" s="4" t="str">
        <f>IFERROR(__xludf.DUMMYFUNCTION("""COMPUTED_VALUE"""),"Form G4 Instagram Outros")</f>
        <v>Form G4 Instagram Outros</v>
      </c>
      <c r="M7" s="12">
        <f>IFERROR(__xludf.DUMMYFUNCTION("""COMPUTED_VALUE"""),-229933.00000000012)</f>
        <v>-229933</v>
      </c>
      <c r="N7" s="7">
        <f t="shared" si="3"/>
        <v>0.07472686077</v>
      </c>
      <c r="O7" s="7">
        <f t="shared" si="11"/>
        <v>0.89811566</v>
      </c>
      <c r="P7" s="12">
        <f t="array" ref="P7">XLOOKUP(L7,'Dados Funil'!A:A,'Dados Funil'!AM:AM,"")</f>
        <v>-2210.894231</v>
      </c>
      <c r="Q7" s="5">
        <f t="array" ref="Q7">XLOOKUP(L7,'Dados Funil'!A:A,'Dados Funil'!AN:AN,"")</f>
        <v>-0.3612572272</v>
      </c>
      <c r="R7" s="4" t="str">
        <f>IFERROR(__xludf.DUMMYFUNCTION("""COMPUTED_VALUE"""),"Form G4 Instagram Outros")</f>
        <v>Form G4 Instagram Outros</v>
      </c>
      <c r="S7" s="12">
        <f>IFERROR(__xludf.DUMMYFUNCTION("""COMPUTED_VALUE"""),79832.51784960217)</f>
        <v>79832.51785</v>
      </c>
      <c r="T7" s="7">
        <f t="shared" si="4"/>
        <v>0.08137754405</v>
      </c>
      <c r="U7" s="7">
        <f t="shared" si="12"/>
        <v>0.874202645</v>
      </c>
      <c r="V7" s="3">
        <f t="array" ref="V7">XLOOKUP(R7,'Dados Funil'!$A:$A,'Dados Funil'!$K:$K,"")</f>
        <v>42.079126</v>
      </c>
      <c r="W7" s="5">
        <f t="array" ref="W7">XLOOKUP(R7,'Dados Funil'!$A:$A,'Dados Funil'!$L:$L,"")</f>
        <v>0.147170528</v>
      </c>
      <c r="X7" s="4" t="str">
        <f>IFERROR(__xludf.DUMMYFUNCTION("""COMPUTED_VALUE"""),"[IM] Chat")</f>
        <v>[IM] Chat</v>
      </c>
      <c r="Y7" s="12">
        <f>IFERROR(__xludf.DUMMYFUNCTION("""COMPUTED_VALUE"""),24699.999999999858)</f>
        <v>24700</v>
      </c>
      <c r="Z7" s="7">
        <f t="shared" si="5"/>
        <v>0.05218494344</v>
      </c>
      <c r="AA7" s="7">
        <f t="shared" si="13"/>
        <v>0.9700023198</v>
      </c>
      <c r="AB7" s="6">
        <f t="array" ref="AB7">XLOOKUP(X7,'Dados Funil'!A:A,'Dados Funil'!O:O,"")</f>
        <v>0.8695652174</v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IFERROR(__xludf.DUMMYFUNCTION("""COMPUTED_VALUE"""),"[IM] Social DM")</f>
        <v>[IM] Social DM</v>
      </c>
      <c r="AJ7" s="11">
        <f>IFERROR(__xludf.DUMMYFUNCTION("""COMPUTED_VALUE"""),86.5825426944971)</f>
        <v>86.58254269</v>
      </c>
      <c r="AK7" s="10">
        <f>IFERROR(__xludf.DUMMYFUNCTION("""COMPUTED_VALUE"""),0.47)</f>
        <v>0.47</v>
      </c>
      <c r="AL7" s="9">
        <f>IFERROR(__xludf.DUMMYFUNCTION("""COMPUTED_VALUE"""),10880.0)</f>
        <v>10880</v>
      </c>
      <c r="AM7" s="9">
        <f t="shared" si="7"/>
        <v>442748.4903</v>
      </c>
      <c r="AN7" s="9" t="str">
        <f>IFERROR(__xludf.DUMMYFUNCTION("""COMPUTED_VALUE"""),"[IM] Social DM")</f>
        <v>[IM] Social DM</v>
      </c>
      <c r="AO7" s="11">
        <f>IFERROR(__xludf.DUMMYFUNCTION("""COMPUTED_VALUE"""),109.0)</f>
        <v>109</v>
      </c>
      <c r="AP7" s="10">
        <f>IFERROR(__xludf.DUMMYFUNCTION("""COMPUTED_VALUE"""),0.3853211009174312)</f>
        <v>0.3853211009</v>
      </c>
      <c r="AQ7" s="14">
        <f>IFERROR(__xludf.DUMMYFUNCTION("""COMPUTED_VALUE"""),3769.6107148670017)</f>
        <v>3769.610715</v>
      </c>
      <c r="AR7" s="9">
        <f t="shared" si="8"/>
        <v>158323.65</v>
      </c>
    </row>
    <row r="8">
      <c r="A8" s="4"/>
      <c r="B8" s="4"/>
      <c r="C8" s="7" t="str">
        <f t="shared" si="1"/>
        <v/>
      </c>
      <c r="D8" s="4" t="str">
        <f t="shared" si="9"/>
        <v/>
      </c>
      <c r="E8" s="4" t="str">
        <f t="array" ref="E8">XLOOKUP(A8,'Dados Funil'!$A:$A,'Dados Funil'!$K:$K,"")</f>
        <v/>
      </c>
      <c r="F8" s="4" t="str">
        <f t="array" ref="F8">XLOOKUP(A8,'Dados Funil'!$A:$A,'Dados Funil'!$L:$L,"")</f>
        <v/>
      </c>
      <c r="G8" s="4" t="str">
        <f>IFERROR(__xludf.DUMMYFUNCTION("""COMPUTED_VALUE"""),"Form G4 Facebook")</f>
        <v>Form G4 Facebook</v>
      </c>
      <c r="H8" s="12">
        <f>IFERROR(__xludf.DUMMYFUNCTION("""COMPUTED_VALUE"""),-26919.200000000008)</f>
        <v>-26919.2</v>
      </c>
      <c r="I8" s="7">
        <f t="shared" si="2"/>
        <v>0.04669737243</v>
      </c>
      <c r="J8" s="7">
        <f t="shared" si="10"/>
        <v>1</v>
      </c>
      <c r="K8" s="6">
        <f t="array" ref="K8">XLOOKUP(G8,'Dados Funil'!A:A,'Dados Funil'!O:O,"")</f>
        <v>-4.976190476</v>
      </c>
      <c r="L8" s="4" t="str">
        <f>IFERROR(__xludf.DUMMYFUNCTION("""COMPUTED_VALUE"""),"Form G4 Outros - Não Orgânico")</f>
        <v>Form G4 Outros - Não Orgânico</v>
      </c>
      <c r="M8" s="12">
        <f>IFERROR(__xludf.DUMMYFUNCTION("""COMPUTED_VALUE"""),-143000.0)</f>
        <v>-143000</v>
      </c>
      <c r="N8" s="7">
        <f t="shared" si="3"/>
        <v>0.04647415156</v>
      </c>
      <c r="O8" s="7">
        <f t="shared" si="11"/>
        <v>0.9445898116</v>
      </c>
      <c r="P8" s="12">
        <f t="array" ref="P8">XLOOKUP(L8,'Dados Funil'!A:A,'Dados Funil'!AM:AM,"")</f>
        <v>-6500</v>
      </c>
      <c r="Q8" s="5">
        <f t="array" ref="Q8">XLOOKUP(L8,'Dados Funil'!A:A,'Dados Funil'!AN:AN,"")</f>
        <v>-1</v>
      </c>
      <c r="R8" s="4" t="str">
        <f>IFERROR(__xludf.DUMMYFUNCTION("""COMPUTED_VALUE"""),"Form G4 Facebook")</f>
        <v>Form G4 Facebook</v>
      </c>
      <c r="S8" s="12">
        <f>IFERROR(__xludf.DUMMYFUNCTION("""COMPUTED_VALUE"""),43996.43468158542)</f>
        <v>43996.43468</v>
      </c>
      <c r="T8" s="7">
        <f t="shared" si="4"/>
        <v>0.04484791283</v>
      </c>
      <c r="U8" s="7">
        <f t="shared" si="12"/>
        <v>0.9190505578</v>
      </c>
      <c r="V8" s="3">
        <f t="array" ref="V8">XLOOKUP(R8,'Dados Funil'!$A:$A,'Dados Funil'!$K:$K,"")</f>
        <v>50.60551493</v>
      </c>
      <c r="W8" s="5">
        <f t="array" ref="W8">XLOOKUP(R8,'Dados Funil'!$A:$A,'Dados Funil'!$L:$L,"")</f>
        <v>0.4310723362</v>
      </c>
      <c r="X8" s="4" t="str">
        <f>IFERROR(__xludf.DUMMYFUNCTION("""COMPUTED_VALUE"""),"Form G4 Instagram Outros")</f>
        <v>Form G4 Instagram Outros</v>
      </c>
      <c r="Y8" s="12">
        <f>IFERROR(__xludf.DUMMYFUNCTION("""COMPUTED_VALUE"""),14198.400000000014)</f>
        <v>14198.4</v>
      </c>
      <c r="Z8" s="7">
        <f t="shared" si="5"/>
        <v>0.0299976802</v>
      </c>
      <c r="AA8" s="7">
        <f t="shared" si="13"/>
        <v>1</v>
      </c>
      <c r="AB8" s="6">
        <f t="array" ref="AB8">XLOOKUP(X8,'Dados Funil'!A:A,'Dados Funil'!O:O,"")</f>
        <v>0.7073170732</v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IFERROR(__xludf.DUMMYFUNCTION("""COMPUTED_VALUE"""),"Form G4 Instagram Tallis")</f>
        <v>Form G4 Instagram Tallis</v>
      </c>
      <c r="AJ8" s="11">
        <f>IFERROR(__xludf.DUMMYFUNCTION("""COMPUTED_VALUE"""),256.6962778637965)</f>
        <v>256.6962779</v>
      </c>
      <c r="AK8" s="10">
        <f>IFERROR(__xludf.DUMMYFUNCTION("""COMPUTED_VALUE"""),0.34)</f>
        <v>0.34</v>
      </c>
      <c r="AL8" s="9">
        <f>IFERROR(__xludf.DUMMYFUNCTION("""COMPUTED_VALUE"""),4240.0)</f>
        <v>4240</v>
      </c>
      <c r="AM8" s="9">
        <f t="shared" si="7"/>
        <v>370053.3542</v>
      </c>
      <c r="AN8" s="9" t="str">
        <f>IFERROR(__xludf.DUMMYFUNCTION("""COMPUTED_VALUE"""),"Form G4 Instagram Tallis")</f>
        <v>Form G4 Instagram Tallis</v>
      </c>
      <c r="AO8" s="11">
        <f>IFERROR(__xludf.DUMMYFUNCTION("""COMPUTED_VALUE"""),339.0)</f>
        <v>339</v>
      </c>
      <c r="AP8" s="10">
        <f>IFERROR(__xludf.DUMMYFUNCTION("""COMPUTED_VALUE"""),0.4365781710914454)</f>
        <v>0.4365781711</v>
      </c>
      <c r="AQ8" s="14">
        <f>IFERROR(__xludf.DUMMYFUNCTION("""COMPUTED_VALUE"""),5837.47972972973)</f>
        <v>5837.47973</v>
      </c>
      <c r="AR8" s="9">
        <f t="shared" si="8"/>
        <v>863947</v>
      </c>
    </row>
    <row r="9">
      <c r="A9" s="4"/>
      <c r="B9" s="4"/>
      <c r="C9" s="7" t="str">
        <f t="shared" si="1"/>
        <v/>
      </c>
      <c r="D9" s="4" t="str">
        <f t="shared" si="9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4"/>
      <c r="H9" s="4"/>
      <c r="I9" s="7" t="str">
        <f t="shared" si="2"/>
        <v/>
      </c>
      <c r="J9" s="4" t="str">
        <f t="shared" si="10"/>
        <v/>
      </c>
      <c r="K9" s="4" t="str">
        <f t="array" ref="K9">XLOOKUP(G9,'Dados Funil'!A:A,'Dados Funil'!O:O,"")</f>
        <v/>
      </c>
      <c r="L9" s="4" t="str">
        <f>IFERROR(__xludf.DUMMYFUNCTION("""COMPUTED_VALUE"""),"[CM] Form G4 - Instagram")</f>
        <v>[CM] Form G4 - Instagram</v>
      </c>
      <c r="M9" s="12">
        <f>IFERROR(__xludf.DUMMYFUNCTION("""COMPUTED_VALUE"""),-84000.0)</f>
        <v>-84000</v>
      </c>
      <c r="N9" s="7">
        <f t="shared" si="3"/>
        <v>0.02729950162</v>
      </c>
      <c r="O9" s="7">
        <f t="shared" si="11"/>
        <v>0.9718893132</v>
      </c>
      <c r="P9" s="12">
        <f t="array" ref="P9">XLOOKUP(L9,'Dados Funil'!A:A,'Dados Funil'!AM:AM,"")</f>
        <v>-8400</v>
      </c>
      <c r="Q9" s="5">
        <f t="array" ref="Q9">XLOOKUP(L9,'Dados Funil'!A:A,'Dados Funil'!AN:AN,"")</f>
        <v>-1</v>
      </c>
      <c r="R9" s="4" t="str">
        <f>IFERROR(__xludf.DUMMYFUNCTION("""COMPUTED_VALUE"""),"Form G4 Outros - Orgânico")</f>
        <v>Form G4 Outros - Orgânico</v>
      </c>
      <c r="S9" s="12">
        <f>IFERROR(__xludf.DUMMYFUNCTION("""COMPUTED_VALUE"""),41660.8685806403)</f>
        <v>41660.86858</v>
      </c>
      <c r="T9" s="7">
        <f t="shared" si="4"/>
        <v>0.04246714571</v>
      </c>
      <c r="U9" s="7">
        <f t="shared" si="12"/>
        <v>0.9615177035</v>
      </c>
      <c r="V9" s="3">
        <f t="array" ref="V9">XLOOKUP(R9,'Dados Funil'!$A:$A,'Dados Funil'!$K:$K,"")</f>
        <v>14.25180233</v>
      </c>
      <c r="W9" s="5">
        <f t="array" ref="W9">XLOOKUP(R9,'Dados Funil'!$A:$A,'Dados Funil'!$L:$L,"")</f>
        <v>0.05058347294</v>
      </c>
      <c r="X9" s="4"/>
      <c r="Y9" s="4"/>
      <c r="Z9" s="7" t="str">
        <f t="shared" si="5"/>
        <v/>
      </c>
      <c r="AA9" s="4" t="str">
        <f t="shared" si="13"/>
        <v/>
      </c>
      <c r="AB9" s="4" t="str">
        <f t="array" ref="AB9">XLOOKUP(X9,'Dados Funil'!A:A,'Dados Funil'!O:O,"")</f>
        <v/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IFERROR(__xludf.DUMMYFUNCTION("""COMPUTED_VALUE"""),"Form G4 Outros - Não Orgânico")</f>
        <v>Form G4 Outros - Não Orgânico</v>
      </c>
      <c r="AJ9" s="11">
        <f>IFERROR(__xludf.DUMMYFUNCTION("""COMPUTED_VALUE"""),121.34881835432112)</f>
        <v>121.3488184</v>
      </c>
      <c r="AK9" s="10">
        <f>IFERROR(__xludf.DUMMYFUNCTION("""COMPUTED_VALUE"""),0.33)</f>
        <v>0.33</v>
      </c>
      <c r="AL9" s="9">
        <f>IFERROR(__xludf.DUMMYFUNCTION("""COMPUTED_VALUE"""),6500.0)</f>
        <v>6500</v>
      </c>
      <c r="AM9" s="9">
        <f t="shared" si="7"/>
        <v>260293.2154</v>
      </c>
      <c r="AN9" s="9" t="str">
        <f>IFERROR(__xludf.DUMMYFUNCTION("""COMPUTED_VALUE"""),"Form G4 Outros - Não Orgânico")</f>
        <v>Form G4 Outros - Não Orgânico</v>
      </c>
      <c r="AO9" s="11">
        <f>IFERROR(__xludf.DUMMYFUNCTION("""COMPUTED_VALUE"""),80.0)</f>
        <v>80</v>
      </c>
      <c r="AP9" s="10">
        <f>IFERROR(__xludf.DUMMYFUNCTION("""COMPUTED_VALUE"""),0.275)</f>
        <v>0.275</v>
      </c>
      <c r="AQ9" s="14">
        <f>IFERROR(__xludf.DUMMYFUNCTION("""COMPUTED_VALUE"""),0.0)</f>
        <v>0</v>
      </c>
      <c r="AR9" s="9">
        <f t="shared" si="8"/>
        <v>0</v>
      </c>
    </row>
    <row r="10">
      <c r="A10" s="4"/>
      <c r="B10" s="4"/>
      <c r="C10" s="7" t="str">
        <f t="shared" si="1"/>
        <v/>
      </c>
      <c r="D10" s="4" t="str">
        <f t="shared" si="9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4"/>
      <c r="H10" s="4"/>
      <c r="I10" s="7" t="str">
        <f t="shared" si="2"/>
        <v/>
      </c>
      <c r="J10" s="4" t="str">
        <f t="shared" si="10"/>
        <v/>
      </c>
      <c r="K10" s="4" t="str">
        <f t="array" ref="K10">XLOOKUP(G10,'Dados Funil'!A:A,'Dados Funil'!O:O,"")</f>
        <v/>
      </c>
      <c r="L10" s="4" t="str">
        <f>IFERROR(__xludf.DUMMYFUNCTION("""COMPUTED_VALUE"""),"Aplicativo G4 - Indicação")</f>
        <v>Aplicativo G4 - Indicação</v>
      </c>
      <c r="M10" s="12">
        <f>IFERROR(__xludf.DUMMYFUNCTION("""COMPUTED_VALUE"""),-52867.0)</f>
        <v>-52867</v>
      </c>
      <c r="N10" s="7">
        <f t="shared" si="3"/>
        <v>0.01718146133</v>
      </c>
      <c r="O10" s="7">
        <f t="shared" si="11"/>
        <v>0.9890707745</v>
      </c>
      <c r="P10" s="12">
        <f t="array" ref="P10">XLOOKUP(L10,'Dados Funil'!A:A,'Dados Funil'!AM:AM,"")</f>
        <v>-3109.823529</v>
      </c>
      <c r="Q10" s="5">
        <f t="array" ref="Q10">XLOOKUP(L10,'Dados Funil'!A:A,'Dados Funil'!AN:AN,"")</f>
        <v>-0.8248868778</v>
      </c>
      <c r="R10" s="9" t="str">
        <f>IFERROR(__xludf.DUMMYFUNCTION("""COMPUTED_VALUE"""),"[IM] Link de Indicação")</f>
        <v>[IM] Link de Indicação</v>
      </c>
      <c r="S10" s="15">
        <f>IFERROR(__xludf.DUMMYFUNCTION("""COMPUTED_VALUE"""),20469.786266541752)</f>
        <v>20469.78627</v>
      </c>
      <c r="T10" s="7">
        <f t="shared" si="4"/>
        <v>0.02086594509</v>
      </c>
      <c r="V10" s="3">
        <f t="array" ref="V10">XLOOKUP(R10,'Dados Funil'!$A:$A,'Dados Funil'!$K:$K,"")</f>
        <v>13.01156005</v>
      </c>
      <c r="W10" s="5">
        <f t="array" ref="W10">XLOOKUP(R10,'Dados Funil'!$A:$A,'Dados Funil'!$L:$L,"")</f>
        <v>0.1712307827</v>
      </c>
      <c r="X10" s="4"/>
      <c r="Y10" s="4"/>
      <c r="Z10" s="7" t="str">
        <f t="shared" si="5"/>
        <v/>
      </c>
      <c r="AA10" s="4" t="str">
        <f t="shared" si="13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I10" s="9" t="str">
        <f>IFERROR(__xludf.DUMMYFUNCTION("""COMPUTED_VALUE"""),"Form G4 Google")</f>
        <v>Form G4 Google</v>
      </c>
      <c r="AJ10" s="11">
        <f>IFERROR(__xludf.DUMMYFUNCTION("""COMPUTED_VALUE"""),74.43369454463155)</f>
        <v>74.43369454</v>
      </c>
      <c r="AK10" s="10">
        <f>IFERROR(__xludf.DUMMYFUNCTION("""COMPUTED_VALUE"""),0.37)</f>
        <v>0.37</v>
      </c>
      <c r="AL10" s="9">
        <f>IFERROR(__xludf.DUMMYFUNCTION("""COMPUTED_VALUE"""),5520.0)</f>
        <v>5520</v>
      </c>
      <c r="AM10" s="9">
        <f t="shared" si="7"/>
        <v>152023.3777</v>
      </c>
      <c r="AN10" s="9" t="str">
        <f>IFERROR(__xludf.DUMMYFUNCTION("""COMPUTED_VALUE"""),"Form G4 Google")</f>
        <v>Form G4 Google</v>
      </c>
      <c r="AO10" s="11">
        <f>IFERROR(__xludf.DUMMYFUNCTION("""COMPUTED_VALUE"""),208.0)</f>
        <v>208</v>
      </c>
      <c r="AP10" s="10">
        <f>IFERROR(__xludf.DUMMYFUNCTION("""COMPUTED_VALUE"""),0.40865384615384615)</f>
        <v>0.4086538462</v>
      </c>
      <c r="AQ10" s="14">
        <f>IFERROR(__xludf.DUMMYFUNCTION("""COMPUTED_VALUE"""),9268.64705882353)</f>
        <v>9268.647059</v>
      </c>
      <c r="AR10" s="9">
        <f t="shared" si="8"/>
        <v>787835</v>
      </c>
    </row>
    <row r="11">
      <c r="A11" s="4"/>
      <c r="B11" s="4"/>
      <c r="C11" s="7" t="str">
        <f t="shared" si="1"/>
        <v/>
      </c>
      <c r="D11" s="4" t="str">
        <f t="shared" si="9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/>
      <c r="H11" s="4"/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 t="str">
        <f>IFERROR(__xludf.DUMMYFUNCTION("""COMPUTED_VALUE"""),"Form G4 Facebook")</f>
        <v>Form G4 Facebook</v>
      </c>
      <c r="M11" s="12">
        <f>IFERROR(__xludf.DUMMYFUNCTION("""COMPUTED_VALUE"""),-30803.999999999996)</f>
        <v>-30804</v>
      </c>
      <c r="N11" s="7">
        <f t="shared" si="3"/>
        <v>0.01001111724</v>
      </c>
      <c r="O11" s="7">
        <f t="shared" si="11"/>
        <v>0.9990818918</v>
      </c>
      <c r="P11" s="12">
        <f t="array" ref="P11">XLOOKUP(L11,'Dados Funil'!A:A,'Dados Funil'!AM:AM,"")</f>
        <v>-832.5405405</v>
      </c>
      <c r="Q11" s="5">
        <f t="array" ref="Q11">XLOOKUP(L11,'Dados Funil'!A:A,'Dados Funil'!AN:AN,"")</f>
        <v>-0.2585529629</v>
      </c>
      <c r="R11" s="9" t="str">
        <f>IFERROR(__xludf.DUMMYFUNCTION("""COMPUTED_VALUE"""),"[CM] Form G4 - Instagram")</f>
        <v>[CM] Form G4 - Instagram</v>
      </c>
      <c r="S11" s="15">
        <f>IFERROR(__xludf.DUMMYFUNCTION("""COMPUTED_VALUE"""),17281.88903225816)</f>
        <v>17281.88903</v>
      </c>
      <c r="T11" s="7">
        <f t="shared" si="4"/>
        <v>0.01761635138</v>
      </c>
      <c r="V11" s="3">
        <f t="array" ref="V11">XLOOKUP(R11,'Dados Funil'!$A:$A,'Dados Funil'!$K:$K,"")</f>
        <v>7.347741935</v>
      </c>
      <c r="W11" s="5">
        <f t="array" ref="W11">XLOOKUP(R11,'Dados Funil'!$A:$A,'Dados Funil'!$L:$L,"")</f>
        <v>0.1510257124</v>
      </c>
      <c r="X11" s="4"/>
      <c r="Y11" s="4"/>
      <c r="Z11" s="7" t="str">
        <f t="shared" si="5"/>
        <v/>
      </c>
      <c r="AA11" s="4" t="str">
        <f t="shared" si="13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I11" s="9" t="str">
        <f>IFERROR(__xludf.DUMMYFUNCTION("""COMPUTED_VALUE"""),"[IM] Link de Indicação")</f>
        <v>[IM] Link de Indicação</v>
      </c>
      <c r="AJ11" s="11">
        <f>IFERROR(__xludf.DUMMYFUNCTION("""COMPUTED_VALUE"""),75.98843995261775)</f>
        <v>75.98843995</v>
      </c>
      <c r="AK11" s="10">
        <f>IFERROR(__xludf.DUMMYFUNCTION("""COMPUTED_VALUE"""),0.285)</f>
        <v>0.285</v>
      </c>
      <c r="AL11" s="9">
        <f>IFERROR(__xludf.DUMMYFUNCTION("""COMPUTED_VALUE"""),5520.000000000001)</f>
        <v>5520</v>
      </c>
      <c r="AM11" s="9">
        <f t="shared" si="7"/>
        <v>119545.0137</v>
      </c>
      <c r="AN11" s="9" t="str">
        <f>IFERROR(__xludf.DUMMYFUNCTION("""COMPUTED_VALUE"""),"[IM] Link de Indicação")</f>
        <v>[IM] Link de Indicação</v>
      </c>
      <c r="AO11" s="11">
        <f>IFERROR(__xludf.DUMMYFUNCTION("""COMPUTED_VALUE"""),89.0)</f>
        <v>89</v>
      </c>
      <c r="AP11" s="10">
        <f>IFERROR(__xludf.DUMMYFUNCTION("""COMPUTED_VALUE"""),0.1797752808988764)</f>
        <v>0.1797752809</v>
      </c>
      <c r="AQ11" s="14">
        <f>IFERROR(__xludf.DUMMYFUNCTION("""COMPUTED_VALUE"""),5343.4375)</f>
        <v>5343.4375</v>
      </c>
      <c r="AR11" s="9">
        <f t="shared" si="8"/>
        <v>85495</v>
      </c>
    </row>
    <row r="12">
      <c r="A12" s="4"/>
      <c r="B12" s="4"/>
      <c r="C12" s="7" t="str">
        <f t="shared" si="1"/>
        <v/>
      </c>
      <c r="D12" s="4" t="str">
        <f t="shared" si="9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/>
      <c r="H12" s="4"/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 t="str">
        <f>IFERROR(__xludf.DUMMYFUNCTION("""COMPUTED_VALUE"""),"[IM] Link de Indicação")</f>
        <v>[IM] Link de Indicação</v>
      </c>
      <c r="M12" s="12">
        <f>IFERROR(__xludf.DUMMYFUNCTION("""COMPUTED_VALUE"""),-2825.0000000000146)</f>
        <v>-2825</v>
      </c>
      <c r="N12" s="7">
        <f t="shared" si="3"/>
        <v>0.0009181082389</v>
      </c>
      <c r="O12" s="7">
        <f t="shared" si="11"/>
        <v>1</v>
      </c>
      <c r="P12" s="12">
        <f t="array" ref="P12">XLOOKUP(L12,'Dados Funil'!A:A,'Dados Funil'!AM:AM,"")</f>
        <v>-176.5625</v>
      </c>
      <c r="Q12" s="10">
        <f t="array" ref="Q12">XLOOKUP(L12,'Dados Funil'!A:A,'Dados Funil'!AN:AN,"")</f>
        <v>-0.03198596014</v>
      </c>
      <c r="T12" s="7" t="str">
        <f t="shared" si="4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5"/>
        <v/>
      </c>
      <c r="AA12" s="4" t="str">
        <f t="shared" si="13"/>
        <v/>
      </c>
      <c r="AB12" s="4" t="str">
        <f t="array" ref="AB12">XLOOKUP(X12,'Dados Funil'!A:A,'Dados Funil'!O:O,"")</f>
        <v/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I12" s="9" t="str">
        <f>IFERROR(__xludf.DUMMYFUNCTION("""COMPUTED_VALUE"""),"[CM] Form G4 - Instagram")</f>
        <v>[CM] Form G4 - Instagram</v>
      </c>
      <c r="AJ12" s="11">
        <f>IFERROR(__xludf.DUMMYFUNCTION("""COMPUTED_VALUE"""),48.65225806451609)</f>
        <v>48.65225806</v>
      </c>
      <c r="AK12" s="10">
        <f>IFERROR(__xludf.DUMMYFUNCTION("""COMPUTED_VALUE"""),0.28)</f>
        <v>0.28</v>
      </c>
      <c r="AL12" s="9">
        <f>IFERROR(__xludf.DUMMYFUNCTION("""COMPUTED_VALUE"""),8400.0)</f>
        <v>8400</v>
      </c>
      <c r="AM12" s="9">
        <f t="shared" si="7"/>
        <v>114430.111</v>
      </c>
      <c r="AN12" s="9" t="str">
        <f>IFERROR(__xludf.DUMMYFUNCTION("""COMPUTED_VALUE"""),"[CM] Form G4 - Instagram")</f>
        <v>[CM] Form G4 - Instagram</v>
      </c>
      <c r="AO12" s="11">
        <f>IFERROR(__xludf.DUMMYFUNCTION("""COMPUTED_VALUE"""),56.0)</f>
        <v>56</v>
      </c>
      <c r="AP12" s="10">
        <f>IFERROR(__xludf.DUMMYFUNCTION("""COMPUTED_VALUE"""),0.17857142857142858)</f>
        <v>0.1785714286</v>
      </c>
      <c r="AQ12" s="14">
        <f>IFERROR(__xludf.DUMMYFUNCTION("""COMPUTED_VALUE"""),0.0)</f>
        <v>0</v>
      </c>
      <c r="AR12" s="9">
        <f t="shared" si="8"/>
        <v>0</v>
      </c>
    </row>
    <row r="13">
      <c r="A13" s="4"/>
      <c r="B13" s="4"/>
      <c r="C13" s="7" t="str">
        <f t="shared" si="1"/>
        <v/>
      </c>
      <c r="D13" s="4" t="str">
        <f t="shared" si="9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1"/>
        <v/>
      </c>
      <c r="P13" s="4" t="str">
        <f t="array" ref="P13">XLOOKUP(L13,'Dados Funil'!A:A,'Dados Funil'!AM:AM,"")</f>
        <v/>
      </c>
      <c r="Q13" s="9" t="str">
        <f t="array" ref="Q13">XLOOKUP(L13,'Dados Funil'!A:A,'Dados Funil'!AN:AN,"")</f>
        <v/>
      </c>
      <c r="T13" s="7" t="str">
        <f t="shared" si="4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I13" s="9" t="str">
        <f>IFERROR(__xludf.DUMMYFUNCTION("""COMPUTED_VALUE"""),"Form G4 Facebook")</f>
        <v>Form G4 Facebook</v>
      </c>
      <c r="AJ13" s="11">
        <f>IFERROR(__xludf.DUMMYFUNCTION("""COMPUTED_VALUE"""),117.39448506833976)</f>
        <v>117.3944851</v>
      </c>
      <c r="AK13" s="10">
        <f>IFERROR(__xludf.DUMMYFUNCTION("""COMPUTED_VALUE"""),0.27)</f>
        <v>0.27</v>
      </c>
      <c r="AL13" s="9">
        <f>IFERROR(__xludf.DUMMYFUNCTION("""COMPUTED_VALUE"""),3220.0)</f>
        <v>3220</v>
      </c>
      <c r="AM13" s="9">
        <f t="shared" si="7"/>
        <v>102062.7653</v>
      </c>
      <c r="AN13" s="9" t="str">
        <f>IFERROR(__xludf.DUMMYFUNCTION("""COMPUTED_VALUE"""),"Form G4 Facebook")</f>
        <v>Form G4 Facebook</v>
      </c>
      <c r="AO13" s="11">
        <f>IFERROR(__xludf.DUMMYFUNCTION("""COMPUTED_VALUE"""),168.0)</f>
        <v>168</v>
      </c>
      <c r="AP13" s="10">
        <f>IFERROR(__xludf.DUMMYFUNCTION("""COMPUTED_VALUE"""),0.22023809523809523)</f>
        <v>0.2202380952</v>
      </c>
      <c r="AQ13" s="14">
        <f>IFERROR(__xludf.DUMMYFUNCTION("""COMPUTED_VALUE"""),2387.4594594594596)</f>
        <v>2387.459459</v>
      </c>
      <c r="AR13" s="9">
        <f t="shared" si="8"/>
        <v>88336</v>
      </c>
    </row>
    <row r="14">
      <c r="A14" s="4"/>
      <c r="B14" s="4"/>
      <c r="C14" s="7" t="str">
        <f t="shared" si="1"/>
        <v/>
      </c>
      <c r="D14" s="4" t="str">
        <f t="shared" si="9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1"/>
        <v/>
      </c>
      <c r="P14" s="4" t="str">
        <f t="array" ref="P14">XLOOKUP(L14,'Dados Funil'!A:A,'Dados Funil'!AM:AM,"")</f>
        <v/>
      </c>
      <c r="Q14" s="9" t="str">
        <f t="array" ref="Q14">XLOOKUP(L14,'Dados Funil'!A:A,'Dados Funil'!AN:AN,"")</f>
        <v/>
      </c>
      <c r="T14" s="7" t="str">
        <f t="shared" si="4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I14" s="9" t="str">
        <f>IFERROR(__xludf.DUMMYFUNCTION("""COMPUTED_VALUE"""),"[CM] Form G4 - Outros")</f>
        <v>[CM] Form G4 - Outros</v>
      </c>
      <c r="AJ14" s="11">
        <f>IFERROR(__xludf.DUMMYFUNCTION("""COMPUTED_VALUE"""),32.4348387096774)</f>
        <v>32.43483871</v>
      </c>
      <c r="AK14" s="10">
        <f>IFERROR(__xludf.DUMMYFUNCTION("""COMPUTED_VALUE"""),0.28)</f>
        <v>0.28</v>
      </c>
      <c r="AL14" s="9">
        <f>IFERROR(__xludf.DUMMYFUNCTION("""COMPUTED_VALUE"""),8400.0)</f>
        <v>8400</v>
      </c>
      <c r="AM14" s="9">
        <f t="shared" si="7"/>
        <v>76286.74065</v>
      </c>
      <c r="AN14" s="9" t="str">
        <f>IFERROR(__xludf.DUMMYFUNCTION("""COMPUTED_VALUE"""),"[CM] Form G4 - Outros")</f>
        <v>[CM] Form G4 - Outros</v>
      </c>
      <c r="AO14" s="11">
        <f>IFERROR(__xludf.DUMMYFUNCTION("""COMPUTED_VALUE"""),32.0)</f>
        <v>32</v>
      </c>
      <c r="AP14" s="10">
        <f>IFERROR(__xludf.DUMMYFUNCTION("""COMPUTED_VALUE"""),0.375)</f>
        <v>0.375</v>
      </c>
      <c r="AQ14" s="14">
        <f>IFERROR(__xludf.DUMMYFUNCTION("""COMPUTED_VALUE"""),11566.666666666666)</f>
        <v>11566.66667</v>
      </c>
      <c r="AR14" s="9">
        <f t="shared" si="8"/>
        <v>138800</v>
      </c>
    </row>
    <row r="15">
      <c r="A15" s="4"/>
      <c r="B15" s="4"/>
      <c r="C15" s="7" t="str">
        <f t="shared" si="1"/>
        <v/>
      </c>
      <c r="D15" s="4" t="str">
        <f t="shared" si="9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9" t="str">
        <f t="array" ref="Q15">XLOOKUP(L15,'Dados Funil'!A:A,'Dados Funil'!AN:AN,"")</f>
        <v/>
      </c>
      <c r="T15" s="7" t="str">
        <f t="shared" si="4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I15" s="9" t="str">
        <f>IFERROR(__xludf.DUMMYFUNCTION("""COMPUTED_VALUE"""),"Aplicativo G4 - Indicação")</f>
        <v>Aplicativo G4 - Indicação</v>
      </c>
      <c r="AJ15" s="11">
        <f>IFERROR(__xludf.DUMMYFUNCTION("""COMPUTED_VALUE"""),94.4955803732666)</f>
        <v>94.49558037</v>
      </c>
      <c r="AK15" s="10">
        <f>IFERROR(__xludf.DUMMYFUNCTION("""COMPUTED_VALUE"""),0.21)</f>
        <v>0.21</v>
      </c>
      <c r="AL15" s="9">
        <f>IFERROR(__xludf.DUMMYFUNCTION("""COMPUTED_VALUE"""),3770.0)</f>
        <v>3770</v>
      </c>
      <c r="AM15" s="9">
        <f t="shared" si="7"/>
        <v>74812.15098</v>
      </c>
      <c r="AN15" s="9" t="str">
        <f>IFERROR(__xludf.DUMMYFUNCTION("""COMPUTED_VALUE"""),"Aplicativo G4 - Indicação")</f>
        <v>Aplicativo G4 - Indicação</v>
      </c>
      <c r="AO15" s="11">
        <f>IFERROR(__xludf.DUMMYFUNCTION("""COMPUTED_VALUE"""),307.0)</f>
        <v>307</v>
      </c>
      <c r="AP15" s="10">
        <f>IFERROR(__xludf.DUMMYFUNCTION("""COMPUTED_VALUE"""),0.05537459283387622)</f>
        <v>0.05537459283</v>
      </c>
      <c r="AQ15" s="14">
        <f>IFERROR(__xludf.DUMMYFUNCTION("""COMPUTED_VALUE"""),660.1764705882352)</f>
        <v>660.1764706</v>
      </c>
      <c r="AR15" s="9">
        <f t="shared" si="8"/>
        <v>11223</v>
      </c>
    </row>
    <row r="16">
      <c r="A16" s="4"/>
      <c r="B16" s="4"/>
      <c r="C16" s="7" t="str">
        <f t="shared" si="1"/>
        <v/>
      </c>
      <c r="D16" s="4" t="str">
        <f t="shared" si="9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9" t="str">
        <f t="array" ref="Q16">XLOOKUP(L16,'Dados Funil'!A:A,'Dados Funil'!AN:AN,"")</f>
        <v/>
      </c>
      <c r="T16" s="7" t="str">
        <f t="shared" si="4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</row>
    <row r="17">
      <c r="A17" s="4"/>
      <c r="B17" s="4"/>
      <c r="C17" s="7" t="str">
        <f t="shared" si="1"/>
        <v/>
      </c>
      <c r="D17" s="4" t="str">
        <f t="shared" si="9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9" t="str">
        <f t="array" ref="Q17">XLOOKUP(L17,'Dados Funil'!A:A,'Dados Funil'!AN:AN,"")</f>
        <v/>
      </c>
      <c r="T17" s="7" t="str">
        <f t="shared" si="4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</row>
    <row r="18">
      <c r="A18" s="4"/>
      <c r="B18" s="4"/>
      <c r="C18" s="7" t="str">
        <f t="shared" si="1"/>
        <v/>
      </c>
      <c r="D18" s="4" t="str">
        <f t="shared" si="9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9" t="str">
        <f t="array" ref="Q18">XLOOKUP(L18,'Dados Funil'!A:A,'Dados Funil'!AN:AN,"")</f>
        <v/>
      </c>
      <c r="T18" s="7" t="str">
        <f t="shared" si="4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</row>
    <row r="19">
      <c r="A19" s="4"/>
      <c r="B19" s="4"/>
      <c r="C19" s="7" t="str">
        <f t="shared" si="1"/>
        <v/>
      </c>
      <c r="D19" s="4" t="str">
        <f t="shared" si="9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9" t="str">
        <f t="array" ref="Q19">XLOOKUP(L19,'Dados Funil'!A:A,'Dados Funil'!AN:AN,"")</f>
        <v/>
      </c>
      <c r="T19" s="7" t="str">
        <f t="shared" si="4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</row>
    <row r="20">
      <c r="A20" s="4"/>
      <c r="B20" s="4"/>
      <c r="C20" s="7" t="str">
        <f t="shared" si="1"/>
        <v/>
      </c>
      <c r="D20" s="4" t="str">
        <f t="shared" si="9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9" t="str">
        <f t="array" ref="Q20">XLOOKUP(L20,'Dados Funil'!A:A,'Dados Funil'!AN:AN,"")</f>
        <v/>
      </c>
      <c r="T20" s="7" t="str">
        <f t="shared" si="4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</row>
    <row r="21">
      <c r="A21" s="4"/>
      <c r="B21" s="4"/>
      <c r="C21" s="7" t="str">
        <f t="shared" si="1"/>
        <v/>
      </c>
      <c r="D21" s="4" t="str">
        <f t="shared" si="9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9" t="str">
        <f t="array" ref="Q21">XLOOKUP(L21,'Dados Funil'!A:A,'Dados Funil'!AN:AN,"")</f>
        <v/>
      </c>
      <c r="T21" s="7" t="str">
        <f t="shared" si="4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</row>
    <row r="22">
      <c r="A22" s="4"/>
      <c r="B22" s="4"/>
      <c r="C22" s="7" t="str">
        <f t="shared" si="1"/>
        <v/>
      </c>
      <c r="D22" s="4" t="str">
        <f t="shared" si="9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9" t="str">
        <f t="array" ref="Q22">XLOOKUP(L22,'Dados Funil'!A:A,'Dados Funil'!AN:AN,"")</f>
        <v/>
      </c>
      <c r="T22" s="7" t="str">
        <f t="shared" si="4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</row>
    <row r="23">
      <c r="A23" s="4"/>
      <c r="B23" s="4"/>
      <c r="C23" s="7" t="str">
        <f t="shared" si="1"/>
        <v/>
      </c>
      <c r="D23" s="4" t="str">
        <f t="shared" si="9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9" t="str">
        <f t="array" ref="Q23">XLOOKUP(L23,'Dados Funil'!A:A,'Dados Funil'!AN:AN,"")</f>
        <v/>
      </c>
      <c r="T23" s="7" t="str">
        <f t="shared" si="4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</row>
    <row r="24">
      <c r="A24" s="4"/>
      <c r="B24" s="4"/>
      <c r="C24" s="7" t="str">
        <f t="shared" si="1"/>
        <v/>
      </c>
      <c r="D24" s="4" t="str">
        <f t="shared" si="9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9" t="str">
        <f t="array" ref="Q24">XLOOKUP(L24,'Dados Funil'!A:A,'Dados Funil'!AN:AN,"")</f>
        <v/>
      </c>
      <c r="T24" s="7" t="str">
        <f t="shared" si="4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</row>
    <row r="25">
      <c r="A25" s="4"/>
      <c r="B25" s="4"/>
      <c r="C25" s="7" t="str">
        <f t="shared" si="1"/>
        <v/>
      </c>
      <c r="D25" s="4" t="str">
        <f t="shared" si="9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9" t="str">
        <f t="array" ref="Q25">XLOOKUP(L25,'Dados Funil'!A:A,'Dados Funil'!AN:AN,"")</f>
        <v/>
      </c>
      <c r="T25" s="7" t="str">
        <f t="shared" si="4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9" t="str">
        <f t="array" ref="Q26">XLOOKUP(L26,'Dados Funil'!A:A,'Dados Funil'!AN:AN,"")</f>
        <v/>
      </c>
      <c r="T26" s="7" t="str">
        <f t="shared" si="4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9" t="str">
        <f t="array" ref="Q27">XLOOKUP(L27,'Dados Funil'!A:A,'Dados Funil'!AN:AN,"")</f>
        <v/>
      </c>
      <c r="T27" s="7" t="str">
        <f t="shared" si="4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9" t="str">
        <f t="array" ref="Q28">XLOOKUP(L28,'Dados Funil'!A:A,'Dados Funil'!AN:AN,"")</f>
        <v/>
      </c>
      <c r="T28" s="7" t="str">
        <f t="shared" si="4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9" t="str">
        <f t="array" ref="Q29">XLOOKUP(L29,'Dados Funil'!A:A,'Dados Funil'!AN:AN,"")</f>
        <v/>
      </c>
      <c r="T29" s="7" t="str">
        <f t="shared" si="4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9" t="str">
        <f t="array" ref="Q30">XLOOKUP(L30,'Dados Funil'!A:A,'Dados Funil'!AN:AN,"")</f>
        <v/>
      </c>
      <c r="T30" s="7" t="str">
        <f t="shared" si="4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9" t="str">
        <f t="array" ref="Q31">XLOOKUP(L31,'Dados Funil'!A:A,'Dados Funil'!AN:AN,"")</f>
        <v/>
      </c>
      <c r="T31" s="7" t="str">
        <f t="shared" si="4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9" t="str">
        <f t="array" ref="Q32">XLOOKUP(L32,'Dados Funil'!A:A,'Dados Funil'!AN:AN,"")</f>
        <v/>
      </c>
      <c r="T32" s="7" t="str">
        <f t="shared" si="4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9" t="str">
        <f t="array" ref="Q33">XLOOKUP(L33,'Dados Funil'!A:A,'Dados Funil'!AN:AN,"")</f>
        <v/>
      </c>
      <c r="T33" s="7" t="str">
        <f t="shared" si="4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9" t="str">
        <f t="array" ref="Q34">XLOOKUP(L34,'Dados Funil'!A:A,'Dados Funil'!AN:AN,"")</f>
        <v/>
      </c>
      <c r="T34" s="7" t="str">
        <f t="shared" si="4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9" t="str">
        <f t="array" ref="Q35">XLOOKUP(L35,'Dados Funil'!A:A,'Dados Funil'!AN:AN,"")</f>
        <v/>
      </c>
      <c r="T35" s="7" t="str">
        <f t="shared" si="4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9" t="str">
        <f t="array" ref="Q36">XLOOKUP(L36,'Dados Funil'!A:A,'Dados Funil'!AN:AN,"")</f>
        <v/>
      </c>
      <c r="T36" s="7" t="str">
        <f t="shared" si="4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9" t="str">
        <f t="array" ref="Q37">XLOOKUP(L37,'Dados Funil'!A:A,'Dados Funil'!AN:AN,"")</f>
        <v/>
      </c>
      <c r="T37" s="7" t="str">
        <f t="shared" si="4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9" t="str">
        <f t="array" ref="Q38">XLOOKUP(L38,'Dados Funil'!A:A,'Dados Funil'!AN:AN,"")</f>
        <v/>
      </c>
      <c r="T38" s="7" t="str">
        <f t="shared" si="4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9" t="str">
        <f t="array" ref="Q39">XLOOKUP(L39,'Dados Funil'!A:A,'Dados Funil'!AN:AN,"")</f>
        <v/>
      </c>
      <c r="T39" s="7" t="str">
        <f t="shared" si="4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9" t="str">
        <f t="array" ref="Q40">XLOOKUP(L40,'Dados Funil'!A:A,'Dados Funil'!AN:AN,"")</f>
        <v/>
      </c>
      <c r="T40" s="7" t="str">
        <f t="shared" si="4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9" t="str">
        <f t="array" ref="Q41">XLOOKUP(L41,'Dados Funil'!A:A,'Dados Funil'!AN:AN,"")</f>
        <v/>
      </c>
      <c r="T41" s="7" t="str">
        <f t="shared" si="4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9" t="str">
        <f t="array" ref="Q42">XLOOKUP(L42,'Dados Funil'!A:A,'Dados Funil'!AN:AN,"")</f>
        <v/>
      </c>
      <c r="T42" s="7" t="str">
        <f t="shared" si="4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9" t="str">
        <f t="array" ref="Q43">XLOOKUP(L43,'Dados Funil'!A:A,'Dados Funil'!AN:AN,"")</f>
        <v/>
      </c>
      <c r="T43" s="7" t="str">
        <f t="shared" si="4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9" t="str">
        <f t="array" ref="Q44">XLOOKUP(L44,'Dados Funil'!A:A,'Dados Funil'!AN:AN,"")</f>
        <v/>
      </c>
      <c r="T44" s="7" t="str">
        <f t="shared" si="4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9" t="str">
        <f t="array" ref="Q45">XLOOKUP(L45,'Dados Funil'!A:A,'Dados Funil'!AN:AN,"")</f>
        <v/>
      </c>
      <c r="T45" s="7" t="str">
        <f t="shared" si="4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9" t="str">
        <f t="array" ref="Q46">XLOOKUP(L46,'Dados Funil'!A:A,'Dados Funil'!AN:AN,"")</f>
        <v/>
      </c>
      <c r="T46" s="7" t="str">
        <f t="shared" si="4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9" t="str">
        <f t="array" ref="Q47">XLOOKUP(L47,'Dados Funil'!A:A,'Dados Funil'!AN:AN,"")</f>
        <v/>
      </c>
      <c r="T47" s="7" t="str">
        <f t="shared" si="4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9" t="str">
        <f t="array" ref="Q48">XLOOKUP(L48,'Dados Funil'!A:A,'Dados Funil'!AN:AN,"")</f>
        <v/>
      </c>
      <c r="T48" s="7" t="str">
        <f t="shared" si="4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9" t="str">
        <f t="array" ref="Q49">XLOOKUP(L49,'Dados Funil'!A:A,'Dados Funil'!AN:AN,"")</f>
        <v/>
      </c>
      <c r="T49" s="7" t="str">
        <f t="shared" si="4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9" t="str">
        <f t="array" ref="Q50">XLOOKUP(L50,'Dados Funil'!A:A,'Dados Funil'!AN:AN,"")</f>
        <v/>
      </c>
      <c r="T50" s="7" t="str">
        <f t="shared" si="4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9" t="str">
        <f t="array" ref="Q51">XLOOKUP(L51,'Dados Funil'!A:A,'Dados Funil'!AN:AN,"")</f>
        <v/>
      </c>
      <c r="T51" s="7" t="str">
        <f t="shared" si="4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9" t="str">
        <f t="array" ref="Q52">XLOOKUP(L52,'Dados Funil'!A:A,'Dados Funil'!AN:AN,"")</f>
        <v/>
      </c>
      <c r="T52" s="7" t="str">
        <f t="shared" si="4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9" t="str">
        <f t="array" ref="Q53">XLOOKUP(L53,'Dados Funil'!A:A,'Dados Funil'!AN:AN,"")</f>
        <v/>
      </c>
      <c r="T53" s="7" t="str">
        <f t="shared" si="4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9" t="str">
        <f t="array" ref="Q54">XLOOKUP(L54,'Dados Funil'!A:A,'Dados Funil'!AN:AN,"")</f>
        <v/>
      </c>
      <c r="T54" s="7" t="str">
        <f t="shared" si="4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9" t="str">
        <f t="array" ref="Q55">XLOOKUP(L55,'Dados Funil'!A:A,'Dados Funil'!AN:AN,"")</f>
        <v/>
      </c>
      <c r="T55" s="7" t="str">
        <f t="shared" si="4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9" t="str">
        <f t="array" ref="Q56">XLOOKUP(L56,'Dados Funil'!A:A,'Dados Funil'!AN:AN,"")</f>
        <v/>
      </c>
      <c r="T56" s="7" t="str">
        <f t="shared" si="4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9" t="str">
        <f t="array" ref="Q57">XLOOKUP(L57,'Dados Funil'!A:A,'Dados Funil'!AN:AN,"")</f>
        <v/>
      </c>
      <c r="T57" s="7" t="str">
        <f t="shared" si="4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9" t="str">
        <f t="array" ref="Q58">XLOOKUP(L58,'Dados Funil'!A:A,'Dados Funil'!AN:AN,"")</f>
        <v/>
      </c>
      <c r="T58" s="7" t="str">
        <f t="shared" si="4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9" t="str">
        <f t="array" ref="Q59">XLOOKUP(L59,'Dados Funil'!A:A,'Dados Funil'!AN:AN,"")</f>
        <v/>
      </c>
      <c r="T59" s="7" t="str">
        <f t="shared" si="4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9" t="str">
        <f t="array" ref="Q60">XLOOKUP(L60,'Dados Funil'!A:A,'Dados Funil'!AN:AN,"")</f>
        <v/>
      </c>
      <c r="T60" s="7" t="str">
        <f t="shared" si="4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9" t="str">
        <f t="array" ref="Q61">XLOOKUP(L61,'Dados Funil'!A:A,'Dados Funil'!AN:AN,"")</f>
        <v/>
      </c>
      <c r="T61" s="7" t="str">
        <f t="shared" si="4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9" t="str">
        <f t="array" ref="Q62">XLOOKUP(L62,'Dados Funil'!A:A,'Dados Funil'!AN:AN,"")</f>
        <v/>
      </c>
      <c r="T62" s="7" t="str">
        <f t="shared" si="4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9" t="str">
        <f t="array" ref="Q63">XLOOKUP(L63,'Dados Funil'!A:A,'Dados Funil'!AN:AN,"")</f>
        <v/>
      </c>
      <c r="T63" s="7" t="str">
        <f t="shared" si="4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9" t="str">
        <f t="array" ref="Q64">XLOOKUP(L64,'Dados Funil'!A:A,'Dados Funil'!AN:AN,"")</f>
        <v/>
      </c>
      <c r="T64" s="7" t="str">
        <f t="shared" si="4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9" t="str">
        <f t="array" ref="Q65">XLOOKUP(L65,'Dados Funil'!A:A,'Dados Funil'!AN:AN,"")</f>
        <v/>
      </c>
      <c r="T65" s="7" t="str">
        <f t="shared" si="4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9" t="str">
        <f t="array" ref="Q66">XLOOKUP(L66,'Dados Funil'!A:A,'Dados Funil'!AN:AN,"")</f>
        <v/>
      </c>
      <c r="T66" s="7" t="str">
        <f t="shared" si="4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9" t="str">
        <f t="array" ref="Q67">XLOOKUP(L67,'Dados Funil'!A:A,'Dados Funil'!AN:AN,"")</f>
        <v/>
      </c>
      <c r="T67" s="7" t="str">
        <f t="shared" si="4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9" t="str">
        <f t="array" ref="Q68">XLOOKUP(L68,'Dados Funil'!A:A,'Dados Funil'!AN:AN,"")</f>
        <v/>
      </c>
      <c r="T68" s="7" t="str">
        <f t="shared" si="4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9" t="str">
        <f t="array" ref="Q69">XLOOKUP(L69,'Dados Funil'!A:A,'Dados Funil'!AN:AN,"")</f>
        <v/>
      </c>
      <c r="T69" s="7" t="str">
        <f t="shared" si="4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9" t="str">
        <f t="array" ref="Q70">XLOOKUP(L70,'Dados Funil'!A:A,'Dados Funil'!AN:AN,"")</f>
        <v/>
      </c>
      <c r="T70" s="7" t="str">
        <f t="shared" si="4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9" t="str">
        <f t="array" ref="Q71">XLOOKUP(L71,'Dados Funil'!A:A,'Dados Funil'!AN:AN,"")</f>
        <v/>
      </c>
      <c r="T71" s="7" t="str">
        <f t="shared" si="4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9" t="str">
        <f t="array" ref="Q72">XLOOKUP(L72,'Dados Funil'!A:A,'Dados Funil'!AN:AN,"")</f>
        <v/>
      </c>
      <c r="T72" s="7" t="str">
        <f t="shared" si="4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9" t="str">
        <f t="array" ref="Q73">XLOOKUP(L73,'Dados Funil'!A:A,'Dados Funil'!AN:AN,"")</f>
        <v/>
      </c>
      <c r="T73" s="7" t="str">
        <f t="shared" si="4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9" t="str">
        <f t="array" ref="Q74">XLOOKUP(L74,'Dados Funil'!A:A,'Dados Funil'!AN:AN,"")</f>
        <v/>
      </c>
      <c r="T74" s="7" t="str">
        <f t="shared" si="4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9" t="str">
        <f t="array" ref="Q75">XLOOKUP(L75,'Dados Funil'!A:A,'Dados Funil'!AN:AN,"")</f>
        <v/>
      </c>
      <c r="T75" s="7" t="str">
        <f t="shared" si="4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9" t="str">
        <f t="array" ref="Q76">XLOOKUP(L76,'Dados Funil'!A:A,'Dados Funil'!AN:AN,"")</f>
        <v/>
      </c>
      <c r="T76" s="7" t="str">
        <f t="shared" si="4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9" t="str">
        <f t="array" ref="Q77">XLOOKUP(L77,'Dados Funil'!A:A,'Dados Funil'!AN:AN,"")</f>
        <v/>
      </c>
      <c r="T77" s="7" t="str">
        <f t="shared" si="4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9" t="str">
        <f t="array" ref="Q78">XLOOKUP(L78,'Dados Funil'!A:A,'Dados Funil'!AN:AN,"")</f>
        <v/>
      </c>
      <c r="T78" s="7" t="str">
        <f t="shared" si="4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9" t="str">
        <f t="array" ref="Q79">XLOOKUP(L79,'Dados Funil'!A:A,'Dados Funil'!AN:AN,"")</f>
        <v/>
      </c>
      <c r="T79" s="7" t="str">
        <f t="shared" si="4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9" t="str">
        <f t="array" ref="Q80">XLOOKUP(L80,'Dados Funil'!A:A,'Dados Funil'!AN:AN,"")</f>
        <v/>
      </c>
      <c r="T80" s="7" t="str">
        <f t="shared" si="4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9" t="str">
        <f t="array" ref="Q81">XLOOKUP(L81,'Dados Funil'!A:A,'Dados Funil'!AN:AN,"")</f>
        <v/>
      </c>
      <c r="T81" s="7" t="str">
        <f t="shared" si="4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9" t="str">
        <f t="array" ref="Q82">XLOOKUP(L82,'Dados Funil'!A:A,'Dados Funil'!AN:AN,"")</f>
        <v/>
      </c>
      <c r="T82" s="7" t="str">
        <f t="shared" si="4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9" t="str">
        <f t="array" ref="Q83">XLOOKUP(L83,'Dados Funil'!A:A,'Dados Funil'!AN:AN,"")</f>
        <v/>
      </c>
      <c r="T83" s="7" t="str">
        <f t="shared" si="4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9" t="str">
        <f t="array" ref="Q84">XLOOKUP(L84,'Dados Funil'!A:A,'Dados Funil'!AN:AN,"")</f>
        <v/>
      </c>
      <c r="T84" s="7" t="str">
        <f t="shared" si="4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9" t="str">
        <f t="array" ref="Q85">XLOOKUP(L85,'Dados Funil'!A:A,'Dados Funil'!AN:AN,"")</f>
        <v/>
      </c>
      <c r="T85" s="7" t="str">
        <f t="shared" si="4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9" t="str">
        <f t="array" ref="Q86">XLOOKUP(L86,'Dados Funil'!A:A,'Dados Funil'!AN:AN,"")</f>
        <v/>
      </c>
      <c r="T86" s="7" t="str">
        <f t="shared" si="4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9" t="str">
        <f t="array" ref="Q87">XLOOKUP(L87,'Dados Funil'!A:A,'Dados Funil'!AN:AN,"")</f>
        <v/>
      </c>
      <c r="T87" s="7" t="str">
        <f t="shared" si="4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9" t="str">
        <f t="array" ref="Q88">XLOOKUP(L88,'Dados Funil'!A:A,'Dados Funil'!AN:AN,"")</f>
        <v/>
      </c>
      <c r="T88" s="7" t="str">
        <f t="shared" si="4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9" t="str">
        <f t="array" ref="Q89">XLOOKUP(L89,'Dados Funil'!A:A,'Dados Funil'!AN:AN,"")</f>
        <v/>
      </c>
      <c r="T89" s="7" t="str">
        <f t="shared" si="4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9" t="str">
        <f t="array" ref="Q90">XLOOKUP(L90,'Dados Funil'!A:A,'Dados Funil'!AN:AN,"")</f>
        <v/>
      </c>
      <c r="T90" s="7" t="str">
        <f t="shared" si="4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9" t="str">
        <f t="array" ref="Q91">XLOOKUP(L91,'Dados Funil'!A:A,'Dados Funil'!AN:AN,"")</f>
        <v/>
      </c>
      <c r="T91" s="7" t="str">
        <f t="shared" si="4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9" t="str">
        <f t="array" ref="Q92">XLOOKUP(L92,'Dados Funil'!A:A,'Dados Funil'!AN:AN,"")</f>
        <v/>
      </c>
      <c r="T92" s="7" t="str">
        <f t="shared" si="4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9" t="str">
        <f t="array" ref="Q93">XLOOKUP(L93,'Dados Funil'!A:A,'Dados Funil'!AN:AN,"")</f>
        <v/>
      </c>
      <c r="T93" s="7" t="str">
        <f t="shared" si="4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9" t="str">
        <f t="array" ref="Q94">XLOOKUP(L94,'Dados Funil'!A:A,'Dados Funil'!AN:AN,"")</f>
        <v/>
      </c>
      <c r="T94" s="7" t="str">
        <f t="shared" si="4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9" t="str">
        <f t="array" ref="Q95">XLOOKUP(L95,'Dados Funil'!A:A,'Dados Funil'!AN:AN,"")</f>
        <v/>
      </c>
      <c r="T95" s="7" t="str">
        <f t="shared" si="4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9" t="str">
        <f t="array" ref="Q96">XLOOKUP(L96,'Dados Funil'!A:A,'Dados Funil'!AN:AN,"")</f>
        <v/>
      </c>
      <c r="T96" s="7" t="str">
        <f t="shared" si="4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9" t="str">
        <f t="array" ref="Q97">XLOOKUP(L97,'Dados Funil'!A:A,'Dados Funil'!AN:AN,"")</f>
        <v/>
      </c>
      <c r="T97" s="7" t="str">
        <f t="shared" si="4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9" t="str">
        <f t="array" ref="Q98">XLOOKUP(L98,'Dados Funil'!A:A,'Dados Funil'!AN:AN,"")</f>
        <v/>
      </c>
      <c r="T98" s="7" t="str">
        <f t="shared" si="4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9" t="str">
        <f t="array" ref="Q99">XLOOKUP(L99,'Dados Funil'!A:A,'Dados Funil'!AN:AN,"")</f>
        <v/>
      </c>
      <c r="T99" s="7" t="str">
        <f t="shared" si="4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9" t="str">
        <f t="array" ref="Q100">XLOOKUP(L100,'Dados Funil'!A:A,'Dados Funil'!AN:AN,"")</f>
        <v/>
      </c>
      <c r="T100" s="7" t="str">
        <f t="shared" si="4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9" t="str">
        <f t="array" ref="Q101">XLOOKUP(L101,'Dados Funil'!A:A,'Dados Funil'!AN:AN,"")</f>
        <v/>
      </c>
      <c r="T101" s="7" t="str">
        <f t="shared" si="4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9" t="str">
        <f t="array" ref="Q102">XLOOKUP(L102,'Dados Funil'!A:A,'Dados Funil'!AN:AN,"")</f>
        <v/>
      </c>
      <c r="T102" s="7" t="str">
        <f t="shared" si="4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9" t="str">
        <f t="array" ref="Q103">XLOOKUP(L103,'Dados Funil'!A:A,'Dados Funil'!AN:AN,"")</f>
        <v/>
      </c>
      <c r="T103" s="7" t="str">
        <f t="shared" si="4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9" t="str">
        <f t="array" ref="Q104">XLOOKUP(L104,'Dados Funil'!A:A,'Dados Funil'!AN:AN,"")</f>
        <v/>
      </c>
      <c r="T104" s="7" t="str">
        <f t="shared" si="4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9" t="str">
        <f t="array" ref="Q105">XLOOKUP(L105,'Dados Funil'!A:A,'Dados Funil'!AN:AN,"")</f>
        <v/>
      </c>
      <c r="T105" s="7" t="str">
        <f t="shared" si="4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9" t="str">
        <f t="array" ref="Q106">XLOOKUP(L106,'Dados Funil'!A:A,'Dados Funil'!AN:AN,"")</f>
        <v/>
      </c>
      <c r="T106" s="7" t="str">
        <f t="shared" si="4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9" t="str">
        <f t="array" ref="Q107">XLOOKUP(L107,'Dados Funil'!A:A,'Dados Funil'!AN:AN,"")</f>
        <v/>
      </c>
      <c r="T107" s="7" t="str">
        <f t="shared" si="4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9" t="str">
        <f t="array" ref="Q108">XLOOKUP(L108,'Dados Funil'!A:A,'Dados Funil'!AN:AN,"")</f>
        <v/>
      </c>
      <c r="T108" s="7" t="str">
        <f t="shared" si="4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9" t="str">
        <f t="array" ref="Q109">XLOOKUP(L109,'Dados Funil'!A:A,'Dados Funil'!AN:AN,"")</f>
        <v/>
      </c>
      <c r="T109" s="7" t="str">
        <f t="shared" si="4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9" t="str">
        <f t="array" ref="Q110">XLOOKUP(L110,'Dados Funil'!A:A,'Dados Funil'!AN:AN,"")</f>
        <v/>
      </c>
      <c r="T110" s="7" t="str">
        <f t="shared" si="4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9" t="str">
        <f t="array" ref="Q111">XLOOKUP(L111,'Dados Funil'!A:A,'Dados Funil'!AN:AN,"")</f>
        <v/>
      </c>
      <c r="T111" s="7" t="str">
        <f t="shared" si="4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9" t="str">
        <f t="array" ref="Q112">XLOOKUP(L112,'Dados Funil'!A:A,'Dados Funil'!AN:AN,"")</f>
        <v/>
      </c>
      <c r="T112" s="7" t="str">
        <f t="shared" si="4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9" t="str">
        <f t="array" ref="Q113">XLOOKUP(L113,'Dados Funil'!A:A,'Dados Funil'!AN:AN,"")</f>
        <v/>
      </c>
      <c r="T113" s="7" t="str">
        <f t="shared" si="4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9" t="str">
        <f t="array" ref="Q114">XLOOKUP(L114,'Dados Funil'!A:A,'Dados Funil'!AN:AN,"")</f>
        <v/>
      </c>
      <c r="T114" s="7" t="str">
        <f t="shared" si="4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9" t="str">
        <f t="array" ref="Q115">XLOOKUP(L115,'Dados Funil'!A:A,'Dados Funil'!AN:AN,"")</f>
        <v/>
      </c>
      <c r="T115" s="7" t="str">
        <f t="shared" si="4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9" t="str">
        <f t="array" ref="Q116">XLOOKUP(L116,'Dados Funil'!A:A,'Dados Funil'!AN:AN,"")</f>
        <v/>
      </c>
      <c r="T116" s="7" t="str">
        <f t="shared" si="4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9" t="str">
        <f t="array" ref="Q117">XLOOKUP(L117,'Dados Funil'!A:A,'Dados Funil'!AN:AN,"")</f>
        <v/>
      </c>
      <c r="T117" s="7" t="str">
        <f t="shared" si="4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9" t="str">
        <f t="array" ref="Q118">XLOOKUP(L118,'Dados Funil'!A:A,'Dados Funil'!AN:AN,"")</f>
        <v/>
      </c>
      <c r="T118" s="7" t="str">
        <f t="shared" si="4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9" t="str">
        <f t="array" ref="Q119">XLOOKUP(L119,'Dados Funil'!A:A,'Dados Funil'!AN:AN,"")</f>
        <v/>
      </c>
      <c r="T119" s="7" t="str">
        <f t="shared" si="4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9" t="str">
        <f t="array" ref="Q120">XLOOKUP(L120,'Dados Funil'!A:A,'Dados Funil'!AN:AN,"")</f>
        <v/>
      </c>
      <c r="T120" s="7" t="str">
        <f t="shared" si="4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9" t="str">
        <f t="array" ref="Q121">XLOOKUP(L121,'Dados Funil'!A:A,'Dados Funil'!AN:AN,"")</f>
        <v/>
      </c>
      <c r="T121" s="7" t="str">
        <f t="shared" si="4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9" t="str">
        <f t="array" ref="Q122">XLOOKUP(L122,'Dados Funil'!A:A,'Dados Funil'!AN:AN,"")</f>
        <v/>
      </c>
      <c r="T122" s="7" t="str">
        <f t="shared" si="4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9" t="str">
        <f t="array" ref="Q123">XLOOKUP(L123,'Dados Funil'!A:A,'Dados Funil'!AN:AN,"")</f>
        <v/>
      </c>
      <c r="T123" s="7" t="str">
        <f t="shared" si="4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9" t="str">
        <f t="array" ref="Q124">XLOOKUP(L124,'Dados Funil'!A:A,'Dados Funil'!AN:AN,"")</f>
        <v/>
      </c>
      <c r="T124" s="7" t="str">
        <f t="shared" si="4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9" t="str">
        <f t="array" ref="Q125">XLOOKUP(L125,'Dados Funil'!A:A,'Dados Funil'!AN:AN,"")</f>
        <v/>
      </c>
      <c r="T125" s="7" t="str">
        <f t="shared" si="4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9" t="str">
        <f t="array" ref="Q126">XLOOKUP(L126,'Dados Funil'!A:A,'Dados Funil'!AN:AN,"")</f>
        <v/>
      </c>
      <c r="T126" s="7" t="str">
        <f t="shared" si="4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9" t="str">
        <f t="array" ref="Q127">XLOOKUP(L127,'Dados Funil'!A:A,'Dados Funil'!AN:AN,"")</f>
        <v/>
      </c>
      <c r="T127" s="7" t="str">
        <f t="shared" si="4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9" t="str">
        <f t="array" ref="Q128">XLOOKUP(L128,'Dados Funil'!A:A,'Dados Funil'!AN:AN,"")</f>
        <v/>
      </c>
      <c r="T128" s="7" t="str">
        <f t="shared" si="4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9" t="str">
        <f t="array" ref="Q129">XLOOKUP(L129,'Dados Funil'!A:A,'Dados Funil'!AN:AN,"")</f>
        <v/>
      </c>
      <c r="T129" s="7" t="str">
        <f t="shared" si="4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9" t="str">
        <f t="array" ref="Q130">XLOOKUP(L130,'Dados Funil'!A:A,'Dados Funil'!AN:AN,"")</f>
        <v/>
      </c>
      <c r="T130" s="7" t="str">
        <f t="shared" si="4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9" t="str">
        <f t="array" ref="Q131">XLOOKUP(L131,'Dados Funil'!A:A,'Dados Funil'!AN:AN,"")</f>
        <v/>
      </c>
      <c r="T131" s="7" t="str">
        <f t="shared" si="4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9" t="str">
        <f t="array" ref="Q132">XLOOKUP(L132,'Dados Funil'!A:A,'Dados Funil'!AN:AN,"")</f>
        <v/>
      </c>
      <c r="T132" s="7" t="str">
        <f t="shared" si="4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9" t="str">
        <f t="array" ref="Q133">XLOOKUP(L133,'Dados Funil'!A:A,'Dados Funil'!AN:AN,"")</f>
        <v/>
      </c>
      <c r="T133" s="7" t="str">
        <f t="shared" si="4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9" t="str">
        <f t="array" ref="Q134">XLOOKUP(L134,'Dados Funil'!A:A,'Dados Funil'!AN:AN,"")</f>
        <v/>
      </c>
      <c r="T134" s="7" t="str">
        <f t="shared" si="4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9" t="str">
        <f t="array" ref="Q135">XLOOKUP(L135,'Dados Funil'!A:A,'Dados Funil'!AN:AN,"")</f>
        <v/>
      </c>
      <c r="T135" s="7" t="str">
        <f t="shared" si="4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9" t="str">
        <f t="array" ref="Q136">XLOOKUP(L136,'Dados Funil'!A:A,'Dados Funil'!AN:AN,"")</f>
        <v/>
      </c>
      <c r="T136" s="7" t="str">
        <f t="shared" si="4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9" t="str">
        <f t="array" ref="Q137">XLOOKUP(L137,'Dados Funil'!A:A,'Dados Funil'!AN:AN,"")</f>
        <v/>
      </c>
      <c r="T137" s="7" t="str">
        <f t="shared" si="4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9" t="str">
        <f t="array" ref="Q138">XLOOKUP(L138,'Dados Funil'!A:A,'Dados Funil'!AN:AN,"")</f>
        <v/>
      </c>
      <c r="T138" s="7" t="str">
        <f t="shared" si="4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9" t="str">
        <f t="array" ref="Q139">XLOOKUP(L139,'Dados Funil'!A:A,'Dados Funil'!AN:AN,"")</f>
        <v/>
      </c>
      <c r="T139" s="7" t="str">
        <f t="shared" si="4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9" t="str">
        <f t="array" ref="Q140">XLOOKUP(L140,'Dados Funil'!A:A,'Dados Funil'!AN:AN,"")</f>
        <v/>
      </c>
      <c r="T140" s="7" t="str">
        <f t="shared" si="4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9" t="str">
        <f t="array" ref="Q141">XLOOKUP(L141,'Dados Funil'!A:A,'Dados Funil'!AN:AN,"")</f>
        <v/>
      </c>
      <c r="T141" s="7" t="str">
        <f t="shared" si="4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9" t="str">
        <f t="array" ref="Q142">XLOOKUP(L142,'Dados Funil'!A:A,'Dados Funil'!AN:AN,"")</f>
        <v/>
      </c>
      <c r="T142" s="7" t="str">
        <f t="shared" si="4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9" t="str">
        <f t="array" ref="Q143">XLOOKUP(L143,'Dados Funil'!A:A,'Dados Funil'!AN:AN,"")</f>
        <v/>
      </c>
      <c r="T143" s="7" t="str">
        <f t="shared" si="4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9" t="str">
        <f t="array" ref="Q144">XLOOKUP(L144,'Dados Funil'!A:A,'Dados Funil'!AN:AN,"")</f>
        <v/>
      </c>
      <c r="T144" s="7" t="str">
        <f t="shared" si="4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9" t="str">
        <f t="array" ref="Q145">XLOOKUP(L145,'Dados Funil'!A:A,'Dados Funil'!AN:AN,"")</f>
        <v/>
      </c>
      <c r="T145" s="7" t="str">
        <f t="shared" si="4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9" t="str">
        <f t="array" ref="Q146">XLOOKUP(L146,'Dados Funil'!A:A,'Dados Funil'!AN:AN,"")</f>
        <v/>
      </c>
      <c r="T146" s="7" t="str">
        <f t="shared" si="4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9" t="str">
        <f t="array" ref="Q147">XLOOKUP(L147,'Dados Funil'!A:A,'Dados Funil'!AN:AN,"")</f>
        <v/>
      </c>
      <c r="T147" s="7" t="str">
        <f t="shared" si="4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9" t="str">
        <f t="array" ref="Q148">XLOOKUP(L148,'Dados Funil'!A:A,'Dados Funil'!AN:AN,"")</f>
        <v/>
      </c>
      <c r="T148" s="7" t="str">
        <f t="shared" si="4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9" t="str">
        <f t="array" ref="Q149">XLOOKUP(L149,'Dados Funil'!A:A,'Dados Funil'!AN:AN,"")</f>
        <v/>
      </c>
      <c r="T149" s="7" t="str">
        <f t="shared" si="4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9" t="str">
        <f t="array" ref="Q150">XLOOKUP(L150,'Dados Funil'!A:A,'Dados Funil'!AN:AN,"")</f>
        <v/>
      </c>
      <c r="T150" s="7" t="str">
        <f t="shared" si="4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9" t="str">
        <f t="array" ref="Q151">XLOOKUP(L151,'Dados Funil'!A:A,'Dados Funil'!AN:AN,"")</f>
        <v/>
      </c>
      <c r="T151" s="7" t="str">
        <f t="shared" si="4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9" t="str">
        <f t="array" ref="Q152">XLOOKUP(L152,'Dados Funil'!A:A,'Dados Funil'!AN:AN,"")</f>
        <v/>
      </c>
      <c r="T152" s="7" t="str">
        <f t="shared" si="4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9" t="str">
        <f t="array" ref="Q153">XLOOKUP(L153,'Dados Funil'!A:A,'Dados Funil'!AN:AN,"")</f>
        <v/>
      </c>
      <c r="T153" s="7" t="str">
        <f t="shared" si="4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9" t="str">
        <f t="array" ref="Q154">XLOOKUP(L154,'Dados Funil'!A:A,'Dados Funil'!AN:AN,"")</f>
        <v/>
      </c>
      <c r="T154" s="7" t="str">
        <f t="shared" si="4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9" t="str">
        <f t="array" ref="Q155">XLOOKUP(L155,'Dados Funil'!A:A,'Dados Funil'!AN:AN,"")</f>
        <v/>
      </c>
      <c r="T155" s="7" t="str">
        <f t="shared" si="4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9" t="str">
        <f t="array" ref="Q156">XLOOKUP(L156,'Dados Funil'!A:A,'Dados Funil'!AN:AN,"")</f>
        <v/>
      </c>
      <c r="T156" s="7" t="str">
        <f t="shared" si="4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9" t="str">
        <f t="array" ref="Q157">XLOOKUP(L157,'Dados Funil'!A:A,'Dados Funil'!AN:AN,"")</f>
        <v/>
      </c>
      <c r="T157" s="7" t="str">
        <f t="shared" si="4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9" t="str">
        <f t="array" ref="Q158">XLOOKUP(L158,'Dados Funil'!A:A,'Dados Funil'!AN:AN,"")</f>
        <v/>
      </c>
      <c r="T158" s="7" t="str">
        <f t="shared" si="4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9" t="str">
        <f t="array" ref="Q159">XLOOKUP(L159,'Dados Funil'!A:A,'Dados Funil'!AN:AN,"")</f>
        <v/>
      </c>
      <c r="T159" s="7" t="str">
        <f t="shared" si="4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9" t="str">
        <f t="array" ref="Q160">XLOOKUP(L160,'Dados Funil'!A:A,'Dados Funil'!AN:AN,"")</f>
        <v/>
      </c>
      <c r="T160" s="7" t="str">
        <f t="shared" si="4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9" t="str">
        <f t="array" ref="Q161">XLOOKUP(L161,'Dados Funil'!A:A,'Dados Funil'!AN:AN,"")</f>
        <v/>
      </c>
      <c r="T161" s="7" t="str">
        <f t="shared" si="4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9" t="str">
        <f t="array" ref="Q162">XLOOKUP(L162,'Dados Funil'!A:A,'Dados Funil'!AN:AN,"")</f>
        <v/>
      </c>
      <c r="T162" s="7" t="str">
        <f t="shared" si="4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9" t="str">
        <f t="array" ref="Q163">XLOOKUP(L163,'Dados Funil'!A:A,'Dados Funil'!AN:AN,"")</f>
        <v/>
      </c>
      <c r="T163" s="7" t="str">
        <f t="shared" si="4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9" t="str">
        <f t="array" ref="Q164">XLOOKUP(L164,'Dados Funil'!A:A,'Dados Funil'!AN:AN,"")</f>
        <v/>
      </c>
      <c r="T164" s="7" t="str">
        <f t="shared" si="4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9" t="str">
        <f t="array" ref="Q165">XLOOKUP(L165,'Dados Funil'!A:A,'Dados Funil'!AN:AN,"")</f>
        <v/>
      </c>
      <c r="T165" s="7" t="str">
        <f t="shared" si="4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9" t="str">
        <f t="array" ref="Q166">XLOOKUP(L166,'Dados Funil'!A:A,'Dados Funil'!AN:AN,"")</f>
        <v/>
      </c>
      <c r="T166" s="7" t="str">
        <f t="shared" si="4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9" t="str">
        <f t="array" ref="Q167">XLOOKUP(L167,'Dados Funil'!A:A,'Dados Funil'!AN:AN,"")</f>
        <v/>
      </c>
      <c r="T167" s="7" t="str">
        <f t="shared" si="4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9" t="str">
        <f t="array" ref="Q168">XLOOKUP(L168,'Dados Funil'!A:A,'Dados Funil'!AN:AN,"")</f>
        <v/>
      </c>
      <c r="T168" s="7" t="str">
        <f t="shared" si="4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9" t="str">
        <f t="array" ref="Q169">XLOOKUP(L169,'Dados Funil'!A:A,'Dados Funil'!AN:AN,"")</f>
        <v/>
      </c>
      <c r="T169" s="7" t="str">
        <f t="shared" si="4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9" t="str">
        <f t="array" ref="Q170">XLOOKUP(L170,'Dados Funil'!A:A,'Dados Funil'!AN:AN,"")</f>
        <v/>
      </c>
      <c r="T170" s="7" t="str">
        <f t="shared" si="4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9" t="str">
        <f t="array" ref="Q171">XLOOKUP(L171,'Dados Funil'!A:A,'Dados Funil'!AN:AN,"")</f>
        <v/>
      </c>
      <c r="T171" s="7" t="str">
        <f t="shared" si="4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9" t="str">
        <f t="array" ref="Q172">XLOOKUP(L172,'Dados Funil'!A:A,'Dados Funil'!AN:AN,"")</f>
        <v/>
      </c>
      <c r="T172" s="7" t="str">
        <f t="shared" si="4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9" t="str">
        <f t="array" ref="Q173">XLOOKUP(L173,'Dados Funil'!A:A,'Dados Funil'!AN:AN,"")</f>
        <v/>
      </c>
      <c r="T173" s="7" t="str">
        <f t="shared" si="4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9" t="str">
        <f t="array" ref="Q174">XLOOKUP(L174,'Dados Funil'!A:A,'Dados Funil'!AN:AN,"")</f>
        <v/>
      </c>
      <c r="T174" s="7" t="str">
        <f t="shared" si="4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9" t="str">
        <f t="array" ref="Q175">XLOOKUP(L175,'Dados Funil'!A:A,'Dados Funil'!AN:AN,"")</f>
        <v/>
      </c>
      <c r="T175" s="7" t="str">
        <f t="shared" si="4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9" t="str">
        <f t="array" ref="Q176">XLOOKUP(L176,'Dados Funil'!A:A,'Dados Funil'!AN:AN,"")</f>
        <v/>
      </c>
      <c r="T176" s="7" t="str">
        <f t="shared" si="4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9" t="str">
        <f t="array" ref="Q177">XLOOKUP(L177,'Dados Funil'!A:A,'Dados Funil'!AN:AN,"")</f>
        <v/>
      </c>
      <c r="T177" s="7" t="str">
        <f t="shared" si="4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9" t="str">
        <f t="array" ref="Q178">XLOOKUP(L178,'Dados Funil'!A:A,'Dados Funil'!AN:AN,"")</f>
        <v/>
      </c>
      <c r="T178" s="7" t="str">
        <f t="shared" si="4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9" t="str">
        <f t="array" ref="Q179">XLOOKUP(L179,'Dados Funil'!A:A,'Dados Funil'!AN:AN,"")</f>
        <v/>
      </c>
      <c r="T179" s="7" t="str">
        <f t="shared" si="4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9" t="str">
        <f t="array" ref="Q180">XLOOKUP(L180,'Dados Funil'!A:A,'Dados Funil'!AN:AN,"")</f>
        <v/>
      </c>
      <c r="T180" s="7" t="str">
        <f t="shared" si="4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9" t="str">
        <f t="array" ref="Q181">XLOOKUP(L181,'Dados Funil'!A:A,'Dados Funil'!AN:AN,"")</f>
        <v/>
      </c>
      <c r="T181" s="7" t="str">
        <f t="shared" si="4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9" t="str">
        <f t="array" ref="Q182">XLOOKUP(L182,'Dados Funil'!A:A,'Dados Funil'!AN:AN,"")</f>
        <v/>
      </c>
      <c r="T182" s="7" t="str">
        <f t="shared" si="4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9" t="str">
        <f t="array" ref="Q183">XLOOKUP(L183,'Dados Funil'!A:A,'Dados Funil'!AN:AN,"")</f>
        <v/>
      </c>
      <c r="T183" s="7" t="str">
        <f t="shared" si="4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9" t="str">
        <f t="array" ref="Q184">XLOOKUP(L184,'Dados Funil'!A:A,'Dados Funil'!AN:AN,"")</f>
        <v/>
      </c>
      <c r="T184" s="7" t="str">
        <f t="shared" si="4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9" t="str">
        <f t="array" ref="Q185">XLOOKUP(L185,'Dados Funil'!A:A,'Dados Funil'!AN:AN,"")</f>
        <v/>
      </c>
      <c r="T185" s="7" t="str">
        <f t="shared" si="4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9" t="str">
        <f t="array" ref="Q186">XLOOKUP(L186,'Dados Funil'!A:A,'Dados Funil'!AN:AN,"")</f>
        <v/>
      </c>
      <c r="T186" s="7" t="str">
        <f t="shared" si="4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9" t="str">
        <f t="array" ref="Q187">XLOOKUP(L187,'Dados Funil'!A:A,'Dados Funil'!AN:AN,"")</f>
        <v/>
      </c>
      <c r="T187" s="7" t="str">
        <f t="shared" si="4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9" t="str">
        <f t="array" ref="Q188">XLOOKUP(L188,'Dados Funil'!A:A,'Dados Funil'!AN:AN,"")</f>
        <v/>
      </c>
      <c r="T188" s="7" t="str">
        <f t="shared" si="4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9" t="str">
        <f t="array" ref="Q189">XLOOKUP(L189,'Dados Funil'!A:A,'Dados Funil'!AN:AN,"")</f>
        <v/>
      </c>
      <c r="T189" s="7" t="str">
        <f t="shared" si="4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9" t="str">
        <f t="array" ref="Q190">XLOOKUP(L190,'Dados Funil'!A:A,'Dados Funil'!AN:AN,"")</f>
        <v/>
      </c>
      <c r="T190" s="7" t="str">
        <f t="shared" si="4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9" t="str">
        <f t="array" ref="Q191">XLOOKUP(L191,'Dados Funil'!A:A,'Dados Funil'!AN:AN,"")</f>
        <v/>
      </c>
      <c r="T191" s="7" t="str">
        <f t="shared" si="4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9" t="str">
        <f t="array" ref="Q192">XLOOKUP(L192,'Dados Funil'!A:A,'Dados Funil'!AN:AN,"")</f>
        <v/>
      </c>
      <c r="T192" s="7" t="str">
        <f t="shared" si="4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9" t="str">
        <f t="array" ref="Q193">XLOOKUP(L193,'Dados Funil'!A:A,'Dados Funil'!AN:AN,"")</f>
        <v/>
      </c>
      <c r="T193" s="7" t="str">
        <f t="shared" si="4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9" t="str">
        <f t="array" ref="Q194">XLOOKUP(L194,'Dados Funil'!A:A,'Dados Funil'!AN:AN,"")</f>
        <v/>
      </c>
      <c r="T194" s="7" t="str">
        <f t="shared" si="4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9" t="str">
        <f t="array" ref="Q195">XLOOKUP(L195,'Dados Funil'!A:A,'Dados Funil'!AN:AN,"")</f>
        <v/>
      </c>
      <c r="T195" s="7" t="str">
        <f t="shared" si="4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9" t="str">
        <f t="array" ref="Q196">XLOOKUP(L196,'Dados Funil'!A:A,'Dados Funil'!AN:AN,"")</f>
        <v/>
      </c>
      <c r="T196" s="7" t="str">
        <f t="shared" si="4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9" t="str">
        <f t="array" ref="Q197">XLOOKUP(L197,'Dados Funil'!A:A,'Dados Funil'!AN:AN,"")</f>
        <v/>
      </c>
      <c r="T197" s="7" t="str">
        <f t="shared" si="4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9" t="str">
        <f t="array" ref="Q198">XLOOKUP(L198,'Dados Funil'!A:A,'Dados Funil'!AN:AN,"")</f>
        <v/>
      </c>
      <c r="T198" s="7" t="str">
        <f t="shared" si="4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9" t="str">
        <f t="array" ref="Q199">XLOOKUP(L199,'Dados Funil'!A:A,'Dados Funil'!AN:AN,"")</f>
        <v/>
      </c>
      <c r="T199" s="7" t="str">
        <f t="shared" si="4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9" t="str">
        <f t="array" ref="Q200">XLOOKUP(L200,'Dados Funil'!A:A,'Dados Funil'!AN:AN,"")</f>
        <v/>
      </c>
      <c r="T200" s="7" t="str">
        <f t="shared" si="4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9" t="str">
        <f t="array" ref="Q201">XLOOKUP(L201,'Dados Funil'!A:A,'Dados Funil'!AN:AN,"")</f>
        <v/>
      </c>
      <c r="T201" s="7" t="str">
        <f t="shared" si="4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9" t="str">
        <f t="array" ref="Q202">XLOOKUP(L202,'Dados Funil'!A:A,'Dados Funil'!AN:AN,"")</f>
        <v/>
      </c>
      <c r="T202" s="7" t="str">
        <f t="shared" si="4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9" t="str">
        <f t="array" ref="Q203">XLOOKUP(L203,'Dados Funil'!A:A,'Dados Funil'!AN:AN,"")</f>
        <v/>
      </c>
      <c r="T203" s="7" t="str">
        <f t="shared" si="4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9" t="str">
        <f t="array" ref="Q204">XLOOKUP(L204,'Dados Funil'!A:A,'Dados Funil'!AN:AN,"")</f>
        <v/>
      </c>
      <c r="T204" s="7" t="str">
        <f t="shared" si="4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9" t="str">
        <f t="array" ref="Q205">XLOOKUP(L205,'Dados Funil'!A:A,'Dados Funil'!AN:AN,"")</f>
        <v/>
      </c>
      <c r="T205" s="7" t="str">
        <f t="shared" si="4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9" t="str">
        <f t="array" ref="Q206">XLOOKUP(L206,'Dados Funil'!A:A,'Dados Funil'!AN:AN,"")</f>
        <v/>
      </c>
      <c r="T206" s="7" t="str">
        <f t="shared" si="4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9" t="str">
        <f t="array" ref="Q207">XLOOKUP(L207,'Dados Funil'!A:A,'Dados Funil'!AN:AN,"")</f>
        <v/>
      </c>
      <c r="T207" s="7" t="str">
        <f t="shared" si="4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9" t="str">
        <f t="array" ref="Q208">XLOOKUP(L208,'Dados Funil'!A:A,'Dados Funil'!AN:AN,"")</f>
        <v/>
      </c>
      <c r="T208" s="7" t="str">
        <f t="shared" si="4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9" t="str">
        <f t="array" ref="Q209">XLOOKUP(L209,'Dados Funil'!A:A,'Dados Funil'!AN:AN,"")</f>
        <v/>
      </c>
      <c r="T209" s="7" t="str">
        <f t="shared" si="4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9" t="str">
        <f t="array" ref="Q210">XLOOKUP(L210,'Dados Funil'!A:A,'Dados Funil'!AN:AN,"")</f>
        <v/>
      </c>
      <c r="T210" s="7" t="str">
        <f t="shared" si="4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9" t="str">
        <f t="array" ref="Q211">XLOOKUP(L211,'Dados Funil'!A:A,'Dados Funil'!AN:AN,"")</f>
        <v/>
      </c>
      <c r="T211" s="7" t="str">
        <f t="shared" si="4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9" t="str">
        <f t="array" ref="Q212">XLOOKUP(L212,'Dados Funil'!A:A,'Dados Funil'!AN:AN,"")</f>
        <v/>
      </c>
      <c r="T212" s="7" t="str">
        <f t="shared" si="4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9" t="str">
        <f t="array" ref="Q213">XLOOKUP(L213,'Dados Funil'!A:A,'Dados Funil'!AN:AN,"")</f>
        <v/>
      </c>
      <c r="T213" s="7" t="str">
        <f t="shared" si="4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9" t="str">
        <f t="array" ref="Q214">XLOOKUP(L214,'Dados Funil'!A:A,'Dados Funil'!AN:AN,"")</f>
        <v/>
      </c>
      <c r="T214" s="7" t="str">
        <f t="shared" si="4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9" t="str">
        <f t="array" ref="Q215">XLOOKUP(L215,'Dados Funil'!A:A,'Dados Funil'!AN:AN,"")</f>
        <v/>
      </c>
      <c r="T215" s="7" t="str">
        <f t="shared" si="4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9" t="str">
        <f t="array" ref="Q216">XLOOKUP(L216,'Dados Funil'!A:A,'Dados Funil'!AN:AN,"")</f>
        <v/>
      </c>
      <c r="T216" s="7" t="str">
        <f t="shared" si="4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9" t="str">
        <f t="array" ref="Q217">XLOOKUP(L217,'Dados Funil'!A:A,'Dados Funil'!AN:AN,"")</f>
        <v/>
      </c>
      <c r="T217" s="7" t="str">
        <f t="shared" si="4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9" t="str">
        <f t="array" ref="Q218">XLOOKUP(L218,'Dados Funil'!A:A,'Dados Funil'!AN:AN,"")</f>
        <v/>
      </c>
      <c r="T218" s="7" t="str">
        <f t="shared" si="4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9" t="str">
        <f t="array" ref="Q219">XLOOKUP(L219,'Dados Funil'!A:A,'Dados Funil'!AN:AN,"")</f>
        <v/>
      </c>
      <c r="T219" s="7" t="str">
        <f t="shared" si="4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9" t="str">
        <f t="array" ref="Q220">XLOOKUP(L220,'Dados Funil'!A:A,'Dados Funil'!AN:AN,"")</f>
        <v/>
      </c>
      <c r="T220" s="7" t="str">
        <f t="shared" si="4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9" t="str">
        <f t="array" ref="Q221">XLOOKUP(L221,'Dados Funil'!A:A,'Dados Funil'!AN:AN,"")</f>
        <v/>
      </c>
      <c r="T221" s="7" t="str">
        <f t="shared" si="4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9" t="str">
        <f t="array" ref="Q222">XLOOKUP(L222,'Dados Funil'!A:A,'Dados Funil'!AN:AN,"")</f>
        <v/>
      </c>
      <c r="T222" s="7" t="str">
        <f t="shared" si="4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9" t="str">
        <f t="array" ref="Q223">XLOOKUP(L223,'Dados Funil'!A:A,'Dados Funil'!AN:AN,"")</f>
        <v/>
      </c>
      <c r="T223" s="7" t="str">
        <f t="shared" si="4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9" t="str">
        <f t="array" ref="Q224">XLOOKUP(L224,'Dados Funil'!A:A,'Dados Funil'!AN:AN,"")</f>
        <v/>
      </c>
      <c r="T224" s="7" t="str">
        <f t="shared" si="4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9" t="str">
        <f t="array" ref="Q225">XLOOKUP(L225,'Dados Funil'!A:A,'Dados Funil'!AN:AN,"")</f>
        <v/>
      </c>
      <c r="T225" s="7" t="str">
        <f t="shared" si="4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9" t="str">
        <f t="array" ref="Q226">XLOOKUP(L226,'Dados Funil'!A:A,'Dados Funil'!AN:AN,"")</f>
        <v/>
      </c>
      <c r="T226" s="7" t="str">
        <f t="shared" si="4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9" t="str">
        <f t="array" ref="Q227">XLOOKUP(L227,'Dados Funil'!A:A,'Dados Funil'!AN:AN,"")</f>
        <v/>
      </c>
      <c r="T227" s="7" t="str">
        <f t="shared" si="4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9" t="str">
        <f t="array" ref="Q228">XLOOKUP(L228,'Dados Funil'!A:A,'Dados Funil'!AN:AN,"")</f>
        <v/>
      </c>
      <c r="T228" s="7" t="str">
        <f t="shared" si="4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9" t="str">
        <f t="array" ref="Q229">XLOOKUP(L229,'Dados Funil'!A:A,'Dados Funil'!AN:AN,"")</f>
        <v/>
      </c>
      <c r="T229" s="7" t="str">
        <f t="shared" si="4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9" t="str">
        <f t="array" ref="Q230">XLOOKUP(L230,'Dados Funil'!A:A,'Dados Funil'!AN:AN,"")</f>
        <v/>
      </c>
      <c r="T230" s="7" t="str">
        <f t="shared" si="4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9" t="str">
        <f t="array" ref="Q231">XLOOKUP(L231,'Dados Funil'!A:A,'Dados Funil'!AN:AN,"")</f>
        <v/>
      </c>
      <c r="T231" s="7" t="str">
        <f t="shared" si="4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9" t="str">
        <f t="array" ref="Q232">XLOOKUP(L232,'Dados Funil'!A:A,'Dados Funil'!AN:AN,"")</f>
        <v/>
      </c>
      <c r="T232" s="7" t="str">
        <f t="shared" si="4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9" t="str">
        <f t="array" ref="Q233">XLOOKUP(L233,'Dados Funil'!A:A,'Dados Funil'!AN:AN,"")</f>
        <v/>
      </c>
      <c r="T233" s="7" t="str">
        <f t="shared" si="4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9" t="str">
        <f t="array" ref="Q234">XLOOKUP(L234,'Dados Funil'!A:A,'Dados Funil'!AN:AN,"")</f>
        <v/>
      </c>
      <c r="T234" s="7" t="str">
        <f t="shared" si="4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9" t="str">
        <f t="array" ref="Q235">XLOOKUP(L235,'Dados Funil'!A:A,'Dados Funil'!AN:AN,"")</f>
        <v/>
      </c>
      <c r="T235" s="7" t="str">
        <f t="shared" si="4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9" t="str">
        <f t="array" ref="Q236">XLOOKUP(L236,'Dados Funil'!A:A,'Dados Funil'!AN:AN,"")</f>
        <v/>
      </c>
      <c r="T236" s="7" t="str">
        <f t="shared" si="4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9" t="str">
        <f t="array" ref="Q237">XLOOKUP(L237,'Dados Funil'!A:A,'Dados Funil'!AN:AN,"")</f>
        <v/>
      </c>
      <c r="T237" s="7" t="str">
        <f t="shared" si="4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9" t="str">
        <f t="array" ref="Q238">XLOOKUP(L238,'Dados Funil'!A:A,'Dados Funil'!AN:AN,"")</f>
        <v/>
      </c>
      <c r="T238" s="7" t="str">
        <f t="shared" si="4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9" t="str">
        <f t="array" ref="Q239">XLOOKUP(L239,'Dados Funil'!A:A,'Dados Funil'!AN:AN,"")</f>
        <v/>
      </c>
      <c r="T239" s="7" t="str">
        <f t="shared" si="4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9" t="str">
        <f t="array" ref="Q240">XLOOKUP(L240,'Dados Funil'!A:A,'Dados Funil'!AN:AN,"")</f>
        <v/>
      </c>
      <c r="T240" s="7" t="str">
        <f t="shared" si="4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9" t="str">
        <f t="array" ref="Q241">XLOOKUP(L241,'Dados Funil'!A:A,'Dados Funil'!AN:AN,"")</f>
        <v/>
      </c>
      <c r="T241" s="7" t="str">
        <f t="shared" si="4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9" t="str">
        <f t="array" ref="Q242">XLOOKUP(L242,'Dados Funil'!A:A,'Dados Funil'!AN:AN,"")</f>
        <v/>
      </c>
      <c r="T242" s="7" t="str">
        <f t="shared" si="4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9" t="str">
        <f t="array" ref="Q243">XLOOKUP(L243,'Dados Funil'!A:A,'Dados Funil'!AN:AN,"")</f>
        <v/>
      </c>
      <c r="T243" s="7" t="str">
        <f t="shared" si="4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9" t="str">
        <f t="array" ref="Q244">XLOOKUP(L244,'Dados Funil'!A:A,'Dados Funil'!AN:AN,"")</f>
        <v/>
      </c>
      <c r="T244" s="7" t="str">
        <f t="shared" si="4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9" t="str">
        <f t="array" ref="Q245">XLOOKUP(L245,'Dados Funil'!A:A,'Dados Funil'!AN:AN,"")</f>
        <v/>
      </c>
      <c r="T245" s="7" t="str">
        <f t="shared" si="4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9" t="str">
        <f t="array" ref="Q246">XLOOKUP(L246,'Dados Funil'!A:A,'Dados Funil'!AN:AN,"")</f>
        <v/>
      </c>
      <c r="T246" s="7" t="str">
        <f t="shared" si="4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9" t="str">
        <f t="array" ref="Q247">XLOOKUP(L247,'Dados Funil'!A:A,'Dados Funil'!AN:AN,"")</f>
        <v/>
      </c>
      <c r="T247" s="7" t="str">
        <f t="shared" si="4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9" t="str">
        <f t="array" ref="Q248">XLOOKUP(L248,'Dados Funil'!A:A,'Dados Funil'!AN:AN,"")</f>
        <v/>
      </c>
      <c r="T248" s="7" t="str">
        <f t="shared" si="4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9" t="str">
        <f t="array" ref="Q249">XLOOKUP(L249,'Dados Funil'!A:A,'Dados Funil'!AN:AN,"")</f>
        <v/>
      </c>
      <c r="T249" s="7" t="str">
        <f t="shared" si="4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9" t="str">
        <f t="array" ref="Q250">XLOOKUP(L250,'Dados Funil'!A:A,'Dados Funil'!AN:AN,"")</f>
        <v/>
      </c>
      <c r="T250" s="7" t="str">
        <f t="shared" si="4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9" t="str">
        <f t="array" ref="Q251">XLOOKUP(L251,'Dados Funil'!A:A,'Dados Funil'!AN:AN,"")</f>
        <v/>
      </c>
      <c r="T251" s="7" t="str">
        <f t="shared" si="4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9" t="str">
        <f t="array" ref="Q252">XLOOKUP(L252,'Dados Funil'!A:A,'Dados Funil'!AN:AN,"")</f>
        <v/>
      </c>
      <c r="T252" s="7" t="str">
        <f t="shared" si="4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9" t="str">
        <f t="array" ref="Q253">XLOOKUP(L253,'Dados Funil'!A:A,'Dados Funil'!AN:AN,"")</f>
        <v/>
      </c>
      <c r="T253" s="7" t="str">
        <f t="shared" si="4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9" t="str">
        <f t="array" ref="Q254">XLOOKUP(L254,'Dados Funil'!A:A,'Dados Funil'!AN:AN,"")</f>
        <v/>
      </c>
      <c r="T254" s="7" t="str">
        <f t="shared" si="4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9" t="str">
        <f t="array" ref="Q255">XLOOKUP(L255,'Dados Funil'!A:A,'Dados Funil'!AN:AN,"")</f>
        <v/>
      </c>
      <c r="T255" s="7" t="str">
        <f t="shared" si="4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9" t="str">
        <f t="array" ref="Q256">XLOOKUP(L256,'Dados Funil'!A:A,'Dados Funil'!AN:AN,"")</f>
        <v/>
      </c>
      <c r="T256" s="7" t="str">
        <f t="shared" si="4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9" t="str">
        <f t="array" ref="Q257">XLOOKUP(L257,'Dados Funil'!A:A,'Dados Funil'!AN:AN,"")</f>
        <v/>
      </c>
      <c r="T257" s="7" t="str">
        <f t="shared" si="4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9" t="str">
        <f t="array" ref="Q258">XLOOKUP(L258,'Dados Funil'!A:A,'Dados Funil'!AN:AN,"")</f>
        <v/>
      </c>
      <c r="T258" s="7" t="str">
        <f t="shared" si="4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9" t="str">
        <f t="array" ref="Q259">XLOOKUP(L259,'Dados Funil'!A:A,'Dados Funil'!AN:AN,"")</f>
        <v/>
      </c>
      <c r="T259" s="7" t="str">
        <f t="shared" si="4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9" t="str">
        <f t="array" ref="Q260">XLOOKUP(L260,'Dados Funil'!A:A,'Dados Funil'!AN:AN,"")</f>
        <v/>
      </c>
      <c r="T260" s="7" t="str">
        <f t="shared" si="4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9" t="str">
        <f t="array" ref="Q261">XLOOKUP(L261,'Dados Funil'!A:A,'Dados Funil'!AN:AN,"")</f>
        <v/>
      </c>
      <c r="T261" s="7" t="str">
        <f t="shared" si="4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9" t="str">
        <f t="array" ref="Q262">XLOOKUP(L262,'Dados Funil'!A:A,'Dados Funil'!AN:AN,"")</f>
        <v/>
      </c>
      <c r="T262" s="7" t="str">
        <f t="shared" si="4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9" t="str">
        <f t="array" ref="Q263">XLOOKUP(L263,'Dados Funil'!A:A,'Dados Funil'!AN:AN,"")</f>
        <v/>
      </c>
      <c r="T263" s="7" t="str">
        <f t="shared" si="4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9" t="str">
        <f t="array" ref="Q264">XLOOKUP(L264,'Dados Funil'!A:A,'Dados Funil'!AN:AN,"")</f>
        <v/>
      </c>
      <c r="T264" s="7" t="str">
        <f t="shared" si="4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9" t="str">
        <f t="array" ref="Q265">XLOOKUP(L265,'Dados Funil'!A:A,'Dados Funil'!AN:AN,"")</f>
        <v/>
      </c>
      <c r="T265" s="7" t="str">
        <f t="shared" si="4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9" t="str">
        <f t="array" ref="Q266">XLOOKUP(L266,'Dados Funil'!A:A,'Dados Funil'!AN:AN,"")</f>
        <v/>
      </c>
      <c r="T266" s="7" t="str">
        <f t="shared" si="4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9" t="str">
        <f t="array" ref="Q267">XLOOKUP(L267,'Dados Funil'!A:A,'Dados Funil'!AN:AN,"")</f>
        <v/>
      </c>
      <c r="T267" s="7" t="str">
        <f t="shared" si="4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9" t="str">
        <f t="array" ref="Q268">XLOOKUP(L268,'Dados Funil'!A:A,'Dados Funil'!AN:AN,"")</f>
        <v/>
      </c>
      <c r="T268" s="7" t="str">
        <f t="shared" si="4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9" t="str">
        <f t="array" ref="Q269">XLOOKUP(L269,'Dados Funil'!A:A,'Dados Funil'!AN:AN,"")</f>
        <v/>
      </c>
      <c r="T269" s="7" t="str">
        <f t="shared" si="4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9" t="str">
        <f t="array" ref="Q270">XLOOKUP(L270,'Dados Funil'!A:A,'Dados Funil'!AN:AN,"")</f>
        <v/>
      </c>
      <c r="T270" s="7" t="str">
        <f t="shared" si="4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9" t="str">
        <f t="array" ref="Q271">XLOOKUP(L271,'Dados Funil'!A:A,'Dados Funil'!AN:AN,"")</f>
        <v/>
      </c>
      <c r="T271" s="7" t="str">
        <f t="shared" si="4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9" t="str">
        <f t="array" ref="Q272">XLOOKUP(L272,'Dados Funil'!A:A,'Dados Funil'!AN:AN,"")</f>
        <v/>
      </c>
      <c r="T272" s="7" t="str">
        <f t="shared" si="4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9" t="str">
        <f t="array" ref="Q273">XLOOKUP(L273,'Dados Funil'!A:A,'Dados Funil'!AN:AN,"")</f>
        <v/>
      </c>
      <c r="T273" s="7" t="str">
        <f t="shared" si="4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9" t="str">
        <f t="array" ref="Q274">XLOOKUP(L274,'Dados Funil'!A:A,'Dados Funil'!AN:AN,"")</f>
        <v/>
      </c>
      <c r="T274" s="7" t="str">
        <f t="shared" si="4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9" t="str">
        <f t="array" ref="Q275">XLOOKUP(L275,'Dados Funil'!A:A,'Dados Funil'!AN:AN,"")</f>
        <v/>
      </c>
      <c r="T275" s="7" t="str">
        <f t="shared" si="4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9" t="str">
        <f t="array" ref="Q276">XLOOKUP(L276,'Dados Funil'!A:A,'Dados Funil'!AN:AN,"")</f>
        <v/>
      </c>
      <c r="T276" s="7" t="str">
        <f t="shared" si="4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9" t="str">
        <f t="array" ref="Q277">XLOOKUP(L277,'Dados Funil'!A:A,'Dados Funil'!AN:AN,"")</f>
        <v/>
      </c>
      <c r="T277" s="7" t="str">
        <f t="shared" si="4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9" t="str">
        <f t="array" ref="Q278">XLOOKUP(L278,'Dados Funil'!A:A,'Dados Funil'!AN:AN,"")</f>
        <v/>
      </c>
      <c r="T278" s="7" t="str">
        <f t="shared" si="4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9" t="str">
        <f t="array" ref="Q279">XLOOKUP(L279,'Dados Funil'!A:A,'Dados Funil'!AN:AN,"")</f>
        <v/>
      </c>
      <c r="T279" s="7" t="str">
        <f t="shared" si="4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9" t="str">
        <f t="array" ref="Q280">XLOOKUP(L280,'Dados Funil'!A:A,'Dados Funil'!AN:AN,"")</f>
        <v/>
      </c>
      <c r="T280" s="7" t="str">
        <f t="shared" si="4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9" t="str">
        <f t="array" ref="Q281">XLOOKUP(L281,'Dados Funil'!A:A,'Dados Funil'!AN:AN,"")</f>
        <v/>
      </c>
      <c r="T281" s="7" t="str">
        <f t="shared" si="4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9" t="str">
        <f t="array" ref="Q282">XLOOKUP(L282,'Dados Funil'!A:A,'Dados Funil'!AN:AN,"")</f>
        <v/>
      </c>
      <c r="T282" s="7" t="str">
        <f t="shared" si="4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9" t="str">
        <f t="array" ref="Q283">XLOOKUP(L283,'Dados Funil'!A:A,'Dados Funil'!AN:AN,"")</f>
        <v/>
      </c>
      <c r="T283" s="7" t="str">
        <f t="shared" si="4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9" t="str">
        <f t="array" ref="Q284">XLOOKUP(L284,'Dados Funil'!A:A,'Dados Funil'!AN:AN,"")</f>
        <v/>
      </c>
      <c r="T284" s="7" t="str">
        <f t="shared" si="4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9" t="str">
        <f t="array" ref="Q285">XLOOKUP(L285,'Dados Funil'!A:A,'Dados Funil'!AN:AN,"")</f>
        <v/>
      </c>
      <c r="T285" s="7" t="str">
        <f t="shared" si="4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9" t="str">
        <f t="array" ref="Q286">XLOOKUP(L286,'Dados Funil'!A:A,'Dados Funil'!AN:AN,"")</f>
        <v/>
      </c>
      <c r="T286" s="7" t="str">
        <f t="shared" si="4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9" t="str">
        <f t="array" ref="Q287">XLOOKUP(L287,'Dados Funil'!A:A,'Dados Funil'!AN:AN,"")</f>
        <v/>
      </c>
      <c r="T287" s="7" t="str">
        <f t="shared" si="4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9" t="str">
        <f t="array" ref="Q288">XLOOKUP(L288,'Dados Funil'!A:A,'Dados Funil'!AN:AN,"")</f>
        <v/>
      </c>
      <c r="T288" s="7" t="str">
        <f t="shared" si="4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9" t="str">
        <f t="array" ref="Q289">XLOOKUP(L289,'Dados Funil'!A:A,'Dados Funil'!AN:AN,"")</f>
        <v/>
      </c>
      <c r="T289" s="7" t="str">
        <f t="shared" si="4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9" t="str">
        <f t="array" ref="Q290">XLOOKUP(L290,'Dados Funil'!A:A,'Dados Funil'!AN:AN,"")</f>
        <v/>
      </c>
      <c r="T290" s="7" t="str">
        <f t="shared" si="4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9" t="str">
        <f t="array" ref="Q291">XLOOKUP(L291,'Dados Funil'!A:A,'Dados Funil'!AN:AN,"")</f>
        <v/>
      </c>
      <c r="T291" s="7" t="str">
        <f t="shared" si="4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9" t="str">
        <f t="array" ref="Q292">XLOOKUP(L292,'Dados Funil'!A:A,'Dados Funil'!AN:AN,"")</f>
        <v/>
      </c>
      <c r="T292" s="7" t="str">
        <f t="shared" si="4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9" t="str">
        <f t="array" ref="Q293">XLOOKUP(L293,'Dados Funil'!A:A,'Dados Funil'!AN:AN,"")</f>
        <v/>
      </c>
      <c r="T293" s="7" t="str">
        <f t="shared" si="4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9" t="str">
        <f t="array" ref="Q294">XLOOKUP(L294,'Dados Funil'!A:A,'Dados Funil'!AN:AN,"")</f>
        <v/>
      </c>
      <c r="T294" s="7" t="str">
        <f t="shared" si="4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9" t="str">
        <f t="array" ref="Q295">XLOOKUP(L295,'Dados Funil'!A:A,'Dados Funil'!AN:AN,"")</f>
        <v/>
      </c>
      <c r="T295" s="7" t="str">
        <f t="shared" si="4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9" t="str">
        <f t="array" ref="Q296">XLOOKUP(L296,'Dados Funil'!A:A,'Dados Funil'!AN:AN,"")</f>
        <v/>
      </c>
      <c r="T296" s="7" t="str">
        <f t="shared" si="4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9" t="str">
        <f t="array" ref="Q297">XLOOKUP(L297,'Dados Funil'!A:A,'Dados Funil'!AN:AN,"")</f>
        <v/>
      </c>
      <c r="T297" s="7" t="str">
        <f t="shared" si="4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9" t="str">
        <f t="array" ref="Q298">XLOOKUP(L298,'Dados Funil'!A:A,'Dados Funil'!AN:AN,"")</f>
        <v/>
      </c>
      <c r="T298" s="7" t="str">
        <f t="shared" si="4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9" t="str">
        <f t="array" ref="Q299">XLOOKUP(L299,'Dados Funil'!A:A,'Dados Funil'!AN:AN,"")</f>
        <v/>
      </c>
      <c r="T299" s="7" t="str">
        <f t="shared" si="4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9" t="str">
        <f t="array" ref="Q300">XLOOKUP(L300,'Dados Funil'!A:A,'Dados Funil'!AN:AN,"")</f>
        <v/>
      </c>
      <c r="T300" s="7" t="str">
        <f t="shared" si="4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9" t="str">
        <f t="array" ref="Q301">XLOOKUP(L301,'Dados Funil'!A:A,'Dados Funil'!AN:AN,"")</f>
        <v/>
      </c>
      <c r="T301" s="7" t="str">
        <f t="shared" si="4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9" t="str">
        <f t="array" ref="Q302">XLOOKUP(L302,'Dados Funil'!A:A,'Dados Funil'!AN:AN,"")</f>
        <v/>
      </c>
      <c r="T302" s="7" t="str">
        <f t="shared" si="4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9" t="str">
        <f t="array" ref="Q303">XLOOKUP(L303,'Dados Funil'!A:A,'Dados Funil'!AN:AN,"")</f>
        <v/>
      </c>
      <c r="T303" s="7" t="str">
        <f t="shared" si="4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9" t="str">
        <f t="array" ref="Q304">XLOOKUP(L304,'Dados Funil'!A:A,'Dados Funil'!AN:AN,"")</f>
        <v/>
      </c>
      <c r="T304" s="7" t="str">
        <f t="shared" si="4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9" t="str">
        <f t="array" ref="Q305">XLOOKUP(L305,'Dados Funil'!A:A,'Dados Funil'!AN:AN,"")</f>
        <v/>
      </c>
      <c r="T305" s="7" t="str">
        <f t="shared" si="4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9" t="str">
        <f t="array" ref="Q306">XLOOKUP(L306,'Dados Funil'!A:A,'Dados Funil'!AN:AN,"")</f>
        <v/>
      </c>
      <c r="T306" s="7" t="str">
        <f t="shared" si="4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9" t="str">
        <f t="array" ref="Q307">XLOOKUP(L307,'Dados Funil'!A:A,'Dados Funil'!AN:AN,"")</f>
        <v/>
      </c>
      <c r="T307" s="7" t="str">
        <f t="shared" si="4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9" t="str">
        <f t="array" ref="Q308">XLOOKUP(L308,'Dados Funil'!A:A,'Dados Funil'!AN:AN,"")</f>
        <v/>
      </c>
      <c r="T308" s="7" t="str">
        <f t="shared" si="4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9" t="str">
        <f t="array" ref="Q309">XLOOKUP(L309,'Dados Funil'!A:A,'Dados Funil'!AN:AN,"")</f>
        <v/>
      </c>
      <c r="T309" s="7" t="str">
        <f t="shared" si="4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9" t="str">
        <f t="array" ref="Q310">XLOOKUP(L310,'Dados Funil'!A:A,'Dados Funil'!AN:AN,"")</f>
        <v/>
      </c>
      <c r="T310" s="7" t="str">
        <f t="shared" si="4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9" t="str">
        <f t="array" ref="Q311">XLOOKUP(L311,'Dados Funil'!A:A,'Dados Funil'!AN:AN,"")</f>
        <v/>
      </c>
      <c r="T311" s="7" t="str">
        <f t="shared" si="4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9" t="str">
        <f t="array" ref="Q312">XLOOKUP(L312,'Dados Funil'!A:A,'Dados Funil'!AN:AN,"")</f>
        <v/>
      </c>
      <c r="T312" s="7" t="str">
        <f t="shared" si="4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9" t="str">
        <f t="array" ref="Q313">XLOOKUP(L313,'Dados Funil'!A:A,'Dados Funil'!AN:AN,"")</f>
        <v/>
      </c>
      <c r="T313" s="7" t="str">
        <f t="shared" si="4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9" t="str">
        <f t="array" ref="Q314">XLOOKUP(L314,'Dados Funil'!A:A,'Dados Funil'!AN:AN,"")</f>
        <v/>
      </c>
      <c r="T314" s="7" t="str">
        <f t="shared" si="4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9" t="str">
        <f t="array" ref="Q315">XLOOKUP(L315,'Dados Funil'!A:A,'Dados Funil'!AN:AN,"")</f>
        <v/>
      </c>
      <c r="T315" s="7" t="str">
        <f t="shared" si="4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9" t="str">
        <f t="array" ref="Q316">XLOOKUP(L316,'Dados Funil'!A:A,'Dados Funil'!AN:AN,"")</f>
        <v/>
      </c>
      <c r="T316" s="7" t="str">
        <f t="shared" si="4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9" t="str">
        <f t="array" ref="Q317">XLOOKUP(L317,'Dados Funil'!A:A,'Dados Funil'!AN:AN,"")</f>
        <v/>
      </c>
      <c r="T317" s="7" t="str">
        <f t="shared" si="4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9" t="str">
        <f t="array" ref="Q318">XLOOKUP(L318,'Dados Funil'!A:A,'Dados Funil'!AN:AN,"")</f>
        <v/>
      </c>
      <c r="T318" s="7" t="str">
        <f t="shared" si="4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9" t="str">
        <f t="array" ref="Q319">XLOOKUP(L319,'Dados Funil'!A:A,'Dados Funil'!AN:AN,"")</f>
        <v/>
      </c>
      <c r="T319" s="7" t="str">
        <f t="shared" si="4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9" t="str">
        <f t="array" ref="Q320">XLOOKUP(L320,'Dados Funil'!A:A,'Dados Funil'!AN:AN,"")</f>
        <v/>
      </c>
      <c r="T320" s="7" t="str">
        <f t="shared" si="4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9" t="str">
        <f t="array" ref="Q321">XLOOKUP(L321,'Dados Funil'!A:A,'Dados Funil'!AN:AN,"")</f>
        <v/>
      </c>
      <c r="T321" s="7" t="str">
        <f t="shared" si="4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9" t="str">
        <f t="array" ref="Q322">XLOOKUP(L322,'Dados Funil'!A:A,'Dados Funil'!AN:AN,"")</f>
        <v/>
      </c>
      <c r="T322" s="7" t="str">
        <f t="shared" si="4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9" t="str">
        <f t="array" ref="Q323">XLOOKUP(L323,'Dados Funil'!A:A,'Dados Funil'!AN:AN,"")</f>
        <v/>
      </c>
      <c r="T323" s="7" t="str">
        <f t="shared" si="4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9" t="str">
        <f t="array" ref="Q324">XLOOKUP(L324,'Dados Funil'!A:A,'Dados Funil'!AN:AN,"")</f>
        <v/>
      </c>
      <c r="T324" s="7" t="str">
        <f t="shared" si="4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9" t="str">
        <f t="array" ref="Q325">XLOOKUP(L325,'Dados Funil'!A:A,'Dados Funil'!AN:AN,"")</f>
        <v/>
      </c>
      <c r="T325" s="7" t="str">
        <f t="shared" si="4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9" t="str">
        <f t="array" ref="Q326">XLOOKUP(L326,'Dados Funil'!A:A,'Dados Funil'!AN:AN,"")</f>
        <v/>
      </c>
      <c r="T326" s="7" t="str">
        <f t="shared" si="4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9" t="str">
        <f t="array" ref="Q327">XLOOKUP(L327,'Dados Funil'!A:A,'Dados Funil'!AN:AN,"")</f>
        <v/>
      </c>
      <c r="T327" s="7" t="str">
        <f t="shared" si="4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9" t="str">
        <f t="array" ref="Q328">XLOOKUP(L328,'Dados Funil'!A:A,'Dados Funil'!AN:AN,"")</f>
        <v/>
      </c>
      <c r="T328" s="7" t="str">
        <f t="shared" si="4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9" t="str">
        <f t="array" ref="Q329">XLOOKUP(L329,'Dados Funil'!A:A,'Dados Funil'!AN:AN,"")</f>
        <v/>
      </c>
      <c r="T329" s="7" t="str">
        <f t="shared" si="4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9" t="str">
        <f t="array" ref="Q330">XLOOKUP(L330,'Dados Funil'!A:A,'Dados Funil'!AN:AN,"")</f>
        <v/>
      </c>
      <c r="T330" s="7" t="str">
        <f t="shared" si="4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9" t="str">
        <f t="array" ref="Q331">XLOOKUP(L331,'Dados Funil'!A:A,'Dados Funil'!AN:AN,"")</f>
        <v/>
      </c>
      <c r="T331" s="7" t="str">
        <f t="shared" si="4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9" t="str">
        <f t="array" ref="Q332">XLOOKUP(L332,'Dados Funil'!A:A,'Dados Funil'!AN:AN,"")</f>
        <v/>
      </c>
      <c r="T332" s="7" t="str">
        <f t="shared" si="4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9" t="str">
        <f t="array" ref="Q333">XLOOKUP(L333,'Dados Funil'!A:A,'Dados Funil'!AN:AN,"")</f>
        <v/>
      </c>
      <c r="T333" s="7" t="str">
        <f t="shared" si="4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9" t="str">
        <f t="array" ref="Q334">XLOOKUP(L334,'Dados Funil'!A:A,'Dados Funil'!AN:AN,"")</f>
        <v/>
      </c>
      <c r="T334" s="7" t="str">
        <f t="shared" si="4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9" t="str">
        <f t="array" ref="Q335">XLOOKUP(L335,'Dados Funil'!A:A,'Dados Funil'!AN:AN,"")</f>
        <v/>
      </c>
      <c r="T335" s="7" t="str">
        <f t="shared" si="4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9" t="str">
        <f t="array" ref="Q336">XLOOKUP(L336,'Dados Funil'!A:A,'Dados Funil'!AN:AN,"")</f>
        <v/>
      </c>
      <c r="T336" s="7" t="str">
        <f t="shared" si="4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9" t="str">
        <f t="array" ref="Q337">XLOOKUP(L337,'Dados Funil'!A:A,'Dados Funil'!AN:AN,"")</f>
        <v/>
      </c>
      <c r="T337" s="7" t="str">
        <f t="shared" si="4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9" t="str">
        <f t="array" ref="Q338">XLOOKUP(L338,'Dados Funil'!A:A,'Dados Funil'!AN:AN,"")</f>
        <v/>
      </c>
      <c r="T338" s="7" t="str">
        <f t="shared" si="4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9" t="str">
        <f t="array" ref="Q339">XLOOKUP(L339,'Dados Funil'!A:A,'Dados Funil'!AN:AN,"")</f>
        <v/>
      </c>
      <c r="T339" s="7" t="str">
        <f t="shared" si="4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9" t="str">
        <f t="array" ref="Q340">XLOOKUP(L340,'Dados Funil'!A:A,'Dados Funil'!AN:AN,"")</f>
        <v/>
      </c>
      <c r="T340" s="7" t="str">
        <f t="shared" si="4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9" t="str">
        <f t="array" ref="Q341">XLOOKUP(L341,'Dados Funil'!A:A,'Dados Funil'!AN:AN,"")</f>
        <v/>
      </c>
      <c r="T341" s="7" t="str">
        <f t="shared" si="4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9" t="str">
        <f t="array" ref="Q342">XLOOKUP(L342,'Dados Funil'!A:A,'Dados Funil'!AN:AN,"")</f>
        <v/>
      </c>
      <c r="T342" s="7" t="str">
        <f t="shared" si="4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9" t="str">
        <f t="array" ref="Q343">XLOOKUP(L343,'Dados Funil'!A:A,'Dados Funil'!AN:AN,"")</f>
        <v/>
      </c>
      <c r="T343" s="7" t="str">
        <f t="shared" si="4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9" t="str">
        <f t="array" ref="Q344">XLOOKUP(L344,'Dados Funil'!A:A,'Dados Funil'!AN:AN,"")</f>
        <v/>
      </c>
      <c r="T344" s="7" t="str">
        <f t="shared" si="4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9" t="str">
        <f t="array" ref="Q345">XLOOKUP(L345,'Dados Funil'!A:A,'Dados Funil'!AN:AN,"")</f>
        <v/>
      </c>
      <c r="T345" s="7" t="str">
        <f t="shared" si="4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9" t="str">
        <f t="array" ref="Q346">XLOOKUP(L346,'Dados Funil'!A:A,'Dados Funil'!AN:AN,"")</f>
        <v/>
      </c>
      <c r="T346" s="7" t="str">
        <f t="shared" si="4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9" t="str">
        <f t="array" ref="Q347">XLOOKUP(L347,'Dados Funil'!A:A,'Dados Funil'!AN:AN,"")</f>
        <v/>
      </c>
      <c r="T347" s="7" t="str">
        <f t="shared" si="4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9" t="str">
        <f t="array" ref="Q348">XLOOKUP(L348,'Dados Funil'!A:A,'Dados Funil'!AN:AN,"")</f>
        <v/>
      </c>
      <c r="T348" s="7" t="str">
        <f t="shared" si="4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9" t="str">
        <f t="array" ref="Q349">XLOOKUP(L349,'Dados Funil'!A:A,'Dados Funil'!AN:AN,"")</f>
        <v/>
      </c>
      <c r="T349" s="7" t="str">
        <f t="shared" si="4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9" t="str">
        <f t="array" ref="Q350">XLOOKUP(L350,'Dados Funil'!A:A,'Dados Funil'!AN:AN,"")</f>
        <v/>
      </c>
      <c r="T350" s="7" t="str">
        <f t="shared" si="4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9" t="str">
        <f t="array" ref="Q351">XLOOKUP(L351,'Dados Funil'!A:A,'Dados Funil'!AN:AN,"")</f>
        <v/>
      </c>
      <c r="T351" s="7" t="str">
        <f t="shared" si="4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9" t="str">
        <f t="array" ref="Q352">XLOOKUP(L352,'Dados Funil'!A:A,'Dados Funil'!AN:AN,"")</f>
        <v/>
      </c>
      <c r="T352" s="7" t="str">
        <f t="shared" si="4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9" t="str">
        <f t="array" ref="Q353">XLOOKUP(L353,'Dados Funil'!A:A,'Dados Funil'!AN:AN,"")</f>
        <v/>
      </c>
      <c r="T353" s="7" t="str">
        <f t="shared" si="4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9" t="str">
        <f t="array" ref="Q354">XLOOKUP(L354,'Dados Funil'!A:A,'Dados Funil'!AN:AN,"")</f>
        <v/>
      </c>
      <c r="T354" s="7" t="str">
        <f t="shared" si="4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9" t="str">
        <f t="array" ref="Q355">XLOOKUP(L355,'Dados Funil'!A:A,'Dados Funil'!AN:AN,"")</f>
        <v/>
      </c>
      <c r="T355" s="7" t="str">
        <f t="shared" si="4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9" t="str">
        <f t="array" ref="Q356">XLOOKUP(L356,'Dados Funil'!A:A,'Dados Funil'!AN:AN,"")</f>
        <v/>
      </c>
      <c r="T356" s="7" t="str">
        <f t="shared" si="4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9" t="str">
        <f t="array" ref="Q357">XLOOKUP(L357,'Dados Funil'!A:A,'Dados Funil'!AN:AN,"")</f>
        <v/>
      </c>
      <c r="T357" s="7" t="str">
        <f t="shared" si="4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9" t="str">
        <f t="array" ref="Q358">XLOOKUP(L358,'Dados Funil'!A:A,'Dados Funil'!AN:AN,"")</f>
        <v/>
      </c>
      <c r="T358" s="7" t="str">
        <f t="shared" si="4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9" t="str">
        <f t="array" ref="Q359">XLOOKUP(L359,'Dados Funil'!A:A,'Dados Funil'!AN:AN,"")</f>
        <v/>
      </c>
      <c r="T359" s="7" t="str">
        <f t="shared" si="4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9" t="str">
        <f t="array" ref="Q360">XLOOKUP(L360,'Dados Funil'!A:A,'Dados Funil'!AN:AN,"")</f>
        <v/>
      </c>
      <c r="T360" s="7" t="str">
        <f t="shared" si="4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9" t="str">
        <f t="array" ref="Q361">XLOOKUP(L361,'Dados Funil'!A:A,'Dados Funil'!AN:AN,"")</f>
        <v/>
      </c>
      <c r="T361" s="7" t="str">
        <f t="shared" si="4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9" t="str">
        <f t="array" ref="Q362">XLOOKUP(L362,'Dados Funil'!A:A,'Dados Funil'!AN:AN,"")</f>
        <v/>
      </c>
      <c r="T362" s="7" t="str">
        <f t="shared" si="4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9" t="str">
        <f t="array" ref="Q363">XLOOKUP(L363,'Dados Funil'!A:A,'Dados Funil'!AN:AN,"")</f>
        <v/>
      </c>
      <c r="T363" s="7" t="str">
        <f t="shared" si="4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9" t="str">
        <f t="array" ref="Q364">XLOOKUP(L364,'Dados Funil'!A:A,'Dados Funil'!AN:AN,"")</f>
        <v/>
      </c>
      <c r="T364" s="7" t="str">
        <f t="shared" si="4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9" t="str">
        <f t="array" ref="Q365">XLOOKUP(L365,'Dados Funil'!A:A,'Dados Funil'!AN:AN,"")</f>
        <v/>
      </c>
      <c r="T365" s="7" t="str">
        <f t="shared" si="4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9" t="str">
        <f t="array" ref="Q366">XLOOKUP(L366,'Dados Funil'!A:A,'Dados Funil'!AN:AN,"")</f>
        <v/>
      </c>
      <c r="T366" s="7" t="str">
        <f t="shared" si="4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9" t="str">
        <f t="array" ref="Q367">XLOOKUP(L367,'Dados Funil'!A:A,'Dados Funil'!AN:AN,"")</f>
        <v/>
      </c>
      <c r="T367" s="7" t="str">
        <f t="shared" si="4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9" t="str">
        <f t="array" ref="Q368">XLOOKUP(L368,'Dados Funil'!A:A,'Dados Funil'!AN:AN,"")</f>
        <v/>
      </c>
      <c r="T368" s="7" t="str">
        <f t="shared" si="4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9" t="str">
        <f t="array" ref="Q369">XLOOKUP(L369,'Dados Funil'!A:A,'Dados Funil'!AN:AN,"")</f>
        <v/>
      </c>
      <c r="T369" s="7" t="str">
        <f t="shared" si="4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9" t="str">
        <f t="array" ref="Q370">XLOOKUP(L370,'Dados Funil'!A:A,'Dados Funil'!AN:AN,"")</f>
        <v/>
      </c>
      <c r="T370" s="7" t="str">
        <f t="shared" si="4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9" t="str">
        <f t="array" ref="Q371">XLOOKUP(L371,'Dados Funil'!A:A,'Dados Funil'!AN:AN,"")</f>
        <v/>
      </c>
      <c r="T371" s="7" t="str">
        <f t="shared" si="4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9" t="str">
        <f t="array" ref="Q372">XLOOKUP(L372,'Dados Funil'!A:A,'Dados Funil'!AN:AN,"")</f>
        <v/>
      </c>
      <c r="T372" s="7" t="str">
        <f t="shared" si="4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9" t="str">
        <f t="array" ref="Q373">XLOOKUP(L373,'Dados Funil'!A:A,'Dados Funil'!AN:AN,"")</f>
        <v/>
      </c>
      <c r="T373" s="7" t="str">
        <f t="shared" si="4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9" t="str">
        <f t="array" ref="Q374">XLOOKUP(L374,'Dados Funil'!A:A,'Dados Funil'!AN:AN,"")</f>
        <v/>
      </c>
      <c r="T374" s="7" t="str">
        <f t="shared" si="4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9" t="str">
        <f t="array" ref="Q375">XLOOKUP(L375,'Dados Funil'!A:A,'Dados Funil'!AN:AN,"")</f>
        <v/>
      </c>
      <c r="T375" s="7" t="str">
        <f t="shared" si="4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9" t="str">
        <f t="array" ref="Q376">XLOOKUP(L376,'Dados Funil'!A:A,'Dados Funil'!AN:AN,"")</f>
        <v/>
      </c>
      <c r="T376" s="7" t="str">
        <f t="shared" si="4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9" t="str">
        <f t="array" ref="Q377">XLOOKUP(L377,'Dados Funil'!A:A,'Dados Funil'!AN:AN,"")</f>
        <v/>
      </c>
      <c r="T377" s="7" t="str">
        <f t="shared" si="4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9" t="str">
        <f t="array" ref="Q378">XLOOKUP(L378,'Dados Funil'!A:A,'Dados Funil'!AN:AN,"")</f>
        <v/>
      </c>
      <c r="T378" s="7" t="str">
        <f t="shared" si="4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9" t="str">
        <f t="array" ref="Q379">XLOOKUP(L379,'Dados Funil'!A:A,'Dados Funil'!AN:AN,"")</f>
        <v/>
      </c>
      <c r="T379" s="7" t="str">
        <f t="shared" si="4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9" t="str">
        <f t="array" ref="Q380">XLOOKUP(L380,'Dados Funil'!A:A,'Dados Funil'!AN:AN,"")</f>
        <v/>
      </c>
      <c r="T380" s="7" t="str">
        <f t="shared" si="4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9" t="str">
        <f t="array" ref="Q381">XLOOKUP(L381,'Dados Funil'!A:A,'Dados Funil'!AN:AN,"")</f>
        <v/>
      </c>
      <c r="T381" s="7" t="str">
        <f t="shared" si="4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9" t="str">
        <f t="array" ref="Q382">XLOOKUP(L382,'Dados Funil'!A:A,'Dados Funil'!AN:AN,"")</f>
        <v/>
      </c>
      <c r="T382" s="7" t="str">
        <f t="shared" si="4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9" t="str">
        <f t="array" ref="Q383">XLOOKUP(L383,'Dados Funil'!A:A,'Dados Funil'!AN:AN,"")</f>
        <v/>
      </c>
      <c r="T383" s="7" t="str">
        <f t="shared" si="4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9" t="str">
        <f t="array" ref="Q384">XLOOKUP(L384,'Dados Funil'!A:A,'Dados Funil'!AN:AN,"")</f>
        <v/>
      </c>
      <c r="T384" s="7" t="str">
        <f t="shared" si="4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9" t="str">
        <f t="array" ref="Q385">XLOOKUP(L385,'Dados Funil'!A:A,'Dados Funil'!AN:AN,"")</f>
        <v/>
      </c>
      <c r="T385" s="7" t="str">
        <f t="shared" si="4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9" t="str">
        <f t="array" ref="Q386">XLOOKUP(L386,'Dados Funil'!A:A,'Dados Funil'!AN:AN,"")</f>
        <v/>
      </c>
      <c r="T386" s="7" t="str">
        <f t="shared" si="4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9" t="str">
        <f t="array" ref="Q387">XLOOKUP(L387,'Dados Funil'!A:A,'Dados Funil'!AN:AN,"")</f>
        <v/>
      </c>
      <c r="T387" s="7" t="str">
        <f t="shared" si="4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9" t="str">
        <f t="array" ref="Q388">XLOOKUP(L388,'Dados Funil'!A:A,'Dados Funil'!AN:AN,"")</f>
        <v/>
      </c>
      <c r="T388" s="7" t="str">
        <f t="shared" si="4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9" t="str">
        <f t="array" ref="Q389">XLOOKUP(L389,'Dados Funil'!A:A,'Dados Funil'!AN:AN,"")</f>
        <v/>
      </c>
      <c r="T389" s="7" t="str">
        <f t="shared" si="4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9" t="str">
        <f t="array" ref="Q390">XLOOKUP(L390,'Dados Funil'!A:A,'Dados Funil'!AN:AN,"")</f>
        <v/>
      </c>
      <c r="T390" s="7" t="str">
        <f t="shared" si="4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9" t="str">
        <f t="array" ref="Q391">XLOOKUP(L391,'Dados Funil'!A:A,'Dados Funil'!AN:AN,"")</f>
        <v/>
      </c>
      <c r="T391" s="7" t="str">
        <f t="shared" si="4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9" t="str">
        <f t="array" ref="Q392">XLOOKUP(L392,'Dados Funil'!A:A,'Dados Funil'!AN:AN,"")</f>
        <v/>
      </c>
      <c r="T392" s="7" t="str">
        <f t="shared" si="4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9" t="str">
        <f t="array" ref="Q393">XLOOKUP(L393,'Dados Funil'!A:A,'Dados Funil'!AN:AN,"")</f>
        <v/>
      </c>
      <c r="T393" s="7" t="str">
        <f t="shared" si="4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9" t="str">
        <f t="array" ref="Q394">XLOOKUP(L394,'Dados Funil'!A:A,'Dados Funil'!AN:AN,"")</f>
        <v/>
      </c>
      <c r="T394" s="7" t="str">
        <f t="shared" si="4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9" t="str">
        <f t="array" ref="Q395">XLOOKUP(L395,'Dados Funil'!A:A,'Dados Funil'!AN:AN,"")</f>
        <v/>
      </c>
      <c r="T395" s="7" t="str">
        <f t="shared" si="4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9" t="str">
        <f t="array" ref="Q396">XLOOKUP(L396,'Dados Funil'!A:A,'Dados Funil'!AN:AN,"")</f>
        <v/>
      </c>
      <c r="T396" s="7" t="str">
        <f t="shared" si="4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9" t="str">
        <f t="array" ref="Q397">XLOOKUP(L397,'Dados Funil'!A:A,'Dados Funil'!AN:AN,"")</f>
        <v/>
      </c>
      <c r="T397" s="7" t="str">
        <f t="shared" si="4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9" t="str">
        <f t="array" ref="Q398">XLOOKUP(L398,'Dados Funil'!A:A,'Dados Funil'!AN:AN,"")</f>
        <v/>
      </c>
      <c r="T398" s="7" t="str">
        <f t="shared" si="4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9" t="str">
        <f t="array" ref="Q399">XLOOKUP(L399,'Dados Funil'!A:A,'Dados Funil'!AN:AN,"")</f>
        <v/>
      </c>
      <c r="T399" s="7" t="str">
        <f t="shared" si="4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9" t="str">
        <f t="array" ref="Q400">XLOOKUP(L400,'Dados Funil'!A:A,'Dados Funil'!AN:AN,"")</f>
        <v/>
      </c>
      <c r="T400" s="7" t="str">
        <f t="shared" si="4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9" t="str">
        <f t="array" ref="Q401">XLOOKUP(L401,'Dados Funil'!A:A,'Dados Funil'!AN:AN,"")</f>
        <v/>
      </c>
      <c r="T401" s="7" t="str">
        <f t="shared" si="4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9" t="str">
        <f t="array" ref="Q402">XLOOKUP(L402,'Dados Funil'!A:A,'Dados Funil'!AN:AN,"")</f>
        <v/>
      </c>
      <c r="T402" s="7" t="str">
        <f t="shared" si="4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9" t="str">
        <f t="array" ref="Q403">XLOOKUP(L403,'Dados Funil'!A:A,'Dados Funil'!AN:AN,"")</f>
        <v/>
      </c>
      <c r="T403" s="7" t="str">
        <f t="shared" si="4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9" t="str">
        <f t="array" ref="Q404">XLOOKUP(L404,'Dados Funil'!A:A,'Dados Funil'!AN:AN,"")</f>
        <v/>
      </c>
      <c r="T404" s="7" t="str">
        <f t="shared" si="4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9" t="str">
        <f t="array" ref="Q405">XLOOKUP(L405,'Dados Funil'!A:A,'Dados Funil'!AN:AN,"")</f>
        <v/>
      </c>
      <c r="T405" s="7" t="str">
        <f t="shared" si="4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9" t="str">
        <f t="array" ref="Q406">XLOOKUP(L406,'Dados Funil'!A:A,'Dados Funil'!AN:AN,"")</f>
        <v/>
      </c>
      <c r="T406" s="7" t="str">
        <f t="shared" si="4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9" t="str">
        <f t="array" ref="Q407">XLOOKUP(L407,'Dados Funil'!A:A,'Dados Funil'!AN:AN,"")</f>
        <v/>
      </c>
      <c r="T407" s="7" t="str">
        <f t="shared" si="4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9" t="str">
        <f t="array" ref="Q408">XLOOKUP(L408,'Dados Funil'!A:A,'Dados Funil'!AN:AN,"")</f>
        <v/>
      </c>
      <c r="T408" s="7" t="str">
        <f t="shared" si="4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9" t="str">
        <f t="array" ref="Q409">XLOOKUP(L409,'Dados Funil'!A:A,'Dados Funil'!AN:AN,"")</f>
        <v/>
      </c>
      <c r="T409" s="7" t="str">
        <f t="shared" si="4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9" t="str">
        <f t="array" ref="Q410">XLOOKUP(L410,'Dados Funil'!A:A,'Dados Funil'!AN:AN,"")</f>
        <v/>
      </c>
      <c r="T410" s="7" t="str">
        <f t="shared" si="4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9" t="str">
        <f t="array" ref="Q411">XLOOKUP(L411,'Dados Funil'!A:A,'Dados Funil'!AN:AN,"")</f>
        <v/>
      </c>
      <c r="T411" s="7" t="str">
        <f t="shared" si="4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9" t="str">
        <f t="array" ref="Q412">XLOOKUP(L412,'Dados Funil'!A:A,'Dados Funil'!AN:AN,"")</f>
        <v/>
      </c>
      <c r="T412" s="7" t="str">
        <f t="shared" si="4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9" t="str">
        <f t="array" ref="Q413">XLOOKUP(L413,'Dados Funil'!A:A,'Dados Funil'!AN:AN,"")</f>
        <v/>
      </c>
      <c r="T413" s="7" t="str">
        <f t="shared" si="4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9" t="str">
        <f t="array" ref="Q414">XLOOKUP(L414,'Dados Funil'!A:A,'Dados Funil'!AN:AN,"")</f>
        <v/>
      </c>
      <c r="T414" s="7" t="str">
        <f t="shared" si="4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9" t="str">
        <f t="array" ref="Q415">XLOOKUP(L415,'Dados Funil'!A:A,'Dados Funil'!AN:AN,"")</f>
        <v/>
      </c>
      <c r="T415" s="7" t="str">
        <f t="shared" si="4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9" t="str">
        <f t="array" ref="Q416">XLOOKUP(L416,'Dados Funil'!A:A,'Dados Funil'!AN:AN,"")</f>
        <v/>
      </c>
      <c r="T416" s="7" t="str">
        <f t="shared" si="4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9" t="str">
        <f t="array" ref="Q417">XLOOKUP(L417,'Dados Funil'!A:A,'Dados Funil'!AN:AN,"")</f>
        <v/>
      </c>
      <c r="T417" s="7" t="str">
        <f t="shared" si="4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9" t="str">
        <f t="array" ref="Q418">XLOOKUP(L418,'Dados Funil'!A:A,'Dados Funil'!AN:AN,"")</f>
        <v/>
      </c>
      <c r="T418" s="7" t="str">
        <f t="shared" si="4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9" t="str">
        <f t="array" ref="Q419">XLOOKUP(L419,'Dados Funil'!A:A,'Dados Funil'!AN:AN,"")</f>
        <v/>
      </c>
      <c r="T419" s="7" t="str">
        <f t="shared" si="4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9" t="str">
        <f t="array" ref="Q420">XLOOKUP(L420,'Dados Funil'!A:A,'Dados Funil'!AN:AN,"")</f>
        <v/>
      </c>
      <c r="T420" s="7" t="str">
        <f t="shared" si="4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9" t="str">
        <f t="array" ref="Q421">XLOOKUP(L421,'Dados Funil'!A:A,'Dados Funil'!AN:AN,"")</f>
        <v/>
      </c>
      <c r="T421" s="7" t="str">
        <f t="shared" si="4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9" t="str">
        <f t="array" ref="Q422">XLOOKUP(L422,'Dados Funil'!A:A,'Dados Funil'!AN:AN,"")</f>
        <v/>
      </c>
      <c r="T422" s="7" t="str">
        <f t="shared" si="4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9" t="str">
        <f t="array" ref="Q423">XLOOKUP(L423,'Dados Funil'!A:A,'Dados Funil'!AN:AN,"")</f>
        <v/>
      </c>
      <c r="T423" s="7" t="str">
        <f t="shared" si="4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9" t="str">
        <f t="array" ref="Q424">XLOOKUP(L424,'Dados Funil'!A:A,'Dados Funil'!AN:AN,"")</f>
        <v/>
      </c>
      <c r="T424" s="7" t="str">
        <f t="shared" si="4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9" t="str">
        <f t="array" ref="Q425">XLOOKUP(L425,'Dados Funil'!A:A,'Dados Funil'!AN:AN,"")</f>
        <v/>
      </c>
      <c r="T425" s="7" t="str">
        <f t="shared" si="4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9" t="str">
        <f t="array" ref="Q426">XLOOKUP(L426,'Dados Funil'!A:A,'Dados Funil'!AN:AN,"")</f>
        <v/>
      </c>
      <c r="T426" s="7" t="str">
        <f t="shared" si="4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9" t="str">
        <f t="array" ref="Q427">XLOOKUP(L427,'Dados Funil'!A:A,'Dados Funil'!AN:AN,"")</f>
        <v/>
      </c>
      <c r="T427" s="7" t="str">
        <f t="shared" si="4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9" t="str">
        <f t="array" ref="Q428">XLOOKUP(L428,'Dados Funil'!A:A,'Dados Funil'!AN:AN,"")</f>
        <v/>
      </c>
      <c r="T428" s="7" t="str">
        <f t="shared" si="4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9" t="str">
        <f t="array" ref="Q429">XLOOKUP(L429,'Dados Funil'!A:A,'Dados Funil'!AN:AN,"")</f>
        <v/>
      </c>
      <c r="T429" s="7" t="str">
        <f t="shared" si="4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9" t="str">
        <f t="array" ref="Q430">XLOOKUP(L430,'Dados Funil'!A:A,'Dados Funil'!AN:AN,"")</f>
        <v/>
      </c>
      <c r="T430" s="7" t="str">
        <f t="shared" si="4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9" t="str">
        <f t="array" ref="Q431">XLOOKUP(L431,'Dados Funil'!A:A,'Dados Funil'!AN:AN,"")</f>
        <v/>
      </c>
      <c r="T431" s="7" t="str">
        <f t="shared" si="4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9" t="str">
        <f t="array" ref="Q432">XLOOKUP(L432,'Dados Funil'!A:A,'Dados Funil'!AN:AN,"")</f>
        <v/>
      </c>
      <c r="T432" s="7" t="str">
        <f t="shared" si="4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9" t="str">
        <f t="array" ref="Q433">XLOOKUP(L433,'Dados Funil'!A:A,'Dados Funil'!AN:AN,"")</f>
        <v/>
      </c>
      <c r="T433" s="7" t="str">
        <f t="shared" si="4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9" t="str">
        <f t="array" ref="Q434">XLOOKUP(L434,'Dados Funil'!A:A,'Dados Funil'!AN:AN,"")</f>
        <v/>
      </c>
      <c r="T434" s="7" t="str">
        <f t="shared" si="4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9" t="str">
        <f t="array" ref="Q435">XLOOKUP(L435,'Dados Funil'!A:A,'Dados Funil'!AN:AN,"")</f>
        <v/>
      </c>
      <c r="T435" s="7" t="str">
        <f t="shared" si="4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9" t="str">
        <f t="array" ref="Q436">XLOOKUP(L436,'Dados Funil'!A:A,'Dados Funil'!AN:AN,"")</f>
        <v/>
      </c>
      <c r="T436" s="7" t="str">
        <f t="shared" si="4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9" t="str">
        <f t="array" ref="Q437">XLOOKUP(L437,'Dados Funil'!A:A,'Dados Funil'!AN:AN,"")</f>
        <v/>
      </c>
      <c r="T437" s="7" t="str">
        <f t="shared" si="4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9" t="str">
        <f t="array" ref="Q438">XLOOKUP(L438,'Dados Funil'!A:A,'Dados Funil'!AN:AN,"")</f>
        <v/>
      </c>
      <c r="T438" s="7" t="str">
        <f t="shared" si="4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9" t="str">
        <f t="array" ref="Q439">XLOOKUP(L439,'Dados Funil'!A:A,'Dados Funil'!AN:AN,"")</f>
        <v/>
      </c>
      <c r="T439" s="7" t="str">
        <f t="shared" si="4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9" t="str">
        <f t="array" ref="Q440">XLOOKUP(L440,'Dados Funil'!A:A,'Dados Funil'!AN:AN,"")</f>
        <v/>
      </c>
      <c r="T440" s="7" t="str">
        <f t="shared" si="4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9" t="str">
        <f t="array" ref="Q441">XLOOKUP(L441,'Dados Funil'!A:A,'Dados Funil'!AN:AN,"")</f>
        <v/>
      </c>
      <c r="T441" s="7" t="str">
        <f t="shared" si="4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9" t="str">
        <f t="array" ref="Q442">XLOOKUP(L442,'Dados Funil'!A:A,'Dados Funil'!AN:AN,"")</f>
        <v/>
      </c>
      <c r="T442" s="7" t="str">
        <f t="shared" si="4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9" t="str">
        <f t="array" ref="Q443">XLOOKUP(L443,'Dados Funil'!A:A,'Dados Funil'!AN:AN,"")</f>
        <v/>
      </c>
      <c r="T443" s="7" t="str">
        <f t="shared" si="4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9" t="str">
        <f t="array" ref="Q444">XLOOKUP(L444,'Dados Funil'!A:A,'Dados Funil'!AN:AN,"")</f>
        <v/>
      </c>
      <c r="T444" s="7" t="str">
        <f t="shared" si="4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9" t="str">
        <f t="array" ref="Q445">XLOOKUP(L445,'Dados Funil'!A:A,'Dados Funil'!AN:AN,"")</f>
        <v/>
      </c>
      <c r="T445" s="7" t="str">
        <f t="shared" si="4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9" t="str">
        <f t="array" ref="Q446">XLOOKUP(L446,'Dados Funil'!A:A,'Dados Funil'!AN:AN,"")</f>
        <v/>
      </c>
      <c r="T446" s="7" t="str">
        <f t="shared" si="4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9" t="str">
        <f t="array" ref="Q447">XLOOKUP(L447,'Dados Funil'!A:A,'Dados Funil'!AN:AN,"")</f>
        <v/>
      </c>
      <c r="T447" s="7" t="str">
        <f t="shared" si="4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9" t="str">
        <f t="array" ref="Q448">XLOOKUP(L448,'Dados Funil'!A:A,'Dados Funil'!AN:AN,"")</f>
        <v/>
      </c>
      <c r="T448" s="7" t="str">
        <f t="shared" si="4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9" t="str">
        <f t="array" ref="Q449">XLOOKUP(L449,'Dados Funil'!A:A,'Dados Funil'!AN:AN,"")</f>
        <v/>
      </c>
      <c r="T449" s="7" t="str">
        <f t="shared" si="4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9" t="str">
        <f t="array" ref="Q450">XLOOKUP(L450,'Dados Funil'!A:A,'Dados Funil'!AN:AN,"")</f>
        <v/>
      </c>
      <c r="T450" s="7" t="str">
        <f t="shared" si="4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9" t="str">
        <f t="array" ref="Q451">XLOOKUP(L451,'Dados Funil'!A:A,'Dados Funil'!AN:AN,"")</f>
        <v/>
      </c>
      <c r="T451" s="7" t="str">
        <f t="shared" si="4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9" t="str">
        <f t="array" ref="Q452">XLOOKUP(L452,'Dados Funil'!A:A,'Dados Funil'!AN:AN,"")</f>
        <v/>
      </c>
      <c r="T452" s="7" t="str">
        <f t="shared" si="4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9" t="str">
        <f t="array" ref="Q453">XLOOKUP(L453,'Dados Funil'!A:A,'Dados Funil'!AN:AN,"")</f>
        <v/>
      </c>
      <c r="T453" s="7" t="str">
        <f t="shared" si="4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9" t="str">
        <f t="array" ref="Q454">XLOOKUP(L454,'Dados Funil'!A:A,'Dados Funil'!AN:AN,"")</f>
        <v/>
      </c>
      <c r="T454" s="7" t="str">
        <f t="shared" si="4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9" t="str">
        <f t="array" ref="Q455">XLOOKUP(L455,'Dados Funil'!A:A,'Dados Funil'!AN:AN,"")</f>
        <v/>
      </c>
      <c r="T455" s="7" t="str">
        <f t="shared" si="4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9" t="str">
        <f t="array" ref="Q456">XLOOKUP(L456,'Dados Funil'!A:A,'Dados Funil'!AN:AN,"")</f>
        <v/>
      </c>
      <c r="T456" s="7" t="str">
        <f t="shared" si="4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9" t="str">
        <f t="array" ref="Q457">XLOOKUP(L457,'Dados Funil'!A:A,'Dados Funil'!AN:AN,"")</f>
        <v/>
      </c>
      <c r="T457" s="7" t="str">
        <f t="shared" si="4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9" t="str">
        <f t="array" ref="Q458">XLOOKUP(L458,'Dados Funil'!A:A,'Dados Funil'!AN:AN,"")</f>
        <v/>
      </c>
      <c r="T458" s="7" t="str">
        <f t="shared" si="4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9" t="str">
        <f t="array" ref="Q459">XLOOKUP(L459,'Dados Funil'!A:A,'Dados Funil'!AN:AN,"")</f>
        <v/>
      </c>
      <c r="T459" s="7" t="str">
        <f t="shared" si="4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9" t="str">
        <f t="array" ref="Q460">XLOOKUP(L460,'Dados Funil'!A:A,'Dados Funil'!AN:AN,"")</f>
        <v/>
      </c>
      <c r="T460" s="7" t="str">
        <f t="shared" si="4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9" t="str">
        <f t="array" ref="Q461">XLOOKUP(L461,'Dados Funil'!A:A,'Dados Funil'!AN:AN,"")</f>
        <v/>
      </c>
      <c r="T461" s="7" t="str">
        <f t="shared" si="4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9" t="str">
        <f t="array" ref="Q462">XLOOKUP(L462,'Dados Funil'!A:A,'Dados Funil'!AN:AN,"")</f>
        <v/>
      </c>
      <c r="T462" s="7" t="str">
        <f t="shared" si="4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9" t="str">
        <f t="array" ref="Q463">XLOOKUP(L463,'Dados Funil'!A:A,'Dados Funil'!AN:AN,"")</f>
        <v/>
      </c>
      <c r="T463" s="7" t="str">
        <f t="shared" si="4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9" t="str">
        <f t="array" ref="Q464">XLOOKUP(L464,'Dados Funil'!A:A,'Dados Funil'!AN:AN,"")</f>
        <v/>
      </c>
      <c r="T464" s="7" t="str">
        <f t="shared" si="4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9" t="str">
        <f t="array" ref="Q465">XLOOKUP(L465,'Dados Funil'!A:A,'Dados Funil'!AN:AN,"")</f>
        <v/>
      </c>
      <c r="T465" s="7" t="str">
        <f t="shared" si="4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9" t="str">
        <f t="array" ref="Q466">XLOOKUP(L466,'Dados Funil'!A:A,'Dados Funil'!AN:AN,"")</f>
        <v/>
      </c>
      <c r="T466" s="7" t="str">
        <f t="shared" si="4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9" t="str">
        <f t="array" ref="Q467">XLOOKUP(L467,'Dados Funil'!A:A,'Dados Funil'!AN:AN,"")</f>
        <v/>
      </c>
      <c r="T467" s="7" t="str">
        <f t="shared" si="4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9" t="str">
        <f t="array" ref="Q468">XLOOKUP(L468,'Dados Funil'!A:A,'Dados Funil'!AN:AN,"")</f>
        <v/>
      </c>
      <c r="T468" s="7" t="str">
        <f t="shared" si="4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9" t="str">
        <f t="array" ref="Q469">XLOOKUP(L469,'Dados Funil'!A:A,'Dados Funil'!AN:AN,"")</f>
        <v/>
      </c>
      <c r="T469" s="7" t="str">
        <f t="shared" si="4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9" t="str">
        <f t="array" ref="Q470">XLOOKUP(L470,'Dados Funil'!A:A,'Dados Funil'!AN:AN,"")</f>
        <v/>
      </c>
      <c r="T470" s="7" t="str">
        <f t="shared" si="4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9" t="str">
        <f t="array" ref="Q471">XLOOKUP(L471,'Dados Funil'!A:A,'Dados Funil'!AN:AN,"")</f>
        <v/>
      </c>
      <c r="T471" s="7" t="str">
        <f t="shared" si="4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9" t="str">
        <f t="array" ref="Q472">XLOOKUP(L472,'Dados Funil'!A:A,'Dados Funil'!AN:AN,"")</f>
        <v/>
      </c>
      <c r="T472" s="7" t="str">
        <f t="shared" si="4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9" t="str">
        <f t="array" ref="Q473">XLOOKUP(L473,'Dados Funil'!A:A,'Dados Funil'!AN:AN,"")</f>
        <v/>
      </c>
      <c r="T473" s="7" t="str">
        <f t="shared" si="4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9" t="str">
        <f t="array" ref="Q474">XLOOKUP(L474,'Dados Funil'!A:A,'Dados Funil'!AN:AN,"")</f>
        <v/>
      </c>
      <c r="T474" s="7" t="str">
        <f t="shared" si="4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9" t="str">
        <f t="array" ref="Q475">XLOOKUP(L475,'Dados Funil'!A:A,'Dados Funil'!AN:AN,"")</f>
        <v/>
      </c>
      <c r="T475" s="7" t="str">
        <f t="shared" si="4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9" t="str">
        <f t="array" ref="Q476">XLOOKUP(L476,'Dados Funil'!A:A,'Dados Funil'!AN:AN,"")</f>
        <v/>
      </c>
      <c r="T476" s="7" t="str">
        <f t="shared" si="4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9" t="str">
        <f t="array" ref="Q477">XLOOKUP(L477,'Dados Funil'!A:A,'Dados Funil'!AN:AN,"")</f>
        <v/>
      </c>
      <c r="T477" s="7" t="str">
        <f t="shared" si="4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9" t="str">
        <f t="array" ref="Q478">XLOOKUP(L478,'Dados Funil'!A:A,'Dados Funil'!AN:AN,"")</f>
        <v/>
      </c>
      <c r="T478" s="7" t="str">
        <f t="shared" si="4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9" t="str">
        <f t="array" ref="Q479">XLOOKUP(L479,'Dados Funil'!A:A,'Dados Funil'!AN:AN,"")</f>
        <v/>
      </c>
      <c r="T479" s="7" t="str">
        <f t="shared" si="4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9" t="str">
        <f t="array" ref="Q480">XLOOKUP(L480,'Dados Funil'!A:A,'Dados Funil'!AN:AN,"")</f>
        <v/>
      </c>
      <c r="T480" s="7" t="str">
        <f t="shared" si="4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9" t="str">
        <f t="array" ref="Q481">XLOOKUP(L481,'Dados Funil'!A:A,'Dados Funil'!AN:AN,"")</f>
        <v/>
      </c>
      <c r="T481" s="7" t="str">
        <f t="shared" si="4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9" t="str">
        <f t="array" ref="Q482">XLOOKUP(L482,'Dados Funil'!A:A,'Dados Funil'!AN:AN,"")</f>
        <v/>
      </c>
      <c r="T482" s="7" t="str">
        <f t="shared" si="4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9" t="str">
        <f t="array" ref="Q483">XLOOKUP(L483,'Dados Funil'!A:A,'Dados Funil'!AN:AN,"")</f>
        <v/>
      </c>
      <c r="T483" s="7" t="str">
        <f t="shared" si="4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9" t="str">
        <f t="array" ref="Q484">XLOOKUP(L484,'Dados Funil'!A:A,'Dados Funil'!AN:AN,"")</f>
        <v/>
      </c>
      <c r="T484" s="7" t="str">
        <f t="shared" si="4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9" t="str">
        <f t="array" ref="Q485">XLOOKUP(L485,'Dados Funil'!A:A,'Dados Funil'!AN:AN,"")</f>
        <v/>
      </c>
      <c r="T485" s="7" t="str">
        <f t="shared" si="4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9" t="str">
        <f t="array" ref="Q486">XLOOKUP(L486,'Dados Funil'!A:A,'Dados Funil'!AN:AN,"")</f>
        <v/>
      </c>
      <c r="T486" s="7" t="str">
        <f t="shared" si="4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9" t="str">
        <f t="array" ref="Q487">XLOOKUP(L487,'Dados Funil'!A:A,'Dados Funil'!AN:AN,"")</f>
        <v/>
      </c>
      <c r="T487" s="7" t="str">
        <f t="shared" si="4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9" t="str">
        <f t="array" ref="Q488">XLOOKUP(L488,'Dados Funil'!A:A,'Dados Funil'!AN:AN,"")</f>
        <v/>
      </c>
      <c r="T488" s="7" t="str">
        <f t="shared" si="4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9" t="str">
        <f t="array" ref="Q489">XLOOKUP(L489,'Dados Funil'!A:A,'Dados Funil'!AN:AN,"")</f>
        <v/>
      </c>
      <c r="T489" s="7" t="str">
        <f t="shared" si="4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9" t="str">
        <f t="array" ref="Q490">XLOOKUP(L490,'Dados Funil'!A:A,'Dados Funil'!AN:AN,"")</f>
        <v/>
      </c>
      <c r="T490" s="7" t="str">
        <f t="shared" si="4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9" t="str">
        <f t="array" ref="Q491">XLOOKUP(L491,'Dados Funil'!A:A,'Dados Funil'!AN:AN,"")</f>
        <v/>
      </c>
      <c r="T491" s="7" t="str">
        <f t="shared" si="4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9" t="str">
        <f t="array" ref="Q492">XLOOKUP(L492,'Dados Funil'!A:A,'Dados Funil'!AN:AN,"")</f>
        <v/>
      </c>
      <c r="T492" s="7" t="str">
        <f t="shared" si="4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9" t="str">
        <f t="array" ref="Q493">XLOOKUP(L493,'Dados Funil'!A:A,'Dados Funil'!AN:AN,"")</f>
        <v/>
      </c>
      <c r="T493" s="7" t="str">
        <f t="shared" si="4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9" t="str">
        <f t="array" ref="Q494">XLOOKUP(L494,'Dados Funil'!A:A,'Dados Funil'!AN:AN,"")</f>
        <v/>
      </c>
      <c r="T494" s="7" t="str">
        <f t="shared" si="4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9" t="str">
        <f t="array" ref="Q495">XLOOKUP(L495,'Dados Funil'!A:A,'Dados Funil'!AN:AN,"")</f>
        <v/>
      </c>
      <c r="T495" s="7" t="str">
        <f t="shared" si="4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9" t="str">
        <f t="array" ref="Q496">XLOOKUP(L496,'Dados Funil'!A:A,'Dados Funil'!AN:AN,"")</f>
        <v/>
      </c>
      <c r="T496" s="7" t="str">
        <f t="shared" si="4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9" t="str">
        <f t="array" ref="Q497">XLOOKUP(L497,'Dados Funil'!A:A,'Dados Funil'!AN:AN,"")</f>
        <v/>
      </c>
      <c r="T497" s="7" t="str">
        <f t="shared" si="4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9" t="str">
        <f t="array" ref="Q498">XLOOKUP(L498,'Dados Funil'!A:A,'Dados Funil'!AN:AN,"")</f>
        <v/>
      </c>
      <c r="T498" s="7" t="str">
        <f t="shared" si="4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9" t="str">
        <f t="array" ref="Q499">XLOOKUP(L499,'Dados Funil'!A:A,'Dados Funil'!AN:AN,"")</f>
        <v/>
      </c>
      <c r="T499" s="7" t="str">
        <f t="shared" si="4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9" t="str">
        <f t="array" ref="Q500">XLOOKUP(L500,'Dados Funil'!A:A,'Dados Funil'!AN:AN,"")</f>
        <v/>
      </c>
      <c r="T500" s="7" t="str">
        <f t="shared" si="4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9" t="str">
        <f t="array" ref="Q501">XLOOKUP(L501,'Dados Funil'!A:A,'Dados Funil'!AN:AN,"")</f>
        <v/>
      </c>
      <c r="T501" s="7" t="str">
        <f t="shared" si="4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9" t="str">
        <f t="array" ref="Q502">XLOOKUP(L502,'Dados Funil'!A:A,'Dados Funil'!AN:AN,"")</f>
        <v/>
      </c>
      <c r="T502" s="7" t="str">
        <f t="shared" si="4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9" t="str">
        <f t="array" ref="Q503">XLOOKUP(L503,'Dados Funil'!A:A,'Dados Funil'!AN:AN,"")</f>
        <v/>
      </c>
      <c r="T503" s="7" t="str">
        <f t="shared" si="4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9" t="str">
        <f t="array" ref="Q504">XLOOKUP(L504,'Dados Funil'!A:A,'Dados Funil'!AN:AN,"")</f>
        <v/>
      </c>
      <c r="T504" s="7" t="str">
        <f t="shared" si="4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9" t="str">
        <f t="array" ref="Q505">XLOOKUP(L505,'Dados Funil'!A:A,'Dados Funil'!AN:AN,"")</f>
        <v/>
      </c>
      <c r="T505" s="7" t="str">
        <f t="shared" si="4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9" t="str">
        <f t="array" ref="Q506">XLOOKUP(L506,'Dados Funil'!A:A,'Dados Funil'!AN:AN,"")</f>
        <v/>
      </c>
      <c r="T506" s="7" t="str">
        <f t="shared" si="4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9" t="str">
        <f t="array" ref="Q507">XLOOKUP(L507,'Dados Funil'!A:A,'Dados Funil'!AN:AN,"")</f>
        <v/>
      </c>
      <c r="T507" s="7" t="str">
        <f t="shared" si="4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9" t="str">
        <f t="array" ref="Q508">XLOOKUP(L508,'Dados Funil'!A:A,'Dados Funil'!AN:AN,"")</f>
        <v/>
      </c>
      <c r="T508" s="7" t="str">
        <f t="shared" si="4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9" t="str">
        <f t="array" ref="Q509">XLOOKUP(L509,'Dados Funil'!A:A,'Dados Funil'!AN:AN,"")</f>
        <v/>
      </c>
      <c r="T509" s="7" t="str">
        <f t="shared" si="4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9" t="str">
        <f t="array" ref="Q510">XLOOKUP(L510,'Dados Funil'!A:A,'Dados Funil'!AN:AN,"")</f>
        <v/>
      </c>
      <c r="T510" s="7" t="str">
        <f t="shared" si="4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9" t="str">
        <f t="array" ref="Q511">XLOOKUP(L511,'Dados Funil'!A:A,'Dados Funil'!AN:AN,"")</f>
        <v/>
      </c>
      <c r="T511" s="7" t="str">
        <f t="shared" si="4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9" t="str">
        <f t="array" ref="Q512">XLOOKUP(L512,'Dados Funil'!A:A,'Dados Funil'!AN:AN,"")</f>
        <v/>
      </c>
      <c r="T512" s="7" t="str">
        <f t="shared" si="4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9" t="str">
        <f t="array" ref="Q513">XLOOKUP(L513,'Dados Funil'!A:A,'Dados Funil'!AN:AN,"")</f>
        <v/>
      </c>
      <c r="T513" s="7" t="str">
        <f t="shared" si="4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9" t="str">
        <f t="array" ref="Q514">XLOOKUP(L514,'Dados Funil'!A:A,'Dados Funil'!AN:AN,"")</f>
        <v/>
      </c>
      <c r="T514" s="7" t="str">
        <f t="shared" si="4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9" t="str">
        <f t="array" ref="Q515">XLOOKUP(L515,'Dados Funil'!A:A,'Dados Funil'!AN:AN,"")</f>
        <v/>
      </c>
      <c r="T515" s="7" t="str">
        <f t="shared" si="4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9" t="str">
        <f t="array" ref="Q516">XLOOKUP(L516,'Dados Funil'!A:A,'Dados Funil'!AN:AN,"")</f>
        <v/>
      </c>
      <c r="T516" s="7" t="str">
        <f t="shared" si="4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9" t="str">
        <f t="array" ref="Q517">XLOOKUP(L517,'Dados Funil'!A:A,'Dados Funil'!AN:AN,"")</f>
        <v/>
      </c>
      <c r="T517" s="7" t="str">
        <f t="shared" si="4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9" t="str">
        <f t="array" ref="Q518">XLOOKUP(L518,'Dados Funil'!A:A,'Dados Funil'!AN:AN,"")</f>
        <v/>
      </c>
      <c r="T518" s="7" t="str">
        <f t="shared" si="4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9" t="str">
        <f t="array" ref="Q519">XLOOKUP(L519,'Dados Funil'!A:A,'Dados Funil'!AN:AN,"")</f>
        <v/>
      </c>
      <c r="T519" s="7" t="str">
        <f t="shared" si="4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9" t="str">
        <f t="array" ref="Q520">XLOOKUP(L520,'Dados Funil'!A:A,'Dados Funil'!AN:AN,"")</f>
        <v/>
      </c>
      <c r="T520" s="7" t="str">
        <f t="shared" si="4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9" t="str">
        <f t="array" ref="Q521">XLOOKUP(L521,'Dados Funil'!A:A,'Dados Funil'!AN:AN,"")</f>
        <v/>
      </c>
      <c r="T521" s="7" t="str">
        <f t="shared" si="4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9" t="str">
        <f t="array" ref="Q522">XLOOKUP(L522,'Dados Funil'!A:A,'Dados Funil'!AN:AN,"")</f>
        <v/>
      </c>
      <c r="T522" s="7" t="str">
        <f t="shared" si="4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9" t="str">
        <f t="array" ref="Q523">XLOOKUP(L523,'Dados Funil'!A:A,'Dados Funil'!AN:AN,"")</f>
        <v/>
      </c>
      <c r="T523" s="7" t="str">
        <f t="shared" si="4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9" t="str">
        <f t="array" ref="Q524">XLOOKUP(L524,'Dados Funil'!A:A,'Dados Funil'!AN:AN,"")</f>
        <v/>
      </c>
      <c r="T524" s="7" t="str">
        <f t="shared" si="4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9" t="str">
        <f t="array" ref="Q525">XLOOKUP(L525,'Dados Funil'!A:A,'Dados Funil'!AN:AN,"")</f>
        <v/>
      </c>
      <c r="T525" s="7" t="str">
        <f t="shared" si="4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9" t="str">
        <f t="array" ref="Q526">XLOOKUP(L526,'Dados Funil'!A:A,'Dados Funil'!AN:AN,"")</f>
        <v/>
      </c>
      <c r="T526" s="7" t="str">
        <f t="shared" si="4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9" t="str">
        <f t="array" ref="Q527">XLOOKUP(L527,'Dados Funil'!A:A,'Dados Funil'!AN:AN,"")</f>
        <v/>
      </c>
      <c r="T527" s="7" t="str">
        <f t="shared" si="4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9" t="str">
        <f t="array" ref="Q528">XLOOKUP(L528,'Dados Funil'!A:A,'Dados Funil'!AN:AN,"")</f>
        <v/>
      </c>
      <c r="T528" s="7" t="str">
        <f t="shared" si="4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9" t="str">
        <f t="array" ref="Q529">XLOOKUP(L529,'Dados Funil'!A:A,'Dados Funil'!AN:AN,"")</f>
        <v/>
      </c>
      <c r="T529" s="7" t="str">
        <f t="shared" si="4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9" t="str">
        <f t="array" ref="Q530">XLOOKUP(L530,'Dados Funil'!A:A,'Dados Funil'!AN:AN,"")</f>
        <v/>
      </c>
      <c r="T530" s="7" t="str">
        <f t="shared" si="4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9" t="str">
        <f t="array" ref="Q531">XLOOKUP(L531,'Dados Funil'!A:A,'Dados Funil'!AN:AN,"")</f>
        <v/>
      </c>
      <c r="T531" s="7" t="str">
        <f t="shared" si="4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9" t="str">
        <f t="array" ref="Q532">XLOOKUP(L532,'Dados Funil'!A:A,'Dados Funil'!AN:AN,"")</f>
        <v/>
      </c>
      <c r="T532" s="7" t="str">
        <f t="shared" si="4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9" t="str">
        <f t="array" ref="Q533">XLOOKUP(L533,'Dados Funil'!A:A,'Dados Funil'!AN:AN,"")</f>
        <v/>
      </c>
      <c r="T533" s="7" t="str">
        <f t="shared" si="4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9" t="str">
        <f t="array" ref="Q534">XLOOKUP(L534,'Dados Funil'!A:A,'Dados Funil'!AN:AN,"")</f>
        <v/>
      </c>
      <c r="T534" s="7" t="str">
        <f t="shared" si="4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9" t="str">
        <f t="array" ref="Q535">XLOOKUP(L535,'Dados Funil'!A:A,'Dados Funil'!AN:AN,"")</f>
        <v/>
      </c>
      <c r="T535" s="7" t="str">
        <f t="shared" si="4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9" t="str">
        <f t="array" ref="Q536">XLOOKUP(L536,'Dados Funil'!A:A,'Dados Funil'!AN:AN,"")</f>
        <v/>
      </c>
      <c r="T536" s="7" t="str">
        <f t="shared" si="4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9" t="str">
        <f t="array" ref="Q537">XLOOKUP(L537,'Dados Funil'!A:A,'Dados Funil'!AN:AN,"")</f>
        <v/>
      </c>
      <c r="T537" s="7" t="str">
        <f t="shared" si="4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9" t="str">
        <f t="array" ref="Q538">XLOOKUP(L538,'Dados Funil'!A:A,'Dados Funil'!AN:AN,"")</f>
        <v/>
      </c>
      <c r="T538" s="7" t="str">
        <f t="shared" si="4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9" t="str">
        <f t="array" ref="Q539">XLOOKUP(L539,'Dados Funil'!A:A,'Dados Funil'!AN:AN,"")</f>
        <v/>
      </c>
      <c r="T539" s="7" t="str">
        <f t="shared" si="4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9" t="str">
        <f t="array" ref="Q540">XLOOKUP(L540,'Dados Funil'!A:A,'Dados Funil'!AN:AN,"")</f>
        <v/>
      </c>
      <c r="T540" s="7" t="str">
        <f t="shared" si="4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9" t="str">
        <f t="array" ref="Q541">XLOOKUP(L541,'Dados Funil'!A:A,'Dados Funil'!AN:AN,"")</f>
        <v/>
      </c>
      <c r="T541" s="7" t="str">
        <f t="shared" si="4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9" t="str">
        <f t="array" ref="Q542">XLOOKUP(L542,'Dados Funil'!A:A,'Dados Funil'!AN:AN,"")</f>
        <v/>
      </c>
      <c r="T542" s="7" t="str">
        <f t="shared" si="4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9" t="str">
        <f t="array" ref="Q543">XLOOKUP(L543,'Dados Funil'!A:A,'Dados Funil'!AN:AN,"")</f>
        <v/>
      </c>
      <c r="T543" s="7" t="str">
        <f t="shared" si="4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9" t="str">
        <f t="array" ref="Q544">XLOOKUP(L544,'Dados Funil'!A:A,'Dados Funil'!AN:AN,"")</f>
        <v/>
      </c>
      <c r="T544" s="7" t="str">
        <f t="shared" si="4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9" t="str">
        <f t="array" ref="Q545">XLOOKUP(L545,'Dados Funil'!A:A,'Dados Funil'!AN:AN,"")</f>
        <v/>
      </c>
      <c r="T545" s="7" t="str">
        <f t="shared" si="4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9" t="str">
        <f t="array" ref="Q546">XLOOKUP(L546,'Dados Funil'!A:A,'Dados Funil'!AN:AN,"")</f>
        <v/>
      </c>
      <c r="T546" s="7" t="str">
        <f t="shared" si="4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9" t="str">
        <f t="array" ref="Q547">XLOOKUP(L547,'Dados Funil'!A:A,'Dados Funil'!AN:AN,"")</f>
        <v/>
      </c>
      <c r="T547" s="7" t="str">
        <f t="shared" si="4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9" t="str">
        <f t="array" ref="Q548">XLOOKUP(L548,'Dados Funil'!A:A,'Dados Funil'!AN:AN,"")</f>
        <v/>
      </c>
      <c r="T548" s="7" t="str">
        <f t="shared" si="4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9" t="str">
        <f t="array" ref="Q549">XLOOKUP(L549,'Dados Funil'!A:A,'Dados Funil'!AN:AN,"")</f>
        <v/>
      </c>
      <c r="T549" s="7" t="str">
        <f t="shared" si="4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9" t="str">
        <f t="array" ref="Q550">XLOOKUP(L550,'Dados Funil'!A:A,'Dados Funil'!AN:AN,"")</f>
        <v/>
      </c>
      <c r="T550" s="7" t="str">
        <f t="shared" si="4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9" t="str">
        <f t="array" ref="Q551">XLOOKUP(L551,'Dados Funil'!A:A,'Dados Funil'!AN:AN,"")</f>
        <v/>
      </c>
      <c r="T551" s="7" t="str">
        <f t="shared" si="4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9" t="str">
        <f t="array" ref="Q552">XLOOKUP(L552,'Dados Funil'!A:A,'Dados Funil'!AN:AN,"")</f>
        <v/>
      </c>
      <c r="T552" s="7" t="str">
        <f t="shared" si="4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9" t="str">
        <f t="array" ref="Q553">XLOOKUP(L553,'Dados Funil'!A:A,'Dados Funil'!AN:AN,"")</f>
        <v/>
      </c>
      <c r="T553" s="7" t="str">
        <f t="shared" si="4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9" t="str">
        <f t="array" ref="Q554">XLOOKUP(L554,'Dados Funil'!A:A,'Dados Funil'!AN:AN,"")</f>
        <v/>
      </c>
      <c r="T554" s="7" t="str">
        <f t="shared" si="4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9" t="str">
        <f t="array" ref="Q555">XLOOKUP(L555,'Dados Funil'!A:A,'Dados Funil'!AN:AN,"")</f>
        <v/>
      </c>
      <c r="T555" s="7" t="str">
        <f t="shared" si="4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9" t="str">
        <f t="array" ref="Q556">XLOOKUP(L556,'Dados Funil'!A:A,'Dados Funil'!AN:AN,"")</f>
        <v/>
      </c>
      <c r="T556" s="7" t="str">
        <f t="shared" si="4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9" t="str">
        <f t="array" ref="Q557">XLOOKUP(L557,'Dados Funil'!A:A,'Dados Funil'!AN:AN,"")</f>
        <v/>
      </c>
      <c r="T557" s="7" t="str">
        <f t="shared" si="4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9" t="str">
        <f t="array" ref="Q558">XLOOKUP(L558,'Dados Funil'!A:A,'Dados Funil'!AN:AN,"")</f>
        <v/>
      </c>
      <c r="T558" s="7" t="str">
        <f t="shared" si="4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9" t="str">
        <f t="array" ref="Q559">XLOOKUP(L559,'Dados Funil'!A:A,'Dados Funil'!AN:AN,"")</f>
        <v/>
      </c>
      <c r="T559" s="7" t="str">
        <f t="shared" si="4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9" t="str">
        <f t="array" ref="Q560">XLOOKUP(L560,'Dados Funil'!A:A,'Dados Funil'!AN:AN,"")</f>
        <v/>
      </c>
      <c r="T560" s="7" t="str">
        <f t="shared" si="4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9" t="str">
        <f t="array" ref="Q561">XLOOKUP(L561,'Dados Funil'!A:A,'Dados Funil'!AN:AN,"")</f>
        <v/>
      </c>
      <c r="T561" s="7" t="str">
        <f t="shared" si="4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9" t="str">
        <f t="array" ref="Q562">XLOOKUP(L562,'Dados Funil'!A:A,'Dados Funil'!AN:AN,"")</f>
        <v/>
      </c>
      <c r="T562" s="7" t="str">
        <f t="shared" si="4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9" t="str">
        <f t="array" ref="Q563">XLOOKUP(L563,'Dados Funil'!A:A,'Dados Funil'!AN:AN,"")</f>
        <v/>
      </c>
      <c r="T563" s="7" t="str">
        <f t="shared" si="4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9" t="str">
        <f t="array" ref="Q564">XLOOKUP(L564,'Dados Funil'!A:A,'Dados Funil'!AN:AN,"")</f>
        <v/>
      </c>
      <c r="T564" s="7" t="str">
        <f t="shared" si="4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9" t="str">
        <f t="array" ref="Q565">XLOOKUP(L565,'Dados Funil'!A:A,'Dados Funil'!AN:AN,"")</f>
        <v/>
      </c>
      <c r="T565" s="7" t="str">
        <f t="shared" si="4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9" t="str">
        <f t="array" ref="Q566">XLOOKUP(L566,'Dados Funil'!A:A,'Dados Funil'!AN:AN,"")</f>
        <v/>
      </c>
      <c r="T566" s="7" t="str">
        <f t="shared" si="4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9" t="str">
        <f t="array" ref="Q567">XLOOKUP(L567,'Dados Funil'!A:A,'Dados Funil'!AN:AN,"")</f>
        <v/>
      </c>
      <c r="T567" s="7" t="str">
        <f t="shared" si="4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9" t="str">
        <f t="array" ref="Q568">XLOOKUP(L568,'Dados Funil'!A:A,'Dados Funil'!AN:AN,"")</f>
        <v/>
      </c>
      <c r="T568" s="7" t="str">
        <f t="shared" si="4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9" t="str">
        <f t="array" ref="Q569">XLOOKUP(L569,'Dados Funil'!A:A,'Dados Funil'!AN:AN,"")</f>
        <v/>
      </c>
      <c r="T569" s="7" t="str">
        <f t="shared" si="4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9" t="str">
        <f t="array" ref="Q570">XLOOKUP(L570,'Dados Funil'!A:A,'Dados Funil'!AN:AN,"")</f>
        <v/>
      </c>
      <c r="T570" s="7" t="str">
        <f t="shared" si="4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9" t="str">
        <f t="array" ref="Q571">XLOOKUP(L571,'Dados Funil'!A:A,'Dados Funil'!AN:AN,"")</f>
        <v/>
      </c>
      <c r="T571" s="7" t="str">
        <f t="shared" si="4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9" t="str">
        <f t="array" ref="Q572">XLOOKUP(L572,'Dados Funil'!A:A,'Dados Funil'!AN:AN,"")</f>
        <v/>
      </c>
      <c r="T572" s="7" t="str">
        <f t="shared" si="4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9" t="str">
        <f t="array" ref="Q573">XLOOKUP(L573,'Dados Funil'!A:A,'Dados Funil'!AN:AN,"")</f>
        <v/>
      </c>
      <c r="T573" s="7" t="str">
        <f t="shared" si="4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9" t="str">
        <f t="array" ref="Q574">XLOOKUP(L574,'Dados Funil'!A:A,'Dados Funil'!AN:AN,"")</f>
        <v/>
      </c>
      <c r="T574" s="7" t="str">
        <f t="shared" si="4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9" t="str">
        <f t="array" ref="Q575">XLOOKUP(L575,'Dados Funil'!A:A,'Dados Funil'!AN:AN,"")</f>
        <v/>
      </c>
      <c r="T575" s="7" t="str">
        <f t="shared" si="4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9" t="str">
        <f t="array" ref="Q576">XLOOKUP(L576,'Dados Funil'!A:A,'Dados Funil'!AN:AN,"")</f>
        <v/>
      </c>
      <c r="T576" s="7" t="str">
        <f t="shared" si="4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9" t="str">
        <f t="array" ref="Q577">XLOOKUP(L577,'Dados Funil'!A:A,'Dados Funil'!AN:AN,"")</f>
        <v/>
      </c>
      <c r="T577" s="7" t="str">
        <f t="shared" si="4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9" t="str">
        <f t="array" ref="Q578">XLOOKUP(L578,'Dados Funil'!A:A,'Dados Funil'!AN:AN,"")</f>
        <v/>
      </c>
      <c r="T578" s="7" t="str">
        <f t="shared" si="4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9" t="str">
        <f t="array" ref="Q579">XLOOKUP(L579,'Dados Funil'!A:A,'Dados Funil'!AN:AN,"")</f>
        <v/>
      </c>
      <c r="T579" s="7" t="str">
        <f t="shared" si="4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9" t="str">
        <f t="array" ref="Q580">XLOOKUP(L580,'Dados Funil'!A:A,'Dados Funil'!AN:AN,"")</f>
        <v/>
      </c>
      <c r="T580" s="7" t="str">
        <f t="shared" si="4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9" t="str">
        <f t="array" ref="Q581">XLOOKUP(L581,'Dados Funil'!A:A,'Dados Funil'!AN:AN,"")</f>
        <v/>
      </c>
      <c r="T581" s="7" t="str">
        <f t="shared" si="4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9" t="str">
        <f t="array" ref="Q582">XLOOKUP(L582,'Dados Funil'!A:A,'Dados Funil'!AN:AN,"")</f>
        <v/>
      </c>
      <c r="T582" s="7" t="str">
        <f t="shared" si="4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9" t="str">
        <f t="array" ref="Q583">XLOOKUP(L583,'Dados Funil'!A:A,'Dados Funil'!AN:AN,"")</f>
        <v/>
      </c>
      <c r="T583" s="7" t="str">
        <f t="shared" si="4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9" t="str">
        <f t="array" ref="Q584">XLOOKUP(L584,'Dados Funil'!A:A,'Dados Funil'!AN:AN,"")</f>
        <v/>
      </c>
      <c r="T584" s="7" t="str">
        <f t="shared" si="4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9" t="str">
        <f t="array" ref="Q585">XLOOKUP(L585,'Dados Funil'!A:A,'Dados Funil'!AN:AN,"")</f>
        <v/>
      </c>
      <c r="T585" s="7" t="str">
        <f t="shared" si="4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9" t="str">
        <f t="array" ref="Q586">XLOOKUP(L586,'Dados Funil'!A:A,'Dados Funil'!AN:AN,"")</f>
        <v/>
      </c>
      <c r="T586" s="7" t="str">
        <f t="shared" si="4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9" t="str">
        <f t="array" ref="Q587">XLOOKUP(L587,'Dados Funil'!A:A,'Dados Funil'!AN:AN,"")</f>
        <v/>
      </c>
      <c r="T587" s="7" t="str">
        <f t="shared" si="4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9" t="str">
        <f t="array" ref="Q588">XLOOKUP(L588,'Dados Funil'!A:A,'Dados Funil'!AN:AN,"")</f>
        <v/>
      </c>
      <c r="T588" s="7" t="str">
        <f t="shared" si="4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9" t="str">
        <f t="array" ref="Q589">XLOOKUP(L589,'Dados Funil'!A:A,'Dados Funil'!AN:AN,"")</f>
        <v/>
      </c>
      <c r="T589" s="7" t="str">
        <f t="shared" si="4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9" t="str">
        <f t="array" ref="Q590">XLOOKUP(L590,'Dados Funil'!A:A,'Dados Funil'!AN:AN,"")</f>
        <v/>
      </c>
      <c r="T590" s="7" t="str">
        <f t="shared" si="4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9" t="str">
        <f t="array" ref="Q591">XLOOKUP(L591,'Dados Funil'!A:A,'Dados Funil'!AN:AN,"")</f>
        <v/>
      </c>
      <c r="T591" s="7" t="str">
        <f t="shared" si="4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9" t="str">
        <f t="array" ref="Q592">XLOOKUP(L592,'Dados Funil'!A:A,'Dados Funil'!AN:AN,"")</f>
        <v/>
      </c>
      <c r="T592" s="7" t="str">
        <f t="shared" si="4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9" t="str">
        <f t="array" ref="Q593">XLOOKUP(L593,'Dados Funil'!A:A,'Dados Funil'!AN:AN,"")</f>
        <v/>
      </c>
      <c r="T593" s="7" t="str">
        <f t="shared" si="4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9" t="str">
        <f t="array" ref="Q594">XLOOKUP(L594,'Dados Funil'!A:A,'Dados Funil'!AN:AN,"")</f>
        <v/>
      </c>
      <c r="T594" s="7" t="str">
        <f t="shared" si="4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9" t="str">
        <f t="array" ref="Q595">XLOOKUP(L595,'Dados Funil'!A:A,'Dados Funil'!AN:AN,"")</f>
        <v/>
      </c>
      <c r="T595" s="7" t="str">
        <f t="shared" si="4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9" t="str">
        <f t="array" ref="Q596">XLOOKUP(L596,'Dados Funil'!A:A,'Dados Funil'!AN:AN,"")</f>
        <v/>
      </c>
      <c r="T596" s="7" t="str">
        <f t="shared" si="4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9" t="str">
        <f t="array" ref="Q597">XLOOKUP(L597,'Dados Funil'!A:A,'Dados Funil'!AN:AN,"")</f>
        <v/>
      </c>
      <c r="T597" s="7" t="str">
        <f t="shared" si="4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9" t="str">
        <f t="array" ref="Q598">XLOOKUP(L598,'Dados Funil'!A:A,'Dados Funil'!AN:AN,"")</f>
        <v/>
      </c>
      <c r="T598" s="7" t="str">
        <f t="shared" si="4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9" t="str">
        <f t="array" ref="Q599">XLOOKUP(L599,'Dados Funil'!A:A,'Dados Funil'!AN:AN,"")</f>
        <v/>
      </c>
      <c r="T599" s="7" t="str">
        <f t="shared" si="4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9" t="str">
        <f t="array" ref="Q600">XLOOKUP(L600,'Dados Funil'!A:A,'Dados Funil'!AN:AN,"")</f>
        <v/>
      </c>
      <c r="T600" s="7" t="str">
        <f t="shared" si="4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9" t="str">
        <f t="array" ref="Q601">XLOOKUP(L601,'Dados Funil'!A:A,'Dados Funil'!AN:AN,"")</f>
        <v/>
      </c>
      <c r="T601" s="7" t="str">
        <f t="shared" si="4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9" t="str">
        <f t="array" ref="Q602">XLOOKUP(L602,'Dados Funil'!A:A,'Dados Funil'!AN:AN,"")</f>
        <v/>
      </c>
      <c r="T602" s="7" t="str">
        <f t="shared" si="4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9" t="str">
        <f t="array" ref="Q603">XLOOKUP(L603,'Dados Funil'!A:A,'Dados Funil'!AN:AN,"")</f>
        <v/>
      </c>
      <c r="T603" s="7" t="str">
        <f t="shared" si="4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9" t="str">
        <f t="array" ref="Q604">XLOOKUP(L604,'Dados Funil'!A:A,'Dados Funil'!AN:AN,"")</f>
        <v/>
      </c>
      <c r="T604" s="7" t="str">
        <f t="shared" si="4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9" t="str">
        <f t="array" ref="Q605">XLOOKUP(L605,'Dados Funil'!A:A,'Dados Funil'!AN:AN,"")</f>
        <v/>
      </c>
      <c r="T605" s="7" t="str">
        <f t="shared" si="4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9" t="str">
        <f t="array" ref="Q606">XLOOKUP(L606,'Dados Funil'!A:A,'Dados Funil'!AN:AN,"")</f>
        <v/>
      </c>
      <c r="T606" s="7" t="str">
        <f t="shared" si="4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9" t="str">
        <f t="array" ref="Q607">XLOOKUP(L607,'Dados Funil'!A:A,'Dados Funil'!AN:AN,"")</f>
        <v/>
      </c>
      <c r="T607" s="7" t="str">
        <f t="shared" si="4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9" t="str">
        <f t="array" ref="Q608">XLOOKUP(L608,'Dados Funil'!A:A,'Dados Funil'!AN:AN,"")</f>
        <v/>
      </c>
      <c r="T608" s="7" t="str">
        <f t="shared" si="4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9" t="str">
        <f t="array" ref="Q609">XLOOKUP(L609,'Dados Funil'!A:A,'Dados Funil'!AN:AN,"")</f>
        <v/>
      </c>
      <c r="T609" s="7" t="str">
        <f t="shared" si="4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9" t="str">
        <f t="array" ref="Q610">XLOOKUP(L610,'Dados Funil'!A:A,'Dados Funil'!AN:AN,"")</f>
        <v/>
      </c>
      <c r="T610" s="7" t="str">
        <f t="shared" si="4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9" t="str">
        <f t="array" ref="Q611">XLOOKUP(L611,'Dados Funil'!A:A,'Dados Funil'!AN:AN,"")</f>
        <v/>
      </c>
      <c r="T611" s="7" t="str">
        <f t="shared" si="4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9" t="str">
        <f t="array" ref="Q612">XLOOKUP(L612,'Dados Funil'!A:A,'Dados Funil'!AN:AN,"")</f>
        <v/>
      </c>
      <c r="T612" s="7" t="str">
        <f t="shared" si="4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9" t="str">
        <f t="array" ref="Q613">XLOOKUP(L613,'Dados Funil'!A:A,'Dados Funil'!AN:AN,"")</f>
        <v/>
      </c>
      <c r="T613" s="7" t="str">
        <f t="shared" si="4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9" t="str">
        <f t="array" ref="Q614">XLOOKUP(L614,'Dados Funil'!A:A,'Dados Funil'!AN:AN,"")</f>
        <v/>
      </c>
      <c r="T614" s="7" t="str">
        <f t="shared" si="4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9" t="str">
        <f t="array" ref="Q615">XLOOKUP(L615,'Dados Funil'!A:A,'Dados Funil'!AN:AN,"")</f>
        <v/>
      </c>
      <c r="T615" s="7" t="str">
        <f t="shared" si="4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9" t="str">
        <f t="array" ref="Q616">XLOOKUP(L616,'Dados Funil'!A:A,'Dados Funil'!AN:AN,"")</f>
        <v/>
      </c>
      <c r="T616" s="7" t="str">
        <f t="shared" si="4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9" t="str">
        <f t="array" ref="Q617">XLOOKUP(L617,'Dados Funil'!A:A,'Dados Funil'!AN:AN,"")</f>
        <v/>
      </c>
      <c r="T617" s="7" t="str">
        <f t="shared" si="4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9" t="str">
        <f t="array" ref="Q618">XLOOKUP(L618,'Dados Funil'!A:A,'Dados Funil'!AN:AN,"")</f>
        <v/>
      </c>
      <c r="T618" s="7" t="str">
        <f t="shared" si="4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9" t="str">
        <f t="array" ref="Q619">XLOOKUP(L619,'Dados Funil'!A:A,'Dados Funil'!AN:AN,"")</f>
        <v/>
      </c>
      <c r="T619" s="7" t="str">
        <f t="shared" si="4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9" t="str">
        <f t="array" ref="Q620">XLOOKUP(L620,'Dados Funil'!A:A,'Dados Funil'!AN:AN,"")</f>
        <v/>
      </c>
      <c r="T620" s="7" t="str">
        <f t="shared" si="4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9" t="str">
        <f t="array" ref="Q621">XLOOKUP(L621,'Dados Funil'!A:A,'Dados Funil'!AN:AN,"")</f>
        <v/>
      </c>
      <c r="T621" s="7" t="str">
        <f t="shared" si="4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9" t="str">
        <f t="array" ref="Q622">XLOOKUP(L622,'Dados Funil'!A:A,'Dados Funil'!AN:AN,"")</f>
        <v/>
      </c>
      <c r="T622" s="7" t="str">
        <f t="shared" si="4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9" t="str">
        <f t="array" ref="Q623">XLOOKUP(L623,'Dados Funil'!A:A,'Dados Funil'!AN:AN,"")</f>
        <v/>
      </c>
      <c r="T623" s="7" t="str">
        <f t="shared" si="4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9" t="str">
        <f t="array" ref="Q624">XLOOKUP(L624,'Dados Funil'!A:A,'Dados Funil'!AN:AN,"")</f>
        <v/>
      </c>
      <c r="T624" s="7" t="str">
        <f t="shared" si="4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9" t="str">
        <f t="array" ref="Q625">XLOOKUP(L625,'Dados Funil'!A:A,'Dados Funil'!AN:AN,"")</f>
        <v/>
      </c>
      <c r="T625" s="7" t="str">
        <f t="shared" si="4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9" t="str">
        <f t="array" ref="Q626">XLOOKUP(L626,'Dados Funil'!A:A,'Dados Funil'!AN:AN,"")</f>
        <v/>
      </c>
      <c r="T626" s="7" t="str">
        <f t="shared" si="4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9" t="str">
        <f t="array" ref="Q627">XLOOKUP(L627,'Dados Funil'!A:A,'Dados Funil'!AN:AN,"")</f>
        <v/>
      </c>
      <c r="T627" s="7" t="str">
        <f t="shared" si="4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9" t="str">
        <f t="array" ref="Q628">XLOOKUP(L628,'Dados Funil'!A:A,'Dados Funil'!AN:AN,"")</f>
        <v/>
      </c>
      <c r="T628" s="7" t="str">
        <f t="shared" si="4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9" t="str">
        <f t="array" ref="Q629">XLOOKUP(L629,'Dados Funil'!A:A,'Dados Funil'!AN:AN,"")</f>
        <v/>
      </c>
      <c r="T629" s="7" t="str">
        <f t="shared" si="4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9" t="str">
        <f t="array" ref="Q630">XLOOKUP(L630,'Dados Funil'!A:A,'Dados Funil'!AN:AN,"")</f>
        <v/>
      </c>
      <c r="T630" s="7" t="str">
        <f t="shared" si="4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9" t="str">
        <f t="array" ref="Q631">XLOOKUP(L631,'Dados Funil'!A:A,'Dados Funil'!AN:AN,"")</f>
        <v/>
      </c>
      <c r="T631" s="7" t="str">
        <f t="shared" si="4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9" t="str">
        <f t="array" ref="Q632">XLOOKUP(L632,'Dados Funil'!A:A,'Dados Funil'!AN:AN,"")</f>
        <v/>
      </c>
      <c r="T632" s="7" t="str">
        <f t="shared" si="4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9" t="str">
        <f t="array" ref="Q633">XLOOKUP(L633,'Dados Funil'!A:A,'Dados Funil'!AN:AN,"")</f>
        <v/>
      </c>
      <c r="T633" s="7" t="str">
        <f t="shared" si="4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9" t="str">
        <f t="array" ref="Q634">XLOOKUP(L634,'Dados Funil'!A:A,'Dados Funil'!AN:AN,"")</f>
        <v/>
      </c>
      <c r="T634" s="7" t="str">
        <f t="shared" si="4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9" t="str">
        <f t="array" ref="Q635">XLOOKUP(L635,'Dados Funil'!A:A,'Dados Funil'!AN:AN,"")</f>
        <v/>
      </c>
      <c r="T635" s="7" t="str">
        <f t="shared" si="4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9" t="str">
        <f t="array" ref="Q636">XLOOKUP(L636,'Dados Funil'!A:A,'Dados Funil'!AN:AN,"")</f>
        <v/>
      </c>
      <c r="T636" s="7" t="str">
        <f t="shared" si="4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9" t="str">
        <f t="array" ref="Q637">XLOOKUP(L637,'Dados Funil'!A:A,'Dados Funil'!AN:AN,"")</f>
        <v/>
      </c>
      <c r="T637" s="7" t="str">
        <f t="shared" si="4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9" t="str">
        <f t="array" ref="Q638">XLOOKUP(L638,'Dados Funil'!A:A,'Dados Funil'!AN:AN,"")</f>
        <v/>
      </c>
      <c r="T638" s="7" t="str">
        <f t="shared" si="4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9" t="str">
        <f t="array" ref="Q639">XLOOKUP(L639,'Dados Funil'!A:A,'Dados Funil'!AN:AN,"")</f>
        <v/>
      </c>
      <c r="T639" s="7" t="str">
        <f t="shared" si="4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9" t="str">
        <f t="array" ref="Q640">XLOOKUP(L640,'Dados Funil'!A:A,'Dados Funil'!AN:AN,"")</f>
        <v/>
      </c>
      <c r="T640" s="7" t="str">
        <f t="shared" si="4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9" t="str">
        <f t="array" ref="Q641">XLOOKUP(L641,'Dados Funil'!A:A,'Dados Funil'!AN:AN,"")</f>
        <v/>
      </c>
      <c r="T641" s="7" t="str">
        <f t="shared" si="4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9" t="str">
        <f t="array" ref="Q642">XLOOKUP(L642,'Dados Funil'!A:A,'Dados Funil'!AN:AN,"")</f>
        <v/>
      </c>
      <c r="T642" s="7" t="str">
        <f t="shared" si="4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9" t="str">
        <f t="array" ref="Q643">XLOOKUP(L643,'Dados Funil'!A:A,'Dados Funil'!AN:AN,"")</f>
        <v/>
      </c>
      <c r="T643" s="7" t="str">
        <f t="shared" si="4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9" t="str">
        <f t="array" ref="Q644">XLOOKUP(L644,'Dados Funil'!A:A,'Dados Funil'!AN:AN,"")</f>
        <v/>
      </c>
      <c r="T644" s="7" t="str">
        <f t="shared" si="4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9" t="str">
        <f t="array" ref="Q645">XLOOKUP(L645,'Dados Funil'!A:A,'Dados Funil'!AN:AN,"")</f>
        <v/>
      </c>
      <c r="T645" s="7" t="str">
        <f t="shared" si="4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9" t="str">
        <f t="array" ref="Q646">XLOOKUP(L646,'Dados Funil'!A:A,'Dados Funil'!AN:AN,"")</f>
        <v/>
      </c>
      <c r="T646" s="7" t="str">
        <f t="shared" si="4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9" t="str">
        <f t="array" ref="Q647">XLOOKUP(L647,'Dados Funil'!A:A,'Dados Funil'!AN:AN,"")</f>
        <v/>
      </c>
      <c r="T647" s="7" t="str">
        <f t="shared" si="4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9" t="str">
        <f t="array" ref="Q648">XLOOKUP(L648,'Dados Funil'!A:A,'Dados Funil'!AN:AN,"")</f>
        <v/>
      </c>
      <c r="T648" s="7" t="str">
        <f t="shared" si="4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9" t="str">
        <f t="array" ref="Q649">XLOOKUP(L649,'Dados Funil'!A:A,'Dados Funil'!AN:AN,"")</f>
        <v/>
      </c>
      <c r="T649" s="7" t="str">
        <f t="shared" si="4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9" t="str">
        <f t="array" ref="Q650">XLOOKUP(L650,'Dados Funil'!A:A,'Dados Funil'!AN:AN,"")</f>
        <v/>
      </c>
      <c r="T650" s="7" t="str">
        <f t="shared" si="4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9" t="str">
        <f t="array" ref="Q651">XLOOKUP(L651,'Dados Funil'!A:A,'Dados Funil'!AN:AN,"")</f>
        <v/>
      </c>
      <c r="T651" s="7" t="str">
        <f t="shared" si="4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9" t="str">
        <f t="array" ref="Q652">XLOOKUP(L652,'Dados Funil'!A:A,'Dados Funil'!AN:AN,"")</f>
        <v/>
      </c>
      <c r="T652" s="7" t="str">
        <f t="shared" si="4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9" t="str">
        <f t="array" ref="Q653">XLOOKUP(L653,'Dados Funil'!A:A,'Dados Funil'!AN:AN,"")</f>
        <v/>
      </c>
      <c r="T653" s="7" t="str">
        <f t="shared" si="4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9" t="str">
        <f t="array" ref="Q654">XLOOKUP(L654,'Dados Funil'!A:A,'Dados Funil'!AN:AN,"")</f>
        <v/>
      </c>
      <c r="T654" s="7" t="str">
        <f t="shared" si="4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9" t="str">
        <f t="array" ref="Q655">XLOOKUP(L655,'Dados Funil'!A:A,'Dados Funil'!AN:AN,"")</f>
        <v/>
      </c>
      <c r="T655" s="7" t="str">
        <f t="shared" si="4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9" t="str">
        <f t="array" ref="Q656">XLOOKUP(L656,'Dados Funil'!A:A,'Dados Funil'!AN:AN,"")</f>
        <v/>
      </c>
      <c r="T656" s="7" t="str">
        <f t="shared" si="4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9" t="str">
        <f t="array" ref="Q657">XLOOKUP(L657,'Dados Funil'!A:A,'Dados Funil'!AN:AN,"")</f>
        <v/>
      </c>
      <c r="T657" s="7" t="str">
        <f t="shared" si="4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9" t="str">
        <f t="array" ref="Q658">XLOOKUP(L658,'Dados Funil'!A:A,'Dados Funil'!AN:AN,"")</f>
        <v/>
      </c>
      <c r="T658" s="7" t="str">
        <f t="shared" si="4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9" t="str">
        <f t="array" ref="Q659">XLOOKUP(L659,'Dados Funil'!A:A,'Dados Funil'!AN:AN,"")</f>
        <v/>
      </c>
      <c r="T659" s="7" t="str">
        <f t="shared" si="4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9" t="str">
        <f t="array" ref="Q660">XLOOKUP(L660,'Dados Funil'!A:A,'Dados Funil'!AN:AN,"")</f>
        <v/>
      </c>
      <c r="T660" s="7" t="str">
        <f t="shared" si="4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9" t="str">
        <f t="array" ref="Q661">XLOOKUP(L661,'Dados Funil'!A:A,'Dados Funil'!AN:AN,"")</f>
        <v/>
      </c>
      <c r="T661" s="7" t="str">
        <f t="shared" si="4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9" t="str">
        <f t="array" ref="Q662">XLOOKUP(L662,'Dados Funil'!A:A,'Dados Funil'!AN:AN,"")</f>
        <v/>
      </c>
      <c r="T662" s="7" t="str">
        <f t="shared" si="4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9" t="str">
        <f t="array" ref="Q663">XLOOKUP(L663,'Dados Funil'!A:A,'Dados Funil'!AN:AN,"")</f>
        <v/>
      </c>
      <c r="T663" s="7" t="str">
        <f t="shared" si="4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9" t="str">
        <f t="array" ref="Q664">XLOOKUP(L664,'Dados Funil'!A:A,'Dados Funil'!AN:AN,"")</f>
        <v/>
      </c>
      <c r="T664" s="7" t="str">
        <f t="shared" si="4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9" t="str">
        <f t="array" ref="Q665">XLOOKUP(L665,'Dados Funil'!A:A,'Dados Funil'!AN:AN,"")</f>
        <v/>
      </c>
      <c r="T665" s="7" t="str">
        <f t="shared" si="4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9" t="str">
        <f t="array" ref="Q666">XLOOKUP(L666,'Dados Funil'!A:A,'Dados Funil'!AN:AN,"")</f>
        <v/>
      </c>
      <c r="T666" s="7" t="str">
        <f t="shared" si="4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9" t="str">
        <f t="array" ref="Q667">XLOOKUP(L667,'Dados Funil'!A:A,'Dados Funil'!AN:AN,"")</f>
        <v/>
      </c>
      <c r="T667" s="7" t="str">
        <f t="shared" si="4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9" t="str">
        <f t="array" ref="Q668">XLOOKUP(L668,'Dados Funil'!A:A,'Dados Funil'!AN:AN,"")</f>
        <v/>
      </c>
      <c r="T668" s="7" t="str">
        <f t="shared" si="4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9" t="str">
        <f t="array" ref="Q669">XLOOKUP(L669,'Dados Funil'!A:A,'Dados Funil'!AN:AN,"")</f>
        <v/>
      </c>
      <c r="T669" s="7" t="str">
        <f t="shared" si="4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9" t="str">
        <f t="array" ref="Q670">XLOOKUP(L670,'Dados Funil'!A:A,'Dados Funil'!AN:AN,"")</f>
        <v/>
      </c>
      <c r="T670" s="7" t="str">
        <f t="shared" si="4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9" t="str">
        <f t="array" ref="Q671">XLOOKUP(L671,'Dados Funil'!A:A,'Dados Funil'!AN:AN,"")</f>
        <v/>
      </c>
      <c r="T671" s="7" t="str">
        <f t="shared" si="4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9" t="str">
        <f t="array" ref="Q672">XLOOKUP(L672,'Dados Funil'!A:A,'Dados Funil'!AN:AN,"")</f>
        <v/>
      </c>
      <c r="T672" s="7" t="str">
        <f t="shared" si="4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9" t="str">
        <f t="array" ref="Q673">XLOOKUP(L673,'Dados Funil'!A:A,'Dados Funil'!AN:AN,"")</f>
        <v/>
      </c>
      <c r="T673" s="7" t="str">
        <f t="shared" si="4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9" t="str">
        <f t="array" ref="Q674">XLOOKUP(L674,'Dados Funil'!A:A,'Dados Funil'!AN:AN,"")</f>
        <v/>
      </c>
      <c r="T674" s="7" t="str">
        <f t="shared" si="4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9" t="str">
        <f t="array" ref="Q675">XLOOKUP(L675,'Dados Funil'!A:A,'Dados Funil'!AN:AN,"")</f>
        <v/>
      </c>
      <c r="T675" s="7" t="str">
        <f t="shared" si="4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9" t="str">
        <f t="array" ref="Q676">XLOOKUP(L676,'Dados Funil'!A:A,'Dados Funil'!AN:AN,"")</f>
        <v/>
      </c>
      <c r="T676" s="7" t="str">
        <f t="shared" si="4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9" t="str">
        <f t="array" ref="Q677">XLOOKUP(L677,'Dados Funil'!A:A,'Dados Funil'!AN:AN,"")</f>
        <v/>
      </c>
      <c r="T677" s="7" t="str">
        <f t="shared" si="4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9" t="str">
        <f t="array" ref="Q678">XLOOKUP(L678,'Dados Funil'!A:A,'Dados Funil'!AN:AN,"")</f>
        <v/>
      </c>
      <c r="T678" s="7" t="str">
        <f t="shared" si="4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9" t="str">
        <f t="array" ref="Q679">XLOOKUP(L679,'Dados Funil'!A:A,'Dados Funil'!AN:AN,"")</f>
        <v/>
      </c>
      <c r="T679" s="7" t="str">
        <f t="shared" si="4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9" t="str">
        <f t="array" ref="Q680">XLOOKUP(L680,'Dados Funil'!A:A,'Dados Funil'!AN:AN,"")</f>
        <v/>
      </c>
      <c r="T680" s="7" t="str">
        <f t="shared" si="4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9" t="str">
        <f t="array" ref="Q681">XLOOKUP(L681,'Dados Funil'!A:A,'Dados Funil'!AN:AN,"")</f>
        <v/>
      </c>
      <c r="T681" s="7" t="str">
        <f t="shared" si="4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9" t="str">
        <f t="array" ref="Q682">XLOOKUP(L682,'Dados Funil'!A:A,'Dados Funil'!AN:AN,"")</f>
        <v/>
      </c>
      <c r="T682" s="7" t="str">
        <f t="shared" si="4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9" t="str">
        <f t="array" ref="Q683">XLOOKUP(L683,'Dados Funil'!A:A,'Dados Funil'!AN:AN,"")</f>
        <v/>
      </c>
      <c r="T683" s="7" t="str">
        <f t="shared" si="4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9" t="str">
        <f t="array" ref="Q684">XLOOKUP(L684,'Dados Funil'!A:A,'Dados Funil'!AN:AN,"")</f>
        <v/>
      </c>
      <c r="T684" s="7" t="str">
        <f t="shared" si="4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9" t="str">
        <f t="array" ref="Q685">XLOOKUP(L685,'Dados Funil'!A:A,'Dados Funil'!AN:AN,"")</f>
        <v/>
      </c>
      <c r="T685" s="7" t="str">
        <f t="shared" si="4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9" t="str">
        <f t="array" ref="Q686">XLOOKUP(L686,'Dados Funil'!A:A,'Dados Funil'!AN:AN,"")</f>
        <v/>
      </c>
      <c r="T686" s="7" t="str">
        <f t="shared" si="4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9" t="str">
        <f t="array" ref="Q687">XLOOKUP(L687,'Dados Funil'!A:A,'Dados Funil'!AN:AN,"")</f>
        <v/>
      </c>
      <c r="T687" s="7" t="str">
        <f t="shared" si="4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9" t="str">
        <f t="array" ref="Q688">XLOOKUP(L688,'Dados Funil'!A:A,'Dados Funil'!AN:AN,"")</f>
        <v/>
      </c>
      <c r="T688" s="7" t="str">
        <f t="shared" si="4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9" t="str">
        <f t="array" ref="Q689">XLOOKUP(L689,'Dados Funil'!A:A,'Dados Funil'!AN:AN,"")</f>
        <v/>
      </c>
      <c r="T689" s="7" t="str">
        <f t="shared" si="4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9" t="str">
        <f t="array" ref="Q690">XLOOKUP(L690,'Dados Funil'!A:A,'Dados Funil'!AN:AN,"")</f>
        <v/>
      </c>
      <c r="T690" s="7" t="str">
        <f t="shared" si="4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9" t="str">
        <f t="array" ref="Q691">XLOOKUP(L691,'Dados Funil'!A:A,'Dados Funil'!AN:AN,"")</f>
        <v/>
      </c>
      <c r="T691" s="7" t="str">
        <f t="shared" si="4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9" t="str">
        <f t="array" ref="Q692">XLOOKUP(L692,'Dados Funil'!A:A,'Dados Funil'!AN:AN,"")</f>
        <v/>
      </c>
      <c r="T692" s="7" t="str">
        <f t="shared" si="4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9" t="str">
        <f t="array" ref="Q693">XLOOKUP(L693,'Dados Funil'!A:A,'Dados Funil'!AN:AN,"")</f>
        <v/>
      </c>
      <c r="T693" s="7" t="str">
        <f t="shared" si="4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9" t="str">
        <f t="array" ref="Q694">XLOOKUP(L694,'Dados Funil'!A:A,'Dados Funil'!AN:AN,"")</f>
        <v/>
      </c>
      <c r="T694" s="7" t="str">
        <f t="shared" si="4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9" t="str">
        <f t="array" ref="Q695">XLOOKUP(L695,'Dados Funil'!A:A,'Dados Funil'!AN:AN,"")</f>
        <v/>
      </c>
      <c r="T695" s="7" t="str">
        <f t="shared" si="4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9" t="str">
        <f t="array" ref="Q696">XLOOKUP(L696,'Dados Funil'!A:A,'Dados Funil'!AN:AN,"")</f>
        <v/>
      </c>
      <c r="T696" s="7" t="str">
        <f t="shared" si="4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9" t="str">
        <f t="array" ref="Q697">XLOOKUP(L697,'Dados Funil'!A:A,'Dados Funil'!AN:AN,"")</f>
        <v/>
      </c>
      <c r="T697" s="7" t="str">
        <f t="shared" si="4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9" t="str">
        <f t="array" ref="Q698">XLOOKUP(L698,'Dados Funil'!A:A,'Dados Funil'!AN:AN,"")</f>
        <v/>
      </c>
      <c r="T698" s="7" t="str">
        <f t="shared" si="4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9" t="str">
        <f t="array" ref="Q699">XLOOKUP(L699,'Dados Funil'!A:A,'Dados Funil'!AN:AN,"")</f>
        <v/>
      </c>
      <c r="T699" s="7" t="str">
        <f t="shared" si="4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9" t="str">
        <f t="array" ref="Q700">XLOOKUP(L700,'Dados Funil'!A:A,'Dados Funil'!AN:AN,"")</f>
        <v/>
      </c>
      <c r="T700" s="7" t="str">
        <f t="shared" si="4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9" t="str">
        <f t="array" ref="Q701">XLOOKUP(L701,'Dados Funil'!A:A,'Dados Funil'!AN:AN,"")</f>
        <v/>
      </c>
      <c r="T701" s="7" t="str">
        <f t="shared" si="4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9" t="str">
        <f t="array" ref="Q702">XLOOKUP(L702,'Dados Funil'!A:A,'Dados Funil'!AN:AN,"")</f>
        <v/>
      </c>
      <c r="T702" s="7" t="str">
        <f t="shared" si="4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9" t="str">
        <f t="array" ref="Q703">XLOOKUP(L703,'Dados Funil'!A:A,'Dados Funil'!AN:AN,"")</f>
        <v/>
      </c>
      <c r="T703" s="7" t="str">
        <f t="shared" si="4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9" t="str">
        <f t="array" ref="Q704">XLOOKUP(L704,'Dados Funil'!A:A,'Dados Funil'!AN:AN,"")</f>
        <v/>
      </c>
      <c r="T704" s="7" t="str">
        <f t="shared" si="4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9" t="str">
        <f t="array" ref="Q705">XLOOKUP(L705,'Dados Funil'!A:A,'Dados Funil'!AN:AN,"")</f>
        <v/>
      </c>
      <c r="T705" s="7" t="str">
        <f t="shared" si="4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9" t="str">
        <f t="array" ref="Q706">XLOOKUP(L706,'Dados Funil'!A:A,'Dados Funil'!AN:AN,"")</f>
        <v/>
      </c>
      <c r="T706" s="7" t="str">
        <f t="shared" si="4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9" t="str">
        <f t="array" ref="Q707">XLOOKUP(L707,'Dados Funil'!A:A,'Dados Funil'!AN:AN,"")</f>
        <v/>
      </c>
      <c r="T707" s="7" t="str">
        <f t="shared" si="4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9" t="str">
        <f t="array" ref="Q708">XLOOKUP(L708,'Dados Funil'!A:A,'Dados Funil'!AN:AN,"")</f>
        <v/>
      </c>
      <c r="T708" s="7" t="str">
        <f t="shared" si="4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9" t="str">
        <f t="array" ref="Q709">XLOOKUP(L709,'Dados Funil'!A:A,'Dados Funil'!AN:AN,"")</f>
        <v/>
      </c>
      <c r="T709" s="7" t="str">
        <f t="shared" si="4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9" t="str">
        <f t="array" ref="Q710">XLOOKUP(L710,'Dados Funil'!A:A,'Dados Funil'!AN:AN,"")</f>
        <v/>
      </c>
      <c r="T710" s="7" t="str">
        <f t="shared" si="4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9" t="str">
        <f t="array" ref="Q711">XLOOKUP(L711,'Dados Funil'!A:A,'Dados Funil'!AN:AN,"")</f>
        <v/>
      </c>
      <c r="T711" s="7" t="str">
        <f t="shared" si="4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9" t="str">
        <f t="array" ref="Q712">XLOOKUP(L712,'Dados Funil'!A:A,'Dados Funil'!AN:AN,"")</f>
        <v/>
      </c>
      <c r="T712" s="7" t="str">
        <f t="shared" si="4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9" t="str">
        <f t="array" ref="Q713">XLOOKUP(L713,'Dados Funil'!A:A,'Dados Funil'!AN:AN,"")</f>
        <v/>
      </c>
      <c r="T713" s="7" t="str">
        <f t="shared" si="4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9" t="str">
        <f t="array" ref="Q714">XLOOKUP(L714,'Dados Funil'!A:A,'Dados Funil'!AN:AN,"")</f>
        <v/>
      </c>
      <c r="T714" s="7" t="str">
        <f t="shared" si="4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9" t="str">
        <f t="array" ref="Q715">XLOOKUP(L715,'Dados Funil'!A:A,'Dados Funil'!AN:AN,"")</f>
        <v/>
      </c>
      <c r="T715" s="7" t="str">
        <f t="shared" si="4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9" t="str">
        <f t="array" ref="Q716">XLOOKUP(L716,'Dados Funil'!A:A,'Dados Funil'!AN:AN,"")</f>
        <v/>
      </c>
      <c r="T716" s="7" t="str">
        <f t="shared" si="4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9" t="str">
        <f t="array" ref="Q717">XLOOKUP(L717,'Dados Funil'!A:A,'Dados Funil'!AN:AN,"")</f>
        <v/>
      </c>
      <c r="T717" s="7" t="str">
        <f t="shared" si="4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9" t="str">
        <f t="array" ref="Q718">XLOOKUP(L718,'Dados Funil'!A:A,'Dados Funil'!AN:AN,"")</f>
        <v/>
      </c>
      <c r="T718" s="7" t="str">
        <f t="shared" si="4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9" t="str">
        <f t="array" ref="Q719">XLOOKUP(L719,'Dados Funil'!A:A,'Dados Funil'!AN:AN,"")</f>
        <v/>
      </c>
      <c r="T719" s="7" t="str">
        <f t="shared" si="4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9" t="str">
        <f t="array" ref="Q720">XLOOKUP(L720,'Dados Funil'!A:A,'Dados Funil'!AN:AN,"")</f>
        <v/>
      </c>
      <c r="T720" s="7" t="str">
        <f t="shared" si="4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9" t="str">
        <f t="array" ref="Q721">XLOOKUP(L721,'Dados Funil'!A:A,'Dados Funil'!AN:AN,"")</f>
        <v/>
      </c>
      <c r="T721" s="7" t="str">
        <f t="shared" si="4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9" t="str">
        <f t="array" ref="Q722">XLOOKUP(L722,'Dados Funil'!A:A,'Dados Funil'!AN:AN,"")</f>
        <v/>
      </c>
      <c r="T722" s="7" t="str">
        <f t="shared" si="4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9" t="str">
        <f t="array" ref="Q723">XLOOKUP(L723,'Dados Funil'!A:A,'Dados Funil'!AN:AN,"")</f>
        <v/>
      </c>
      <c r="T723" s="7" t="str">
        <f t="shared" si="4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9" t="str">
        <f t="array" ref="Q724">XLOOKUP(L724,'Dados Funil'!A:A,'Dados Funil'!AN:AN,"")</f>
        <v/>
      </c>
      <c r="T724" s="7" t="str">
        <f t="shared" si="4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9" t="str">
        <f t="array" ref="Q725">XLOOKUP(L725,'Dados Funil'!A:A,'Dados Funil'!AN:AN,"")</f>
        <v/>
      </c>
      <c r="T725" s="7" t="str">
        <f t="shared" si="4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9" t="str">
        <f t="array" ref="Q726">XLOOKUP(L726,'Dados Funil'!A:A,'Dados Funil'!AN:AN,"")</f>
        <v/>
      </c>
      <c r="T726" s="7" t="str">
        <f t="shared" si="4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9" t="str">
        <f t="array" ref="Q727">XLOOKUP(L727,'Dados Funil'!A:A,'Dados Funil'!AN:AN,"")</f>
        <v/>
      </c>
      <c r="T727" s="7" t="str">
        <f t="shared" si="4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9" t="str">
        <f t="array" ref="Q728">XLOOKUP(L728,'Dados Funil'!A:A,'Dados Funil'!AN:AN,"")</f>
        <v/>
      </c>
      <c r="T728" s="7" t="str">
        <f t="shared" si="4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9" t="str">
        <f t="array" ref="Q729">XLOOKUP(L729,'Dados Funil'!A:A,'Dados Funil'!AN:AN,"")</f>
        <v/>
      </c>
      <c r="T729" s="7" t="str">
        <f t="shared" si="4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9" t="str">
        <f t="array" ref="Q730">XLOOKUP(L730,'Dados Funil'!A:A,'Dados Funil'!AN:AN,"")</f>
        <v/>
      </c>
      <c r="T730" s="7" t="str">
        <f t="shared" si="4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9" t="str">
        <f t="array" ref="Q731">XLOOKUP(L731,'Dados Funil'!A:A,'Dados Funil'!AN:AN,"")</f>
        <v/>
      </c>
      <c r="T731" s="7" t="str">
        <f t="shared" si="4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9" t="str">
        <f t="array" ref="Q732">XLOOKUP(L732,'Dados Funil'!A:A,'Dados Funil'!AN:AN,"")</f>
        <v/>
      </c>
      <c r="T732" s="7" t="str">
        <f t="shared" si="4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9" t="str">
        <f t="array" ref="Q733">XLOOKUP(L733,'Dados Funil'!A:A,'Dados Funil'!AN:AN,"")</f>
        <v/>
      </c>
      <c r="T733" s="7" t="str">
        <f t="shared" si="4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9" t="str">
        <f t="array" ref="Q734">XLOOKUP(L734,'Dados Funil'!A:A,'Dados Funil'!AN:AN,"")</f>
        <v/>
      </c>
      <c r="T734" s="7" t="str">
        <f t="shared" si="4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9" t="str">
        <f t="array" ref="Q735">XLOOKUP(L735,'Dados Funil'!A:A,'Dados Funil'!AN:AN,"")</f>
        <v/>
      </c>
      <c r="T735" s="7" t="str">
        <f t="shared" si="4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9" t="str">
        <f t="array" ref="Q736">XLOOKUP(L736,'Dados Funil'!A:A,'Dados Funil'!AN:AN,"")</f>
        <v/>
      </c>
      <c r="T736" s="7" t="str">
        <f t="shared" si="4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9" t="str">
        <f t="array" ref="Q737">XLOOKUP(L737,'Dados Funil'!A:A,'Dados Funil'!AN:AN,"")</f>
        <v/>
      </c>
      <c r="T737" s="7" t="str">
        <f t="shared" si="4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9" t="str">
        <f t="array" ref="Q738">XLOOKUP(L738,'Dados Funil'!A:A,'Dados Funil'!AN:AN,"")</f>
        <v/>
      </c>
      <c r="T738" s="7" t="str">
        <f t="shared" si="4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9" t="str">
        <f t="array" ref="Q739">XLOOKUP(L739,'Dados Funil'!A:A,'Dados Funil'!AN:AN,"")</f>
        <v/>
      </c>
      <c r="T739" s="7" t="str">
        <f t="shared" si="4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9" t="str">
        <f t="array" ref="Q740">XLOOKUP(L740,'Dados Funil'!A:A,'Dados Funil'!AN:AN,"")</f>
        <v/>
      </c>
      <c r="T740" s="7" t="str">
        <f t="shared" si="4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9" t="str">
        <f t="array" ref="Q741">XLOOKUP(L741,'Dados Funil'!A:A,'Dados Funil'!AN:AN,"")</f>
        <v/>
      </c>
      <c r="T741" s="7" t="str">
        <f t="shared" si="4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9" t="str">
        <f t="array" ref="Q742">XLOOKUP(L742,'Dados Funil'!A:A,'Dados Funil'!AN:AN,"")</f>
        <v/>
      </c>
      <c r="T742" s="7" t="str">
        <f t="shared" si="4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9" t="str">
        <f t="array" ref="Q743">XLOOKUP(L743,'Dados Funil'!A:A,'Dados Funil'!AN:AN,"")</f>
        <v/>
      </c>
      <c r="T743" s="7" t="str">
        <f t="shared" si="4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9" t="str">
        <f t="array" ref="Q744">XLOOKUP(L744,'Dados Funil'!A:A,'Dados Funil'!AN:AN,"")</f>
        <v/>
      </c>
      <c r="T744" s="7" t="str">
        <f t="shared" si="4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9" t="str">
        <f t="array" ref="Q745">XLOOKUP(L745,'Dados Funil'!A:A,'Dados Funil'!AN:AN,"")</f>
        <v/>
      </c>
      <c r="T745" s="7" t="str">
        <f t="shared" si="4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9" t="str">
        <f t="array" ref="Q746">XLOOKUP(L746,'Dados Funil'!A:A,'Dados Funil'!AN:AN,"")</f>
        <v/>
      </c>
      <c r="T746" s="7" t="str">
        <f t="shared" si="4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9" t="str">
        <f t="array" ref="Q747">XLOOKUP(L747,'Dados Funil'!A:A,'Dados Funil'!AN:AN,"")</f>
        <v/>
      </c>
      <c r="T747" s="7" t="str">
        <f t="shared" si="4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9" t="str">
        <f t="array" ref="Q748">XLOOKUP(L748,'Dados Funil'!A:A,'Dados Funil'!AN:AN,"")</f>
        <v/>
      </c>
      <c r="T748" s="7" t="str">
        <f t="shared" si="4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9" t="str">
        <f t="array" ref="Q749">XLOOKUP(L749,'Dados Funil'!A:A,'Dados Funil'!AN:AN,"")</f>
        <v/>
      </c>
      <c r="T749" s="7" t="str">
        <f t="shared" si="4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9" t="str">
        <f t="array" ref="Q750">XLOOKUP(L750,'Dados Funil'!A:A,'Dados Funil'!AN:AN,"")</f>
        <v/>
      </c>
      <c r="T750" s="7" t="str">
        <f t="shared" si="4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9" t="str">
        <f t="array" ref="Q751">XLOOKUP(L751,'Dados Funil'!A:A,'Dados Funil'!AN:AN,"")</f>
        <v/>
      </c>
      <c r="T751" s="7" t="str">
        <f t="shared" si="4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9" t="str">
        <f t="array" ref="Q752">XLOOKUP(L752,'Dados Funil'!A:A,'Dados Funil'!AN:AN,"")</f>
        <v/>
      </c>
      <c r="T752" s="7" t="str">
        <f t="shared" si="4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9" t="str">
        <f t="array" ref="Q753">XLOOKUP(L753,'Dados Funil'!A:A,'Dados Funil'!AN:AN,"")</f>
        <v/>
      </c>
      <c r="T753" s="7" t="str">
        <f t="shared" si="4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9" t="str">
        <f t="array" ref="Q754">XLOOKUP(L754,'Dados Funil'!A:A,'Dados Funil'!AN:AN,"")</f>
        <v/>
      </c>
      <c r="T754" s="7" t="str">
        <f t="shared" si="4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9" t="str">
        <f t="array" ref="Q755">XLOOKUP(L755,'Dados Funil'!A:A,'Dados Funil'!AN:AN,"")</f>
        <v/>
      </c>
      <c r="T755" s="7" t="str">
        <f t="shared" si="4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9" t="str">
        <f t="array" ref="Q756">XLOOKUP(L756,'Dados Funil'!A:A,'Dados Funil'!AN:AN,"")</f>
        <v/>
      </c>
      <c r="T756" s="7" t="str">
        <f t="shared" si="4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9" t="str">
        <f t="array" ref="Q757">XLOOKUP(L757,'Dados Funil'!A:A,'Dados Funil'!AN:AN,"")</f>
        <v/>
      </c>
      <c r="T757" s="7" t="str">
        <f t="shared" si="4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9" t="str">
        <f t="array" ref="Q758">XLOOKUP(L758,'Dados Funil'!A:A,'Dados Funil'!AN:AN,"")</f>
        <v/>
      </c>
      <c r="T758" s="7" t="str">
        <f t="shared" si="4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9" t="str">
        <f t="array" ref="Q759">XLOOKUP(L759,'Dados Funil'!A:A,'Dados Funil'!AN:AN,"")</f>
        <v/>
      </c>
      <c r="T759" s="7" t="str">
        <f t="shared" si="4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9" t="str">
        <f t="array" ref="Q760">XLOOKUP(L760,'Dados Funil'!A:A,'Dados Funil'!AN:AN,"")</f>
        <v/>
      </c>
      <c r="T760" s="7" t="str">
        <f t="shared" si="4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9" t="str">
        <f t="array" ref="Q761">XLOOKUP(L761,'Dados Funil'!A:A,'Dados Funil'!AN:AN,"")</f>
        <v/>
      </c>
      <c r="T761" s="7" t="str">
        <f t="shared" si="4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9" t="str">
        <f t="array" ref="Q762">XLOOKUP(L762,'Dados Funil'!A:A,'Dados Funil'!AN:AN,"")</f>
        <v/>
      </c>
      <c r="T762" s="7" t="str">
        <f t="shared" si="4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9" t="str">
        <f t="array" ref="Q763">XLOOKUP(L763,'Dados Funil'!A:A,'Dados Funil'!AN:AN,"")</f>
        <v/>
      </c>
      <c r="T763" s="7" t="str">
        <f t="shared" si="4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9" t="str">
        <f t="array" ref="Q764">XLOOKUP(L764,'Dados Funil'!A:A,'Dados Funil'!AN:AN,"")</f>
        <v/>
      </c>
      <c r="T764" s="7" t="str">
        <f t="shared" si="4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9" t="str">
        <f t="array" ref="Q765">XLOOKUP(L765,'Dados Funil'!A:A,'Dados Funil'!AN:AN,"")</f>
        <v/>
      </c>
      <c r="T765" s="7" t="str">
        <f t="shared" si="4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9" t="str">
        <f t="array" ref="Q766">XLOOKUP(L766,'Dados Funil'!A:A,'Dados Funil'!AN:AN,"")</f>
        <v/>
      </c>
      <c r="T766" s="7" t="str">
        <f t="shared" si="4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9" t="str">
        <f t="array" ref="Q767">XLOOKUP(L767,'Dados Funil'!A:A,'Dados Funil'!AN:AN,"")</f>
        <v/>
      </c>
      <c r="T767" s="7" t="str">
        <f t="shared" si="4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9" t="str">
        <f t="array" ref="Q768">XLOOKUP(L768,'Dados Funil'!A:A,'Dados Funil'!AN:AN,"")</f>
        <v/>
      </c>
      <c r="T768" s="7" t="str">
        <f t="shared" si="4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9" t="str">
        <f t="array" ref="Q769">XLOOKUP(L769,'Dados Funil'!A:A,'Dados Funil'!AN:AN,"")</f>
        <v/>
      </c>
      <c r="T769" s="7" t="str">
        <f t="shared" si="4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9" t="str">
        <f t="array" ref="Q770">XLOOKUP(L770,'Dados Funil'!A:A,'Dados Funil'!AN:AN,"")</f>
        <v/>
      </c>
      <c r="T770" s="7" t="str">
        <f t="shared" si="4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9" t="str">
        <f t="array" ref="Q771">XLOOKUP(L771,'Dados Funil'!A:A,'Dados Funil'!AN:AN,"")</f>
        <v/>
      </c>
      <c r="T771" s="7" t="str">
        <f t="shared" si="4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9" t="str">
        <f t="array" ref="Q772">XLOOKUP(L772,'Dados Funil'!A:A,'Dados Funil'!AN:AN,"")</f>
        <v/>
      </c>
      <c r="T772" s="7" t="str">
        <f t="shared" si="4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9" t="str">
        <f t="array" ref="Q773">XLOOKUP(L773,'Dados Funil'!A:A,'Dados Funil'!AN:AN,"")</f>
        <v/>
      </c>
      <c r="T773" s="7" t="str">
        <f t="shared" si="4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9" t="str">
        <f t="array" ref="Q774">XLOOKUP(L774,'Dados Funil'!A:A,'Dados Funil'!AN:AN,"")</f>
        <v/>
      </c>
      <c r="T774" s="7" t="str">
        <f t="shared" si="4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9" t="str">
        <f t="array" ref="Q775">XLOOKUP(L775,'Dados Funil'!A:A,'Dados Funil'!AN:AN,"")</f>
        <v/>
      </c>
      <c r="T775" s="7" t="str">
        <f t="shared" si="4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9" t="str">
        <f t="array" ref="Q776">XLOOKUP(L776,'Dados Funil'!A:A,'Dados Funil'!AN:AN,"")</f>
        <v/>
      </c>
      <c r="T776" s="7" t="str">
        <f t="shared" si="4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9" t="str">
        <f t="array" ref="Q777">XLOOKUP(L777,'Dados Funil'!A:A,'Dados Funil'!AN:AN,"")</f>
        <v/>
      </c>
      <c r="T777" s="7" t="str">
        <f t="shared" si="4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9" t="str">
        <f t="array" ref="Q778">XLOOKUP(L778,'Dados Funil'!A:A,'Dados Funil'!AN:AN,"")</f>
        <v/>
      </c>
      <c r="T778" s="7" t="str">
        <f t="shared" si="4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9" t="str">
        <f t="array" ref="Q779">XLOOKUP(L779,'Dados Funil'!A:A,'Dados Funil'!AN:AN,"")</f>
        <v/>
      </c>
      <c r="T779" s="7" t="str">
        <f t="shared" si="4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9" t="str">
        <f t="array" ref="Q780">XLOOKUP(L780,'Dados Funil'!A:A,'Dados Funil'!AN:AN,"")</f>
        <v/>
      </c>
      <c r="T780" s="7" t="str">
        <f t="shared" si="4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9" t="str">
        <f t="array" ref="Q781">XLOOKUP(L781,'Dados Funil'!A:A,'Dados Funil'!AN:AN,"")</f>
        <v/>
      </c>
      <c r="T781" s="7" t="str">
        <f t="shared" si="4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9" t="str">
        <f t="array" ref="Q782">XLOOKUP(L782,'Dados Funil'!A:A,'Dados Funil'!AN:AN,"")</f>
        <v/>
      </c>
      <c r="T782" s="7" t="str">
        <f t="shared" si="4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9" t="str">
        <f t="array" ref="Q783">XLOOKUP(L783,'Dados Funil'!A:A,'Dados Funil'!AN:AN,"")</f>
        <v/>
      </c>
      <c r="T783" s="7" t="str">
        <f t="shared" si="4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9" t="str">
        <f t="array" ref="Q784">XLOOKUP(L784,'Dados Funil'!A:A,'Dados Funil'!AN:AN,"")</f>
        <v/>
      </c>
      <c r="T784" s="7" t="str">
        <f t="shared" si="4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9" t="str">
        <f t="array" ref="Q785">XLOOKUP(L785,'Dados Funil'!A:A,'Dados Funil'!AN:AN,"")</f>
        <v/>
      </c>
      <c r="T785" s="7" t="str">
        <f t="shared" si="4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9" t="str">
        <f t="array" ref="Q786">XLOOKUP(L786,'Dados Funil'!A:A,'Dados Funil'!AN:AN,"")</f>
        <v/>
      </c>
      <c r="T786" s="7" t="str">
        <f t="shared" si="4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9" t="str">
        <f t="array" ref="Q787">XLOOKUP(L787,'Dados Funil'!A:A,'Dados Funil'!AN:AN,"")</f>
        <v/>
      </c>
      <c r="T787" s="7" t="str">
        <f t="shared" si="4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9" t="str">
        <f t="array" ref="Q788">XLOOKUP(L788,'Dados Funil'!A:A,'Dados Funil'!AN:AN,"")</f>
        <v/>
      </c>
      <c r="T788" s="7" t="str">
        <f t="shared" si="4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9" t="str">
        <f t="array" ref="Q789">XLOOKUP(L789,'Dados Funil'!A:A,'Dados Funil'!AN:AN,"")</f>
        <v/>
      </c>
      <c r="T789" s="7" t="str">
        <f t="shared" si="4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9" t="str">
        <f t="array" ref="Q790">XLOOKUP(L790,'Dados Funil'!A:A,'Dados Funil'!AN:AN,"")</f>
        <v/>
      </c>
      <c r="T790" s="7" t="str">
        <f t="shared" si="4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9" t="str">
        <f t="array" ref="Q791">XLOOKUP(L791,'Dados Funil'!A:A,'Dados Funil'!AN:AN,"")</f>
        <v/>
      </c>
      <c r="T791" s="7" t="str">
        <f t="shared" si="4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9" t="str">
        <f t="array" ref="Q792">XLOOKUP(L792,'Dados Funil'!A:A,'Dados Funil'!AN:AN,"")</f>
        <v/>
      </c>
      <c r="T792" s="7" t="str">
        <f t="shared" si="4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9" t="str">
        <f t="array" ref="Q793">XLOOKUP(L793,'Dados Funil'!A:A,'Dados Funil'!AN:AN,"")</f>
        <v/>
      </c>
      <c r="T793" s="7" t="str">
        <f t="shared" si="4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9" t="str">
        <f t="array" ref="Q794">XLOOKUP(L794,'Dados Funil'!A:A,'Dados Funil'!AN:AN,"")</f>
        <v/>
      </c>
      <c r="T794" s="7" t="str">
        <f t="shared" si="4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9" t="str">
        <f t="array" ref="Q795">XLOOKUP(L795,'Dados Funil'!A:A,'Dados Funil'!AN:AN,"")</f>
        <v/>
      </c>
      <c r="T795" s="7" t="str">
        <f t="shared" si="4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9" t="str">
        <f t="array" ref="Q796">XLOOKUP(L796,'Dados Funil'!A:A,'Dados Funil'!AN:AN,"")</f>
        <v/>
      </c>
      <c r="T796" s="7" t="str">
        <f t="shared" si="4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9" t="str">
        <f t="array" ref="Q797">XLOOKUP(L797,'Dados Funil'!A:A,'Dados Funil'!AN:AN,"")</f>
        <v/>
      </c>
      <c r="T797" s="7" t="str">
        <f t="shared" si="4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9" t="str">
        <f t="array" ref="Q798">XLOOKUP(L798,'Dados Funil'!A:A,'Dados Funil'!AN:AN,"")</f>
        <v/>
      </c>
      <c r="T798" s="7" t="str">
        <f t="shared" si="4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9" t="str">
        <f t="array" ref="Q799">XLOOKUP(L799,'Dados Funil'!A:A,'Dados Funil'!AN:AN,"")</f>
        <v/>
      </c>
      <c r="T799" s="7" t="str">
        <f t="shared" si="4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9" t="str">
        <f t="array" ref="Q800">XLOOKUP(L800,'Dados Funil'!A:A,'Dados Funil'!AN:AN,"")</f>
        <v/>
      </c>
      <c r="T800" s="7" t="str">
        <f t="shared" si="4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9" t="str">
        <f t="array" ref="Q801">XLOOKUP(L801,'Dados Funil'!A:A,'Dados Funil'!AN:AN,"")</f>
        <v/>
      </c>
      <c r="T801" s="7" t="str">
        <f t="shared" si="4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9" t="str">
        <f t="array" ref="Q802">XLOOKUP(L802,'Dados Funil'!A:A,'Dados Funil'!AN:AN,"")</f>
        <v/>
      </c>
      <c r="T802" s="7" t="str">
        <f t="shared" si="4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9" t="str">
        <f t="array" ref="Q803">XLOOKUP(L803,'Dados Funil'!A:A,'Dados Funil'!AN:AN,"")</f>
        <v/>
      </c>
      <c r="T803" s="7" t="str">
        <f t="shared" si="4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9" t="str">
        <f t="array" ref="Q804">XLOOKUP(L804,'Dados Funil'!A:A,'Dados Funil'!AN:AN,"")</f>
        <v/>
      </c>
      <c r="T804" s="7" t="str">
        <f t="shared" si="4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9" t="str">
        <f t="array" ref="Q805">XLOOKUP(L805,'Dados Funil'!A:A,'Dados Funil'!AN:AN,"")</f>
        <v/>
      </c>
      <c r="T805" s="7" t="str">
        <f t="shared" si="4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9" t="str">
        <f t="array" ref="Q806">XLOOKUP(L806,'Dados Funil'!A:A,'Dados Funil'!AN:AN,"")</f>
        <v/>
      </c>
      <c r="T806" s="7" t="str">
        <f t="shared" si="4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9" t="str">
        <f t="array" ref="Q807">XLOOKUP(L807,'Dados Funil'!A:A,'Dados Funil'!AN:AN,"")</f>
        <v/>
      </c>
      <c r="T807" s="7" t="str">
        <f t="shared" si="4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9" t="str">
        <f t="array" ref="Q808">XLOOKUP(L808,'Dados Funil'!A:A,'Dados Funil'!AN:AN,"")</f>
        <v/>
      </c>
      <c r="T808" s="7" t="str">
        <f t="shared" si="4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9" t="str">
        <f t="array" ref="Q809">XLOOKUP(L809,'Dados Funil'!A:A,'Dados Funil'!AN:AN,"")</f>
        <v/>
      </c>
      <c r="T809" s="7" t="str">
        <f t="shared" si="4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9" t="str">
        <f t="array" ref="Q810">XLOOKUP(L810,'Dados Funil'!A:A,'Dados Funil'!AN:AN,"")</f>
        <v/>
      </c>
      <c r="T810" s="7" t="str">
        <f t="shared" si="4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9" t="str">
        <f t="array" ref="Q811">XLOOKUP(L811,'Dados Funil'!A:A,'Dados Funil'!AN:AN,"")</f>
        <v/>
      </c>
      <c r="T811" s="7" t="str">
        <f t="shared" si="4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9" t="str">
        <f t="array" ref="Q812">XLOOKUP(L812,'Dados Funil'!A:A,'Dados Funil'!AN:AN,"")</f>
        <v/>
      </c>
      <c r="T812" s="7" t="str">
        <f t="shared" si="4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9" t="str">
        <f t="array" ref="Q813">XLOOKUP(L813,'Dados Funil'!A:A,'Dados Funil'!AN:AN,"")</f>
        <v/>
      </c>
      <c r="T813" s="7" t="str">
        <f t="shared" si="4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9" t="str">
        <f t="array" ref="Q814">XLOOKUP(L814,'Dados Funil'!A:A,'Dados Funil'!AN:AN,"")</f>
        <v/>
      </c>
      <c r="T814" s="7" t="str">
        <f t="shared" si="4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9" t="str">
        <f t="array" ref="Q815">XLOOKUP(L815,'Dados Funil'!A:A,'Dados Funil'!AN:AN,"")</f>
        <v/>
      </c>
      <c r="T815" s="7" t="str">
        <f t="shared" si="4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9" t="str">
        <f t="array" ref="Q816">XLOOKUP(L816,'Dados Funil'!A:A,'Dados Funil'!AN:AN,"")</f>
        <v/>
      </c>
      <c r="T816" s="7" t="str">
        <f t="shared" si="4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9" t="str">
        <f t="array" ref="Q817">XLOOKUP(L817,'Dados Funil'!A:A,'Dados Funil'!AN:AN,"")</f>
        <v/>
      </c>
      <c r="T817" s="7" t="str">
        <f t="shared" si="4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9" t="str">
        <f t="array" ref="Q818">XLOOKUP(L818,'Dados Funil'!A:A,'Dados Funil'!AN:AN,"")</f>
        <v/>
      </c>
      <c r="T818" s="7" t="str">
        <f t="shared" si="4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9" t="str">
        <f t="array" ref="Q819">XLOOKUP(L819,'Dados Funil'!A:A,'Dados Funil'!AN:AN,"")</f>
        <v/>
      </c>
      <c r="T819" s="7" t="str">
        <f t="shared" si="4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9" t="str">
        <f t="array" ref="Q820">XLOOKUP(L820,'Dados Funil'!A:A,'Dados Funil'!AN:AN,"")</f>
        <v/>
      </c>
      <c r="T820" s="7" t="str">
        <f t="shared" si="4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9" t="str">
        <f t="array" ref="Q821">XLOOKUP(L821,'Dados Funil'!A:A,'Dados Funil'!AN:AN,"")</f>
        <v/>
      </c>
      <c r="T821" s="7" t="str">
        <f t="shared" si="4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9" t="str">
        <f t="array" ref="Q822">XLOOKUP(L822,'Dados Funil'!A:A,'Dados Funil'!AN:AN,"")</f>
        <v/>
      </c>
      <c r="T822" s="7" t="str">
        <f t="shared" si="4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9" t="str">
        <f t="array" ref="Q823">XLOOKUP(L823,'Dados Funil'!A:A,'Dados Funil'!AN:AN,"")</f>
        <v/>
      </c>
      <c r="T823" s="7" t="str">
        <f t="shared" si="4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9" t="str">
        <f t="array" ref="Q824">XLOOKUP(L824,'Dados Funil'!A:A,'Dados Funil'!AN:AN,"")</f>
        <v/>
      </c>
      <c r="T824" s="7" t="str">
        <f t="shared" si="4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9" t="str">
        <f t="array" ref="Q825">XLOOKUP(L825,'Dados Funil'!A:A,'Dados Funil'!AN:AN,"")</f>
        <v/>
      </c>
      <c r="T825" s="7" t="str">
        <f t="shared" si="4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9" t="str">
        <f t="array" ref="Q826">XLOOKUP(L826,'Dados Funil'!A:A,'Dados Funil'!AN:AN,"")</f>
        <v/>
      </c>
      <c r="T826" s="7" t="str">
        <f t="shared" si="4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9" t="str">
        <f t="array" ref="Q827">XLOOKUP(L827,'Dados Funil'!A:A,'Dados Funil'!AN:AN,"")</f>
        <v/>
      </c>
      <c r="T827" s="7" t="str">
        <f t="shared" si="4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9" t="str">
        <f t="array" ref="Q828">XLOOKUP(L828,'Dados Funil'!A:A,'Dados Funil'!AN:AN,"")</f>
        <v/>
      </c>
      <c r="T828" s="7" t="str">
        <f t="shared" si="4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9" t="str">
        <f t="array" ref="Q829">XLOOKUP(L829,'Dados Funil'!A:A,'Dados Funil'!AN:AN,"")</f>
        <v/>
      </c>
      <c r="T829" s="7" t="str">
        <f t="shared" si="4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9" t="str">
        <f t="array" ref="Q830">XLOOKUP(L830,'Dados Funil'!A:A,'Dados Funil'!AN:AN,"")</f>
        <v/>
      </c>
      <c r="T830" s="7" t="str">
        <f t="shared" si="4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9" t="str">
        <f t="array" ref="Q831">XLOOKUP(L831,'Dados Funil'!A:A,'Dados Funil'!AN:AN,"")</f>
        <v/>
      </c>
      <c r="T831" s="7" t="str">
        <f t="shared" si="4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9" t="str">
        <f t="array" ref="Q832">XLOOKUP(L832,'Dados Funil'!A:A,'Dados Funil'!AN:AN,"")</f>
        <v/>
      </c>
      <c r="T832" s="7" t="str">
        <f t="shared" si="4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9" t="str">
        <f t="array" ref="Q833">XLOOKUP(L833,'Dados Funil'!A:A,'Dados Funil'!AN:AN,"")</f>
        <v/>
      </c>
      <c r="T833" s="7" t="str">
        <f t="shared" si="4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9" t="str">
        <f t="array" ref="Q834">XLOOKUP(L834,'Dados Funil'!A:A,'Dados Funil'!AN:AN,"")</f>
        <v/>
      </c>
      <c r="T834" s="7" t="str">
        <f t="shared" si="4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9" t="str">
        <f t="array" ref="Q835">XLOOKUP(L835,'Dados Funil'!A:A,'Dados Funil'!AN:AN,"")</f>
        <v/>
      </c>
      <c r="T835" s="7" t="str">
        <f t="shared" si="4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9" t="str">
        <f t="array" ref="Q836">XLOOKUP(L836,'Dados Funil'!A:A,'Dados Funil'!AN:AN,"")</f>
        <v/>
      </c>
      <c r="T836" s="7" t="str">
        <f t="shared" si="4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9" t="str">
        <f t="array" ref="Q837">XLOOKUP(L837,'Dados Funil'!A:A,'Dados Funil'!AN:AN,"")</f>
        <v/>
      </c>
      <c r="T837" s="7" t="str">
        <f t="shared" si="4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9" t="str">
        <f t="array" ref="Q838">XLOOKUP(L838,'Dados Funil'!A:A,'Dados Funil'!AN:AN,"")</f>
        <v/>
      </c>
      <c r="T838" s="7" t="str">
        <f t="shared" si="4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9" t="str">
        <f t="array" ref="Q839">XLOOKUP(L839,'Dados Funil'!A:A,'Dados Funil'!AN:AN,"")</f>
        <v/>
      </c>
      <c r="T839" s="7" t="str">
        <f t="shared" si="4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9" t="str">
        <f t="array" ref="Q840">XLOOKUP(L840,'Dados Funil'!A:A,'Dados Funil'!AN:AN,"")</f>
        <v/>
      </c>
      <c r="T840" s="7" t="str">
        <f t="shared" si="4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9" t="str">
        <f t="array" ref="Q841">XLOOKUP(L841,'Dados Funil'!A:A,'Dados Funil'!AN:AN,"")</f>
        <v/>
      </c>
      <c r="T841" s="7" t="str">
        <f t="shared" si="4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9" t="str">
        <f t="array" ref="Q842">XLOOKUP(L842,'Dados Funil'!A:A,'Dados Funil'!AN:AN,"")</f>
        <v/>
      </c>
      <c r="T842" s="7" t="str">
        <f t="shared" si="4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9" t="str">
        <f t="array" ref="Q843">XLOOKUP(L843,'Dados Funil'!A:A,'Dados Funil'!AN:AN,"")</f>
        <v/>
      </c>
      <c r="T843" s="7" t="str">
        <f t="shared" si="4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9" t="str">
        <f t="array" ref="Q844">XLOOKUP(L844,'Dados Funil'!A:A,'Dados Funil'!AN:AN,"")</f>
        <v/>
      </c>
      <c r="T844" s="7" t="str">
        <f t="shared" si="4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9" t="str">
        <f t="array" ref="Q845">XLOOKUP(L845,'Dados Funil'!A:A,'Dados Funil'!AN:AN,"")</f>
        <v/>
      </c>
      <c r="T845" s="7" t="str">
        <f t="shared" si="4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9" t="str">
        <f t="array" ref="Q846">XLOOKUP(L846,'Dados Funil'!A:A,'Dados Funil'!AN:AN,"")</f>
        <v/>
      </c>
      <c r="T846" s="7" t="str">
        <f t="shared" si="4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9" t="str">
        <f t="array" ref="Q847">XLOOKUP(L847,'Dados Funil'!A:A,'Dados Funil'!AN:AN,"")</f>
        <v/>
      </c>
      <c r="T847" s="7" t="str">
        <f t="shared" si="4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9" t="str">
        <f t="array" ref="Q848">XLOOKUP(L848,'Dados Funil'!A:A,'Dados Funil'!AN:AN,"")</f>
        <v/>
      </c>
      <c r="T848" s="7" t="str">
        <f t="shared" si="4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9" t="str">
        <f t="array" ref="Q849">XLOOKUP(L849,'Dados Funil'!A:A,'Dados Funil'!AN:AN,"")</f>
        <v/>
      </c>
      <c r="T849" s="7" t="str">
        <f t="shared" si="4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9" t="str">
        <f t="array" ref="Q850">XLOOKUP(L850,'Dados Funil'!A:A,'Dados Funil'!AN:AN,"")</f>
        <v/>
      </c>
      <c r="T850" s="7" t="str">
        <f t="shared" si="4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9" t="str">
        <f t="array" ref="Q851">XLOOKUP(L851,'Dados Funil'!A:A,'Dados Funil'!AN:AN,"")</f>
        <v/>
      </c>
      <c r="T851" s="7" t="str">
        <f t="shared" si="4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9" t="str">
        <f t="array" ref="Q852">XLOOKUP(L852,'Dados Funil'!A:A,'Dados Funil'!AN:AN,"")</f>
        <v/>
      </c>
      <c r="T852" s="7" t="str">
        <f t="shared" si="4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9" t="str">
        <f t="array" ref="Q853">XLOOKUP(L853,'Dados Funil'!A:A,'Dados Funil'!AN:AN,"")</f>
        <v/>
      </c>
      <c r="T853" s="7" t="str">
        <f t="shared" si="4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9" t="str">
        <f t="array" ref="Q854">XLOOKUP(L854,'Dados Funil'!A:A,'Dados Funil'!AN:AN,"")</f>
        <v/>
      </c>
      <c r="T854" s="7" t="str">
        <f t="shared" si="4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9" t="str">
        <f t="array" ref="Q855">XLOOKUP(L855,'Dados Funil'!A:A,'Dados Funil'!AN:AN,"")</f>
        <v/>
      </c>
      <c r="T855" s="7" t="str">
        <f t="shared" si="4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9" t="str">
        <f t="array" ref="Q856">XLOOKUP(L856,'Dados Funil'!A:A,'Dados Funil'!AN:AN,"")</f>
        <v/>
      </c>
      <c r="T856" s="7" t="str">
        <f t="shared" si="4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9" t="str">
        <f t="array" ref="Q857">XLOOKUP(L857,'Dados Funil'!A:A,'Dados Funil'!AN:AN,"")</f>
        <v/>
      </c>
      <c r="T857" s="7" t="str">
        <f t="shared" si="4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9" t="str">
        <f t="array" ref="Q858">XLOOKUP(L858,'Dados Funil'!A:A,'Dados Funil'!AN:AN,"")</f>
        <v/>
      </c>
      <c r="T858" s="7" t="str">
        <f t="shared" si="4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9" t="str">
        <f t="array" ref="Q859">XLOOKUP(L859,'Dados Funil'!A:A,'Dados Funil'!AN:AN,"")</f>
        <v/>
      </c>
      <c r="T859" s="7" t="str">
        <f t="shared" si="4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9" t="str">
        <f t="array" ref="Q860">XLOOKUP(L860,'Dados Funil'!A:A,'Dados Funil'!AN:AN,"")</f>
        <v/>
      </c>
      <c r="T860" s="7" t="str">
        <f t="shared" si="4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9" t="str">
        <f t="array" ref="Q861">XLOOKUP(L861,'Dados Funil'!A:A,'Dados Funil'!AN:AN,"")</f>
        <v/>
      </c>
      <c r="T861" s="7" t="str">
        <f t="shared" si="4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9" t="str">
        <f t="array" ref="Q862">XLOOKUP(L862,'Dados Funil'!A:A,'Dados Funil'!AN:AN,"")</f>
        <v/>
      </c>
      <c r="T862" s="7" t="str">
        <f t="shared" si="4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9" t="str">
        <f t="array" ref="Q863">XLOOKUP(L863,'Dados Funil'!A:A,'Dados Funil'!AN:AN,"")</f>
        <v/>
      </c>
      <c r="T863" s="7" t="str">
        <f t="shared" si="4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9" t="str">
        <f t="array" ref="Q864">XLOOKUP(L864,'Dados Funil'!A:A,'Dados Funil'!AN:AN,"")</f>
        <v/>
      </c>
      <c r="T864" s="7" t="str">
        <f t="shared" si="4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9" t="str">
        <f t="array" ref="Q865">XLOOKUP(L865,'Dados Funil'!A:A,'Dados Funil'!AN:AN,"")</f>
        <v/>
      </c>
      <c r="T865" s="7" t="str">
        <f t="shared" si="4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9" t="str">
        <f t="array" ref="Q866">XLOOKUP(L866,'Dados Funil'!A:A,'Dados Funil'!AN:AN,"")</f>
        <v/>
      </c>
      <c r="T866" s="7" t="str">
        <f t="shared" si="4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9" t="str">
        <f t="array" ref="Q867">XLOOKUP(L867,'Dados Funil'!A:A,'Dados Funil'!AN:AN,"")</f>
        <v/>
      </c>
      <c r="T867" s="7" t="str">
        <f t="shared" si="4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9" t="str">
        <f t="array" ref="Q868">XLOOKUP(L868,'Dados Funil'!A:A,'Dados Funil'!AN:AN,"")</f>
        <v/>
      </c>
      <c r="T868" s="7" t="str">
        <f t="shared" si="4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9" t="str">
        <f t="array" ref="Q869">XLOOKUP(L869,'Dados Funil'!A:A,'Dados Funil'!AN:AN,"")</f>
        <v/>
      </c>
      <c r="T869" s="7" t="str">
        <f t="shared" si="4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9" t="str">
        <f t="array" ref="Q870">XLOOKUP(L870,'Dados Funil'!A:A,'Dados Funil'!AN:AN,"")</f>
        <v/>
      </c>
      <c r="T870" s="7" t="str">
        <f t="shared" si="4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9" t="str">
        <f t="array" ref="Q871">XLOOKUP(L871,'Dados Funil'!A:A,'Dados Funil'!AN:AN,"")</f>
        <v/>
      </c>
      <c r="T871" s="7" t="str">
        <f t="shared" si="4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9" t="str">
        <f t="array" ref="Q872">XLOOKUP(L872,'Dados Funil'!A:A,'Dados Funil'!AN:AN,"")</f>
        <v/>
      </c>
      <c r="T872" s="7" t="str">
        <f t="shared" si="4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9" t="str">
        <f t="array" ref="Q873">XLOOKUP(L873,'Dados Funil'!A:A,'Dados Funil'!AN:AN,"")</f>
        <v/>
      </c>
      <c r="T873" s="7" t="str">
        <f t="shared" si="4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9" t="str">
        <f t="array" ref="Q874">XLOOKUP(L874,'Dados Funil'!A:A,'Dados Funil'!AN:AN,"")</f>
        <v/>
      </c>
      <c r="T874" s="7" t="str">
        <f t="shared" si="4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9" t="str">
        <f t="array" ref="Q875">XLOOKUP(L875,'Dados Funil'!A:A,'Dados Funil'!AN:AN,"")</f>
        <v/>
      </c>
      <c r="T875" s="7" t="str">
        <f t="shared" si="4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9" t="str">
        <f t="array" ref="Q876">XLOOKUP(L876,'Dados Funil'!A:A,'Dados Funil'!AN:AN,"")</f>
        <v/>
      </c>
      <c r="T876" s="7" t="str">
        <f t="shared" si="4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9" t="str">
        <f t="array" ref="Q877">XLOOKUP(L877,'Dados Funil'!A:A,'Dados Funil'!AN:AN,"")</f>
        <v/>
      </c>
      <c r="T877" s="7" t="str">
        <f t="shared" si="4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9" t="str">
        <f t="array" ref="Q878">XLOOKUP(L878,'Dados Funil'!A:A,'Dados Funil'!AN:AN,"")</f>
        <v/>
      </c>
      <c r="T878" s="7" t="str">
        <f t="shared" si="4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9" t="str">
        <f t="array" ref="Q879">XLOOKUP(L879,'Dados Funil'!A:A,'Dados Funil'!AN:AN,"")</f>
        <v/>
      </c>
      <c r="T879" s="7" t="str">
        <f t="shared" si="4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9" t="str">
        <f t="array" ref="Q880">XLOOKUP(L880,'Dados Funil'!A:A,'Dados Funil'!AN:AN,"")</f>
        <v/>
      </c>
      <c r="T880" s="7" t="str">
        <f t="shared" si="4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9" t="str">
        <f t="array" ref="Q881">XLOOKUP(L881,'Dados Funil'!A:A,'Dados Funil'!AN:AN,"")</f>
        <v/>
      </c>
      <c r="T881" s="7" t="str">
        <f t="shared" si="4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9" t="str">
        <f t="array" ref="Q882">XLOOKUP(L882,'Dados Funil'!A:A,'Dados Funil'!AN:AN,"")</f>
        <v/>
      </c>
      <c r="T882" s="7" t="str">
        <f t="shared" si="4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9" t="str">
        <f t="array" ref="Q883">XLOOKUP(L883,'Dados Funil'!A:A,'Dados Funil'!AN:AN,"")</f>
        <v/>
      </c>
      <c r="T883" s="7" t="str">
        <f t="shared" si="4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9" t="str">
        <f t="array" ref="Q884">XLOOKUP(L884,'Dados Funil'!A:A,'Dados Funil'!AN:AN,"")</f>
        <v/>
      </c>
      <c r="T884" s="7" t="str">
        <f t="shared" si="4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9" t="str">
        <f t="array" ref="Q885">XLOOKUP(L885,'Dados Funil'!A:A,'Dados Funil'!AN:AN,"")</f>
        <v/>
      </c>
      <c r="T885" s="7" t="str">
        <f t="shared" si="4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9" t="str">
        <f t="array" ref="Q886">XLOOKUP(L886,'Dados Funil'!A:A,'Dados Funil'!AN:AN,"")</f>
        <v/>
      </c>
      <c r="T886" s="7" t="str">
        <f t="shared" si="4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9" t="str">
        <f t="array" ref="Q887">XLOOKUP(L887,'Dados Funil'!A:A,'Dados Funil'!AN:AN,"")</f>
        <v/>
      </c>
      <c r="T887" s="7" t="str">
        <f t="shared" si="4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9" t="str">
        <f t="array" ref="Q888">XLOOKUP(L888,'Dados Funil'!A:A,'Dados Funil'!AN:AN,"")</f>
        <v/>
      </c>
      <c r="T888" s="7" t="str">
        <f t="shared" si="4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9" t="str">
        <f t="array" ref="Q889">XLOOKUP(L889,'Dados Funil'!A:A,'Dados Funil'!AN:AN,"")</f>
        <v/>
      </c>
      <c r="T889" s="7" t="str">
        <f t="shared" si="4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9" t="str">
        <f t="array" ref="Q890">XLOOKUP(L890,'Dados Funil'!A:A,'Dados Funil'!AN:AN,"")</f>
        <v/>
      </c>
      <c r="T890" s="7" t="str">
        <f t="shared" si="4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9" t="str">
        <f t="array" ref="Q891">XLOOKUP(L891,'Dados Funil'!A:A,'Dados Funil'!AN:AN,"")</f>
        <v/>
      </c>
      <c r="T891" s="7" t="str">
        <f t="shared" si="4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9" t="str">
        <f t="array" ref="Q892">XLOOKUP(L892,'Dados Funil'!A:A,'Dados Funil'!AN:AN,"")</f>
        <v/>
      </c>
      <c r="T892" s="7" t="str">
        <f t="shared" si="4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9" t="str">
        <f t="array" ref="Q893">XLOOKUP(L893,'Dados Funil'!A:A,'Dados Funil'!AN:AN,"")</f>
        <v/>
      </c>
      <c r="T893" s="7" t="str">
        <f t="shared" si="4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9" t="str">
        <f t="array" ref="Q894">XLOOKUP(L894,'Dados Funil'!A:A,'Dados Funil'!AN:AN,"")</f>
        <v/>
      </c>
      <c r="T894" s="7" t="str">
        <f t="shared" si="4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9" t="str">
        <f t="array" ref="Q895">XLOOKUP(L895,'Dados Funil'!A:A,'Dados Funil'!AN:AN,"")</f>
        <v/>
      </c>
      <c r="T895" s="7" t="str">
        <f t="shared" si="4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9" t="str">
        <f t="array" ref="Q896">XLOOKUP(L896,'Dados Funil'!A:A,'Dados Funil'!AN:AN,"")</f>
        <v/>
      </c>
      <c r="T896" s="7" t="str">
        <f t="shared" si="4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9" t="str">
        <f t="array" ref="Q897">XLOOKUP(L897,'Dados Funil'!A:A,'Dados Funil'!AN:AN,"")</f>
        <v/>
      </c>
      <c r="T897" s="7" t="str">
        <f t="shared" si="4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9" t="str">
        <f t="array" ref="Q898">XLOOKUP(L898,'Dados Funil'!A:A,'Dados Funil'!AN:AN,"")</f>
        <v/>
      </c>
      <c r="T898" s="7" t="str">
        <f t="shared" si="4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9" t="str">
        <f t="array" ref="Q899">XLOOKUP(L899,'Dados Funil'!A:A,'Dados Funil'!AN:AN,"")</f>
        <v/>
      </c>
      <c r="T899" s="7" t="str">
        <f t="shared" si="4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9" t="str">
        <f t="array" ref="Q900">XLOOKUP(L900,'Dados Funil'!A:A,'Dados Funil'!AN:AN,"")</f>
        <v/>
      </c>
      <c r="T900" s="7" t="str">
        <f t="shared" si="4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9" t="str">
        <f t="array" ref="Q901">XLOOKUP(L901,'Dados Funil'!A:A,'Dados Funil'!AN:AN,"")</f>
        <v/>
      </c>
      <c r="T901" s="7" t="str">
        <f t="shared" si="4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9" t="str">
        <f t="array" ref="Q902">XLOOKUP(L902,'Dados Funil'!A:A,'Dados Funil'!AN:AN,"")</f>
        <v/>
      </c>
      <c r="T902" s="7" t="str">
        <f t="shared" si="4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9" t="str">
        <f t="array" ref="Q903">XLOOKUP(L903,'Dados Funil'!A:A,'Dados Funil'!AN:AN,"")</f>
        <v/>
      </c>
      <c r="T903" s="7" t="str">
        <f t="shared" si="4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9" t="str">
        <f t="array" ref="Q904">XLOOKUP(L904,'Dados Funil'!A:A,'Dados Funil'!AN:AN,"")</f>
        <v/>
      </c>
      <c r="T904" s="7" t="str">
        <f t="shared" si="4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9" t="str">
        <f t="array" ref="Q905">XLOOKUP(L905,'Dados Funil'!A:A,'Dados Funil'!AN:AN,"")</f>
        <v/>
      </c>
      <c r="T905" s="7" t="str">
        <f t="shared" si="4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9" t="str">
        <f t="array" ref="Q906">XLOOKUP(L906,'Dados Funil'!A:A,'Dados Funil'!AN:AN,"")</f>
        <v/>
      </c>
      <c r="T906" s="7" t="str">
        <f t="shared" si="4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9" t="str">
        <f t="array" ref="Q907">XLOOKUP(L907,'Dados Funil'!A:A,'Dados Funil'!AN:AN,"")</f>
        <v/>
      </c>
      <c r="T907" s="7" t="str">
        <f t="shared" si="4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9" t="str">
        <f t="array" ref="Q908">XLOOKUP(L908,'Dados Funil'!A:A,'Dados Funil'!AN:AN,"")</f>
        <v/>
      </c>
      <c r="T908" s="7" t="str">
        <f t="shared" si="4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9" t="str">
        <f t="array" ref="Q909">XLOOKUP(L909,'Dados Funil'!A:A,'Dados Funil'!AN:AN,"")</f>
        <v/>
      </c>
      <c r="T909" s="7" t="str">
        <f t="shared" si="4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9" t="str">
        <f t="array" ref="Q910">XLOOKUP(L910,'Dados Funil'!A:A,'Dados Funil'!AN:AN,"")</f>
        <v/>
      </c>
      <c r="T910" s="7" t="str">
        <f t="shared" si="4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9" t="str">
        <f t="array" ref="Q911">XLOOKUP(L911,'Dados Funil'!A:A,'Dados Funil'!AN:AN,"")</f>
        <v/>
      </c>
      <c r="T911" s="7" t="str">
        <f t="shared" si="4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9" t="str">
        <f t="array" ref="Q912">XLOOKUP(L912,'Dados Funil'!A:A,'Dados Funil'!AN:AN,"")</f>
        <v/>
      </c>
      <c r="T912" s="7" t="str">
        <f t="shared" si="4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9" t="str">
        <f t="array" ref="Q913">XLOOKUP(L913,'Dados Funil'!A:A,'Dados Funil'!AN:AN,"")</f>
        <v/>
      </c>
      <c r="T913" s="7" t="str">
        <f t="shared" si="4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9" t="str">
        <f t="array" ref="Q914">XLOOKUP(L914,'Dados Funil'!A:A,'Dados Funil'!AN:AN,"")</f>
        <v/>
      </c>
      <c r="T914" s="7" t="str">
        <f t="shared" si="4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9" t="str">
        <f t="array" ref="Q915">XLOOKUP(L915,'Dados Funil'!A:A,'Dados Funil'!AN:AN,"")</f>
        <v/>
      </c>
      <c r="T915" s="7" t="str">
        <f t="shared" si="4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9" t="str">
        <f t="array" ref="Q916">XLOOKUP(L916,'Dados Funil'!A:A,'Dados Funil'!AN:AN,"")</f>
        <v/>
      </c>
      <c r="T916" s="7" t="str">
        <f t="shared" si="4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9" t="str">
        <f t="array" ref="Q917">XLOOKUP(L917,'Dados Funil'!A:A,'Dados Funil'!AN:AN,"")</f>
        <v/>
      </c>
      <c r="T917" s="7" t="str">
        <f t="shared" si="4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9" t="str">
        <f t="array" ref="Q918">XLOOKUP(L918,'Dados Funil'!A:A,'Dados Funil'!AN:AN,"")</f>
        <v/>
      </c>
      <c r="T918" s="7" t="str">
        <f t="shared" si="4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9" t="str">
        <f t="array" ref="Q919">XLOOKUP(L919,'Dados Funil'!A:A,'Dados Funil'!AN:AN,"")</f>
        <v/>
      </c>
      <c r="T919" s="7" t="str">
        <f t="shared" si="4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9" t="str">
        <f t="array" ref="Q920">XLOOKUP(L920,'Dados Funil'!A:A,'Dados Funil'!AN:AN,"")</f>
        <v/>
      </c>
      <c r="T920" s="7" t="str">
        <f t="shared" si="4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9" t="str">
        <f t="array" ref="Q921">XLOOKUP(L921,'Dados Funil'!A:A,'Dados Funil'!AN:AN,"")</f>
        <v/>
      </c>
      <c r="T921" s="7" t="str">
        <f t="shared" si="4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9" t="str">
        <f t="array" ref="Q922">XLOOKUP(L922,'Dados Funil'!A:A,'Dados Funil'!AN:AN,"")</f>
        <v/>
      </c>
      <c r="T922" s="7" t="str">
        <f t="shared" si="4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9" t="str">
        <f t="array" ref="Q923">XLOOKUP(L923,'Dados Funil'!A:A,'Dados Funil'!AN:AN,"")</f>
        <v/>
      </c>
      <c r="T923" s="7" t="str">
        <f t="shared" si="4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9" t="str">
        <f t="array" ref="Q924">XLOOKUP(L924,'Dados Funil'!A:A,'Dados Funil'!AN:AN,"")</f>
        <v/>
      </c>
      <c r="T924" s="7" t="str">
        <f t="shared" si="4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9" t="str">
        <f t="array" ref="Q925">XLOOKUP(L925,'Dados Funil'!A:A,'Dados Funil'!AN:AN,"")</f>
        <v/>
      </c>
      <c r="T925" s="7" t="str">
        <f t="shared" si="4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9" t="str">
        <f t="array" ref="Q926">XLOOKUP(L926,'Dados Funil'!A:A,'Dados Funil'!AN:AN,"")</f>
        <v/>
      </c>
      <c r="T926" s="7" t="str">
        <f t="shared" si="4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9" t="str">
        <f t="array" ref="Q927">XLOOKUP(L927,'Dados Funil'!A:A,'Dados Funil'!AN:AN,"")</f>
        <v/>
      </c>
      <c r="T927" s="7" t="str">
        <f t="shared" si="4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9" t="str">
        <f t="array" ref="Q928">XLOOKUP(L928,'Dados Funil'!A:A,'Dados Funil'!AN:AN,"")</f>
        <v/>
      </c>
      <c r="T928" s="7" t="str">
        <f t="shared" si="4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9" t="str">
        <f t="array" ref="Q929">XLOOKUP(L929,'Dados Funil'!A:A,'Dados Funil'!AN:AN,"")</f>
        <v/>
      </c>
      <c r="T929" s="7" t="str">
        <f t="shared" si="4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9" t="str">
        <f t="array" ref="Q930">XLOOKUP(L930,'Dados Funil'!A:A,'Dados Funil'!AN:AN,"")</f>
        <v/>
      </c>
      <c r="T930" s="7" t="str">
        <f t="shared" si="4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9" t="str">
        <f t="array" ref="Q931">XLOOKUP(L931,'Dados Funil'!A:A,'Dados Funil'!AN:AN,"")</f>
        <v/>
      </c>
      <c r="T931" s="7" t="str">
        <f t="shared" si="4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9" t="str">
        <f t="array" ref="Q932">XLOOKUP(L932,'Dados Funil'!A:A,'Dados Funil'!AN:AN,"")</f>
        <v/>
      </c>
      <c r="T932" s="7" t="str">
        <f t="shared" si="4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9" t="str">
        <f t="array" ref="Q933">XLOOKUP(L933,'Dados Funil'!A:A,'Dados Funil'!AN:AN,"")</f>
        <v/>
      </c>
      <c r="T933" s="7" t="str">
        <f t="shared" si="4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9" t="str">
        <f t="array" ref="Q934">XLOOKUP(L934,'Dados Funil'!A:A,'Dados Funil'!AN:AN,"")</f>
        <v/>
      </c>
      <c r="T934" s="7" t="str">
        <f t="shared" si="4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9" t="str">
        <f t="array" ref="Q935">XLOOKUP(L935,'Dados Funil'!A:A,'Dados Funil'!AN:AN,"")</f>
        <v/>
      </c>
      <c r="T935" s="7" t="str">
        <f t="shared" si="4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9" t="str">
        <f t="array" ref="Q936">XLOOKUP(L936,'Dados Funil'!A:A,'Dados Funil'!AN:AN,"")</f>
        <v/>
      </c>
      <c r="T936" s="7" t="str">
        <f t="shared" si="4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9" t="str">
        <f t="array" ref="Q937">XLOOKUP(L937,'Dados Funil'!A:A,'Dados Funil'!AN:AN,"")</f>
        <v/>
      </c>
      <c r="T937" s="7" t="str">
        <f t="shared" si="4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9" t="str">
        <f t="array" ref="Q938">XLOOKUP(L938,'Dados Funil'!A:A,'Dados Funil'!AN:AN,"")</f>
        <v/>
      </c>
      <c r="T938" s="7" t="str">
        <f t="shared" si="4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9" t="str">
        <f t="array" ref="Q939">XLOOKUP(L939,'Dados Funil'!A:A,'Dados Funil'!AN:AN,"")</f>
        <v/>
      </c>
      <c r="T939" s="7" t="str">
        <f t="shared" si="4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9" t="str">
        <f t="array" ref="Q940">XLOOKUP(L940,'Dados Funil'!A:A,'Dados Funil'!AN:AN,"")</f>
        <v/>
      </c>
      <c r="T940" s="7" t="str">
        <f t="shared" si="4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9" t="str">
        <f t="array" ref="Q941">XLOOKUP(L941,'Dados Funil'!A:A,'Dados Funil'!AN:AN,"")</f>
        <v/>
      </c>
      <c r="T941" s="7" t="str">
        <f t="shared" si="4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9" t="str">
        <f t="array" ref="Q942">XLOOKUP(L942,'Dados Funil'!A:A,'Dados Funil'!AN:AN,"")</f>
        <v/>
      </c>
      <c r="T942" s="7" t="str">
        <f t="shared" si="4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9" t="str">
        <f t="array" ref="Q943">XLOOKUP(L943,'Dados Funil'!A:A,'Dados Funil'!AN:AN,"")</f>
        <v/>
      </c>
      <c r="T943" s="7" t="str">
        <f t="shared" si="4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9" t="str">
        <f t="array" ref="Q944">XLOOKUP(L944,'Dados Funil'!A:A,'Dados Funil'!AN:AN,"")</f>
        <v/>
      </c>
      <c r="T944" s="7" t="str">
        <f t="shared" si="4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9" t="str">
        <f t="array" ref="Q945">XLOOKUP(L945,'Dados Funil'!A:A,'Dados Funil'!AN:AN,"")</f>
        <v/>
      </c>
      <c r="T945" s="7" t="str">
        <f t="shared" si="4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9" t="str">
        <f t="array" ref="Q946">XLOOKUP(L946,'Dados Funil'!A:A,'Dados Funil'!AN:AN,"")</f>
        <v/>
      </c>
      <c r="T946" s="7" t="str">
        <f t="shared" si="4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9" t="str">
        <f t="array" ref="Q947">XLOOKUP(L947,'Dados Funil'!A:A,'Dados Funil'!AN:AN,"")</f>
        <v/>
      </c>
      <c r="T947" s="7" t="str">
        <f t="shared" si="4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9" t="str">
        <f t="array" ref="Q948">XLOOKUP(L948,'Dados Funil'!A:A,'Dados Funil'!AN:AN,"")</f>
        <v/>
      </c>
      <c r="T948" s="7" t="str">
        <f t="shared" si="4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9" t="str">
        <f t="array" ref="Q949">XLOOKUP(L949,'Dados Funil'!A:A,'Dados Funil'!AN:AN,"")</f>
        <v/>
      </c>
      <c r="T949" s="7" t="str">
        <f t="shared" si="4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9" t="str">
        <f t="array" ref="Q950">XLOOKUP(L950,'Dados Funil'!A:A,'Dados Funil'!AN:AN,"")</f>
        <v/>
      </c>
      <c r="T950" s="7" t="str">
        <f t="shared" si="4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9" t="str">
        <f t="array" ref="Q951">XLOOKUP(L951,'Dados Funil'!A:A,'Dados Funil'!AN:AN,"")</f>
        <v/>
      </c>
      <c r="T951" s="7" t="str">
        <f t="shared" si="4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9" t="str">
        <f t="array" ref="Q952">XLOOKUP(L952,'Dados Funil'!A:A,'Dados Funil'!AN:AN,"")</f>
        <v/>
      </c>
      <c r="T952" s="7" t="str">
        <f t="shared" si="4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9" t="str">
        <f t="array" ref="Q953">XLOOKUP(L953,'Dados Funil'!A:A,'Dados Funil'!AN:AN,"")</f>
        <v/>
      </c>
      <c r="T953" s="7" t="str">
        <f t="shared" si="4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9" t="str">
        <f t="array" ref="Q954">XLOOKUP(L954,'Dados Funil'!A:A,'Dados Funil'!AN:AN,"")</f>
        <v/>
      </c>
      <c r="T954" s="7" t="str">
        <f t="shared" si="4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9" t="str">
        <f t="array" ref="Q955">XLOOKUP(L955,'Dados Funil'!A:A,'Dados Funil'!AN:AN,"")</f>
        <v/>
      </c>
      <c r="T955" s="7" t="str">
        <f t="shared" si="4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9" t="str">
        <f t="array" ref="Q956">XLOOKUP(L956,'Dados Funil'!A:A,'Dados Funil'!AN:AN,"")</f>
        <v/>
      </c>
      <c r="T956" s="7" t="str">
        <f t="shared" si="4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9" t="str">
        <f t="array" ref="Q957">XLOOKUP(L957,'Dados Funil'!A:A,'Dados Funil'!AN:AN,"")</f>
        <v/>
      </c>
      <c r="T957" s="7" t="str">
        <f t="shared" si="4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9" t="str">
        <f t="array" ref="Q958">XLOOKUP(L958,'Dados Funil'!A:A,'Dados Funil'!AN:AN,"")</f>
        <v/>
      </c>
      <c r="T958" s="7" t="str">
        <f t="shared" si="4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9" t="str">
        <f t="array" ref="Q959">XLOOKUP(L959,'Dados Funil'!A:A,'Dados Funil'!AN:AN,"")</f>
        <v/>
      </c>
      <c r="T959" s="7" t="str">
        <f t="shared" si="4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9" t="str">
        <f t="array" ref="Q960">XLOOKUP(L960,'Dados Funil'!A:A,'Dados Funil'!AN:AN,"")</f>
        <v/>
      </c>
      <c r="T960" s="7" t="str">
        <f t="shared" si="4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9" t="str">
        <f t="array" ref="Q961">XLOOKUP(L961,'Dados Funil'!A:A,'Dados Funil'!AN:AN,"")</f>
        <v/>
      </c>
      <c r="T961" s="7" t="str">
        <f t="shared" si="4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9" t="str">
        <f t="array" ref="Q962">XLOOKUP(L962,'Dados Funil'!A:A,'Dados Funil'!AN:AN,"")</f>
        <v/>
      </c>
      <c r="T962" s="7" t="str">
        <f t="shared" si="4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9" t="str">
        <f t="array" ref="Q963">XLOOKUP(L963,'Dados Funil'!A:A,'Dados Funil'!AN:AN,"")</f>
        <v/>
      </c>
      <c r="T963" s="7" t="str">
        <f t="shared" si="4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9" t="str">
        <f t="array" ref="Q964">XLOOKUP(L964,'Dados Funil'!A:A,'Dados Funil'!AN:AN,"")</f>
        <v/>
      </c>
      <c r="T964" s="7" t="str">
        <f t="shared" si="4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9" t="str">
        <f t="array" ref="Q965">XLOOKUP(L965,'Dados Funil'!A:A,'Dados Funil'!AN:AN,"")</f>
        <v/>
      </c>
      <c r="T965" s="7" t="str">
        <f t="shared" si="4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9" t="str">
        <f t="array" ref="Q966">XLOOKUP(L966,'Dados Funil'!A:A,'Dados Funil'!AN:AN,"")</f>
        <v/>
      </c>
      <c r="T966" s="7" t="str">
        <f t="shared" si="4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9" t="str">
        <f t="array" ref="Q967">XLOOKUP(L967,'Dados Funil'!A:A,'Dados Funil'!AN:AN,"")</f>
        <v/>
      </c>
      <c r="T967" s="7" t="str">
        <f t="shared" si="4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9" t="str">
        <f t="array" ref="Q968">XLOOKUP(L968,'Dados Funil'!A:A,'Dados Funil'!AN:AN,"")</f>
        <v/>
      </c>
      <c r="T968" s="7" t="str">
        <f t="shared" si="4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9" t="str">
        <f t="array" ref="Q969">XLOOKUP(L969,'Dados Funil'!A:A,'Dados Funil'!AN:AN,"")</f>
        <v/>
      </c>
      <c r="T969" s="7" t="str">
        <f t="shared" si="4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9" t="str">
        <f t="array" ref="Q970">XLOOKUP(L970,'Dados Funil'!A:A,'Dados Funil'!AN:AN,"")</f>
        <v/>
      </c>
      <c r="T970" s="7" t="str">
        <f t="shared" si="4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9" t="str">
        <f t="array" ref="Q971">XLOOKUP(L971,'Dados Funil'!A:A,'Dados Funil'!AN:AN,"")</f>
        <v/>
      </c>
      <c r="T971" s="7" t="str">
        <f t="shared" si="4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9" t="str">
        <f t="array" ref="Q972">XLOOKUP(L972,'Dados Funil'!A:A,'Dados Funil'!AN:AN,"")</f>
        <v/>
      </c>
      <c r="T972" s="7" t="str">
        <f t="shared" si="4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9" t="str">
        <f t="array" ref="Q973">XLOOKUP(L973,'Dados Funil'!A:A,'Dados Funil'!AN:AN,"")</f>
        <v/>
      </c>
      <c r="T973" s="7" t="str">
        <f t="shared" si="4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9" t="str">
        <f t="array" ref="Q974">XLOOKUP(L974,'Dados Funil'!A:A,'Dados Funil'!AN:AN,"")</f>
        <v/>
      </c>
      <c r="T974" s="7" t="str">
        <f t="shared" si="4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9" t="str">
        <f t="array" ref="Q975">XLOOKUP(L975,'Dados Funil'!A:A,'Dados Funil'!AN:AN,"")</f>
        <v/>
      </c>
      <c r="T975" s="7" t="str">
        <f t="shared" si="4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9" t="str">
        <f t="array" ref="Q976">XLOOKUP(L976,'Dados Funil'!A:A,'Dados Funil'!AN:AN,"")</f>
        <v/>
      </c>
      <c r="T976" s="7" t="str">
        <f t="shared" si="4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9" t="str">
        <f t="array" ref="Q977">XLOOKUP(L977,'Dados Funil'!A:A,'Dados Funil'!AN:AN,"")</f>
        <v/>
      </c>
      <c r="T977" s="7" t="str">
        <f t="shared" si="4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9" t="str">
        <f t="array" ref="Q978">XLOOKUP(L978,'Dados Funil'!A:A,'Dados Funil'!AN:AN,"")</f>
        <v/>
      </c>
      <c r="T978" s="7" t="str">
        <f t="shared" si="4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9" t="str">
        <f t="array" ref="Q979">XLOOKUP(L979,'Dados Funil'!A:A,'Dados Funil'!AN:AN,"")</f>
        <v/>
      </c>
      <c r="T979" s="7" t="str">
        <f t="shared" si="4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9" t="str">
        <f t="array" ref="Q980">XLOOKUP(L980,'Dados Funil'!A:A,'Dados Funil'!AN:AN,"")</f>
        <v/>
      </c>
      <c r="T980" s="7" t="str">
        <f t="shared" si="4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9" t="str">
        <f t="array" ref="Q981">XLOOKUP(L981,'Dados Funil'!A:A,'Dados Funil'!AN:AN,"")</f>
        <v/>
      </c>
      <c r="T981" s="7" t="str">
        <f t="shared" si="4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9" t="str">
        <f t="array" ref="Q982">XLOOKUP(L982,'Dados Funil'!A:A,'Dados Funil'!AN:AN,"")</f>
        <v/>
      </c>
      <c r="T982" s="7" t="str">
        <f t="shared" si="4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9" t="str">
        <f t="array" ref="Q983">XLOOKUP(L983,'Dados Funil'!A:A,'Dados Funil'!AN:AN,"")</f>
        <v/>
      </c>
      <c r="T983" s="7" t="str">
        <f t="shared" si="4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9" t="str">
        <f t="array" ref="Q984">XLOOKUP(L984,'Dados Funil'!A:A,'Dados Funil'!AN:AN,"")</f>
        <v/>
      </c>
      <c r="T984" s="7" t="str">
        <f t="shared" si="4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9" t="str">
        <f t="array" ref="Q985">XLOOKUP(L985,'Dados Funil'!A:A,'Dados Funil'!AN:AN,"")</f>
        <v/>
      </c>
      <c r="T985" s="7" t="str">
        <f t="shared" si="4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9" t="str">
        <f t="array" ref="Q986">XLOOKUP(L986,'Dados Funil'!A:A,'Dados Funil'!AN:AN,"")</f>
        <v/>
      </c>
      <c r="T986" s="7" t="str">
        <f t="shared" si="4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9" t="str">
        <f t="array" ref="Q987">XLOOKUP(L987,'Dados Funil'!A:A,'Dados Funil'!AN:AN,"")</f>
        <v/>
      </c>
      <c r="T987" s="7" t="str">
        <f t="shared" si="4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9" t="str">
        <f t="array" ref="Q988">XLOOKUP(L988,'Dados Funil'!A:A,'Dados Funil'!AN:AN,"")</f>
        <v/>
      </c>
      <c r="T988" s="7" t="str">
        <f t="shared" si="4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9" t="str">
        <f t="array" ref="Q989">XLOOKUP(L989,'Dados Funil'!A:A,'Dados Funil'!AN:AN,"")</f>
        <v/>
      </c>
      <c r="T989" s="7" t="str">
        <f t="shared" si="4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9" t="str">
        <f t="array" ref="Q990">XLOOKUP(L990,'Dados Funil'!A:A,'Dados Funil'!AN:AN,"")</f>
        <v/>
      </c>
      <c r="T990" s="7" t="str">
        <f t="shared" si="4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9" t="str">
        <f t="array" ref="Q991">XLOOKUP(L991,'Dados Funil'!A:A,'Dados Funil'!AN:AN,"")</f>
        <v/>
      </c>
      <c r="T991" s="7" t="str">
        <f t="shared" si="4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9" t="str">
        <f t="array" ref="Q992">XLOOKUP(L992,'Dados Funil'!A:A,'Dados Funil'!AN:AN,"")</f>
        <v/>
      </c>
      <c r="T992" s="7" t="str">
        <f t="shared" si="4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9" t="str">
        <f t="array" ref="Q993">XLOOKUP(L993,'Dados Funil'!A:A,'Dados Funil'!AN:AN,"")</f>
        <v/>
      </c>
      <c r="T993" s="7" t="str">
        <f t="shared" si="4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9" t="str">
        <f t="array" ref="Q994">XLOOKUP(L994,'Dados Funil'!A:A,'Dados Funil'!AN:AN,"")</f>
        <v/>
      </c>
      <c r="T994" s="7" t="str">
        <f t="shared" si="4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9" t="str">
        <f t="array" ref="Q995">XLOOKUP(L995,'Dados Funil'!A:A,'Dados Funil'!AN:AN,"")</f>
        <v/>
      </c>
      <c r="T995" s="7" t="str">
        <f t="shared" si="4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9" t="str">
        <f t="array" ref="Q996">XLOOKUP(L996,'Dados Funil'!A:A,'Dados Funil'!AN:AN,"")</f>
        <v/>
      </c>
      <c r="T996" s="7" t="str">
        <f t="shared" si="4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9" t="str">
        <f t="array" ref="Q997">XLOOKUP(L997,'Dados Funil'!A:A,'Dados Funil'!AN:AN,"")</f>
        <v/>
      </c>
      <c r="T997" s="7" t="str">
        <f t="shared" si="4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9" t="str">
        <f t="array" ref="Q998">XLOOKUP(L998,'Dados Funil'!A:A,'Dados Funil'!AN:AN,"")</f>
        <v/>
      </c>
      <c r="T998" s="7" t="str">
        <f t="shared" si="4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9" t="str">
        <f t="array" ref="Q999">XLOOKUP(L999,'Dados Funil'!A:A,'Dados Funil'!AN:AN,"")</f>
        <v/>
      </c>
      <c r="T999" s="7" t="str">
        <f t="shared" si="4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9" t="str">
        <f t="array" ref="Q1000">XLOOKUP(L1000,'Dados Funil'!A:A,'Dados Funil'!AN:AN,"")</f>
        <v/>
      </c>
      <c r="T1000" s="7" t="str">
        <f t="shared" si="4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97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6" t="s">
        <v>98</v>
      </c>
      <c r="B1" s="16" t="s">
        <v>99</v>
      </c>
      <c r="C1" s="16" t="s">
        <v>100</v>
      </c>
      <c r="D1" s="16" t="s">
        <v>101</v>
      </c>
      <c r="E1" s="17" t="s">
        <v>102</v>
      </c>
      <c r="F1" s="16" t="s">
        <v>103</v>
      </c>
      <c r="G1" s="16" t="s">
        <v>104</v>
      </c>
      <c r="H1" s="18" t="s">
        <v>105</v>
      </c>
      <c r="I1" s="16" t="s">
        <v>87</v>
      </c>
      <c r="J1" s="16" t="s">
        <v>92</v>
      </c>
      <c r="K1" s="16" t="s">
        <v>56</v>
      </c>
      <c r="L1" s="16" t="s">
        <v>57</v>
      </c>
      <c r="M1" s="17" t="s">
        <v>106</v>
      </c>
      <c r="N1" s="16" t="s">
        <v>107</v>
      </c>
      <c r="O1" s="16" t="s">
        <v>108</v>
      </c>
      <c r="P1" s="16" t="s">
        <v>109</v>
      </c>
      <c r="Q1" s="16" t="s">
        <v>110</v>
      </c>
      <c r="R1" s="16" t="s">
        <v>111</v>
      </c>
      <c r="S1" s="16" t="s">
        <v>112</v>
      </c>
      <c r="T1" s="16" t="s">
        <v>113</v>
      </c>
      <c r="U1" s="16" t="s">
        <v>114</v>
      </c>
      <c r="V1" s="16" t="s">
        <v>115</v>
      </c>
      <c r="W1" s="16" t="s">
        <v>116</v>
      </c>
      <c r="X1" s="16" t="s">
        <v>117</v>
      </c>
      <c r="Y1" s="16" t="s">
        <v>118</v>
      </c>
      <c r="Z1" s="16" t="s">
        <v>119</v>
      </c>
      <c r="AA1" s="16" t="s">
        <v>120</v>
      </c>
      <c r="AB1" s="16" t="s">
        <v>121</v>
      </c>
      <c r="AC1" s="16" t="s">
        <v>122</v>
      </c>
      <c r="AD1" s="16" t="s">
        <v>123</v>
      </c>
      <c r="AE1" s="16" t="s">
        <v>124</v>
      </c>
      <c r="AF1" s="16" t="s">
        <v>125</v>
      </c>
      <c r="AG1" s="16" t="s">
        <v>126</v>
      </c>
      <c r="AH1" s="16" t="s">
        <v>127</v>
      </c>
      <c r="AI1" s="16" t="s">
        <v>128</v>
      </c>
      <c r="AJ1" s="16" t="s">
        <v>129</v>
      </c>
      <c r="AK1" s="16" t="s">
        <v>89</v>
      </c>
      <c r="AL1" s="16" t="s">
        <v>94</v>
      </c>
      <c r="AM1" s="16" t="s">
        <v>67</v>
      </c>
      <c r="AN1" s="16" t="s">
        <v>68</v>
      </c>
      <c r="AO1" s="16" t="s">
        <v>130</v>
      </c>
      <c r="AP1" s="16" t="s">
        <v>131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"),"Form G4 Instagram G4")</f>
        <v>Form G4 Instagram G4</v>
      </c>
      <c r="B2" s="19">
        <f>IFERROR(__xludf.DUMMYFUNCTION("""COMPUTED_VALUE"""),1194.9677419354832)</f>
        <v>1194.967742</v>
      </c>
      <c r="C2" s="20">
        <f>IFERROR(__xludf.DUMMYFUNCTION("""COMPUTED_VALUE"""),1257.0)</f>
        <v>1257</v>
      </c>
      <c r="D2" s="21">
        <f>IFERROR(__xludf.DUMMYFUNCTION("""COMPUTED_VALUE"""),62.03225806451678)</f>
        <v>62.03225806</v>
      </c>
      <c r="E2" s="22">
        <f>IFERROR(__xludf.DUMMYFUNCTION("""COMPUTED_VALUE"""),0.051911240686751466)</f>
        <v>0.05191124069</v>
      </c>
      <c r="F2" s="23">
        <f>IFERROR(__xludf.DUMMYFUNCTION("""COMPUTED_VALUE"""),0.8426624896062617)</f>
        <v>0.8426624896</v>
      </c>
      <c r="G2" s="23">
        <f>IFERROR(__xludf.DUMMYFUNCTION("""COMPUTED_VALUE"""),0.8408910103420844)</f>
        <v>0.8408910103</v>
      </c>
      <c r="H2" s="24">
        <f>IFERROR(__xludf.DUMMYFUNCTION("""COMPUTED_VALUE"""),-0.17714792641773114)</f>
        <v>-0.1771479264</v>
      </c>
      <c r="I2" s="19">
        <f>IFERROR(__xludf.DUMMYFUNCTION("""COMPUTED_VALUE"""),1006.954492418527)</f>
        <v>1006.954492</v>
      </c>
      <c r="J2" s="20">
        <f>IFERROR(__xludf.DUMMYFUNCTION("""COMPUTED_VALUE"""),1057.0)</f>
        <v>1057</v>
      </c>
      <c r="K2" s="21">
        <f>IFERROR(__xludf.DUMMYFUNCTION("""COMPUTED_VALUE"""),50.045507581472975)</f>
        <v>50.04550758</v>
      </c>
      <c r="L2" s="22">
        <f>IFERROR(__xludf.DUMMYFUNCTION("""COMPUTED_VALUE"""),0.04969987021088957)</f>
        <v>0.04969987021</v>
      </c>
      <c r="M2" s="25">
        <f>IFERROR(__xludf.DUMMYFUNCTION("""COMPUTED_VALUE"""),0.34)</f>
        <v>0.34</v>
      </c>
      <c r="N2" s="23">
        <f>IFERROR(__xludf.DUMMYFUNCTION("""COMPUTED_VALUE"""),0.31788079470198677)</f>
        <v>0.3178807947</v>
      </c>
      <c r="O2" s="26">
        <f>IFERROR(__xludf.DUMMYFUNCTION("""COMPUTED_VALUE"""),-2.2119205298013256)</f>
        <v>-2.21192053</v>
      </c>
      <c r="P2" s="19">
        <f>IFERROR(__xludf.DUMMYFUNCTION("""COMPUTED_VALUE"""),314.46815852122324)</f>
        <v>314.4681585</v>
      </c>
      <c r="Q2" s="20">
        <f>IFERROR(__xludf.DUMMYFUNCTION("""COMPUTED_VALUE"""),336.0)</f>
        <v>336</v>
      </c>
      <c r="R2" s="21">
        <f>IFERROR(__xludf.DUMMYFUNCTION("""COMPUTED_VALUE"""),21.531841478776755)</f>
        <v>21.53184148</v>
      </c>
      <c r="S2" s="27">
        <f>IFERROR(__xludf.DUMMYFUNCTION("""COMPUTED_VALUE"""),0.06847065718840843)</f>
        <v>0.06847065719</v>
      </c>
      <c r="T2" s="23">
        <f>IFERROR(__xludf.DUMMYFUNCTION("""COMPUTED_VALUE"""),0.19)</f>
        <v>0.19</v>
      </c>
      <c r="U2" s="23">
        <f>IFERROR(__xludf.DUMMYFUNCTION("""COMPUTED_VALUE"""),0.15476190476190477)</f>
        <v>0.1547619048</v>
      </c>
      <c r="V2" s="24">
        <f>IFERROR(__xludf.DUMMYFUNCTION("""COMPUTED_VALUE"""),-3.5238095238095237)</f>
        <v>-3.523809524</v>
      </c>
      <c r="W2" s="19">
        <f>IFERROR(__xludf.DUMMYFUNCTION("""COMPUTED_VALUE"""),59.748950119032415)</f>
        <v>59.74895012</v>
      </c>
      <c r="X2" s="20">
        <f>IFERROR(__xludf.DUMMYFUNCTION("""COMPUTED_VALUE"""),52.0)</f>
        <v>52</v>
      </c>
      <c r="Y2" s="21">
        <f>IFERROR(__xludf.DUMMYFUNCTION("""COMPUTED_VALUE"""),-7.748950119032415)</f>
        <v>-7.748950119</v>
      </c>
      <c r="Z2" s="28">
        <f>IFERROR(__xludf.DUMMYFUNCTION("""COMPUTED_VALUE"""),-0.12969182058588283)</f>
        <v>-0.1296918206</v>
      </c>
      <c r="AA2" s="19">
        <f>IFERROR(__xludf.DUMMYFUNCTION("""COMPUTED_VALUE"""),32000.0)</f>
        <v>32000</v>
      </c>
      <c r="AB2" s="20">
        <f>IFERROR(__xludf.DUMMYFUNCTION("""COMPUTED_VALUE"""),21488.782698411207)</f>
        <v>21488.7827</v>
      </c>
      <c r="AC2" s="21">
        <f>IFERROR(__xludf.DUMMYFUNCTION("""COMPUTED_VALUE"""),-10511.217301588793)</f>
        <v>-10511.2173</v>
      </c>
      <c r="AD2" s="28">
        <f>IFERROR(__xludf.DUMMYFUNCTION("""COMPUTED_VALUE"""),-0.3284755406746498)</f>
        <v>-0.3284755407</v>
      </c>
      <c r="AE2" s="19">
        <f>IFERROR(__xludf.DUMMYFUNCTION("""COMPUTED_VALUE"""),1855802.3906971465)</f>
        <v>1855802.391</v>
      </c>
      <c r="AF2" s="20">
        <f>IFERROR(__xludf.DUMMYFUNCTION("""COMPUTED_VALUE"""),1117416.7003173828)</f>
        <v>1117416.7</v>
      </c>
      <c r="AG2" s="21">
        <f>IFERROR(__xludf.DUMMYFUNCTION("""COMPUTED_VALUE"""),-738385.6903797637)</f>
        <v>-738385.6904</v>
      </c>
      <c r="AH2" s="29">
        <f>IFERROR(__xludf.DUMMYFUNCTION("""COMPUTED_VALUE"""),-0.3978794801004559)</f>
        <v>-0.3978794801</v>
      </c>
      <c r="AI2" s="30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"),103454.07327242095)</f>
        <v>103454.0733</v>
      </c>
      <c r="AJ2" s="30">
        <f>IFERROR(__xludf.DUMMYFUNCTION("""COMPUTED_VALUE"""),-1067613.6996826176)</f>
        <v>-1067613.7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"),6080.000000000001)</f>
        <v>6080</v>
      </c>
      <c r="AL2" s="31">
        <f>IFERROR(__xludf.DUMMYFUNCTION("""COMPUTED_VALUE"""),3325.6449414207823)</f>
        <v>3325.644941</v>
      </c>
      <c r="AM2" s="30">
        <f t="shared" ref="AM2:AM16" si="1">AL2-AK2</f>
        <v>-2754.355059</v>
      </c>
      <c r="AN2" s="32">
        <f t="shared" ref="AN2:AN16" si="2">AM2/AK2</f>
        <v>-0.4530189241</v>
      </c>
      <c r="AO2" s="12">
        <f t="shared" ref="AO2:AO16" si="3">J2*(N2-M2)*AK2</f>
        <v>-142150.4</v>
      </c>
      <c r="AP2" s="12">
        <f t="shared" ref="AP2:AP16" si="4">J2*N2*AM2</f>
        <v>-925463.2997</v>
      </c>
      <c r="AQ2" s="12">
        <f>SUMIFS(AP2:AP16,AP2:AP16,"&lt;"&amp;0)</f>
        <v>-3076979.25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IFERROR(__xludf.DUMMYFUNCTION("""COMPUTED_VALUE"""),"Form G4 Outros - Orgânico")</f>
        <v>Form G4 Outros - Orgânico</v>
      </c>
      <c r="B3" s="19">
        <f>IFERROR(__xludf.DUMMYFUNCTION("""COMPUTED_VALUE"""),447.67741935483843)</f>
        <v>447.6774194</v>
      </c>
      <c r="C3" s="20">
        <f>IFERROR(__xludf.DUMMYFUNCTION("""COMPUTED_VALUE"""),471.0)</f>
        <v>471</v>
      </c>
      <c r="D3" s="21">
        <f>IFERROR(__xludf.DUMMYFUNCTION("""COMPUTED_VALUE"""),23.322580645161565)</f>
        <v>23.32258065</v>
      </c>
      <c r="E3" s="22">
        <f>IFERROR(__xludf.DUMMYFUNCTION("""COMPUTED_VALUE"""),0.05209684392563835)</f>
        <v>0.05209684393</v>
      </c>
      <c r="F3" s="23">
        <f>IFERROR(__xludf.DUMMYFUNCTION("""COMPUTED_VALUE"""),0.6293553918193087)</f>
        <v>0.6293553918</v>
      </c>
      <c r="G3" s="23">
        <f>IFERROR(__xludf.DUMMYFUNCTION("""COMPUTED_VALUE"""),0.6284501061571125)</f>
        <v>0.6284501062</v>
      </c>
      <c r="H3" s="24">
        <f>IFERROR(__xludf.DUMMYFUNCTION("""COMPUTED_VALUE"""),-0.09052856621961647)</f>
        <v>-0.09052856622</v>
      </c>
      <c r="I3" s="19">
        <f>IFERROR(__xludf.DUMMYFUNCTION("""COMPUTED_VALUE"""),281.7481976667213)</f>
        <v>281.7481977</v>
      </c>
      <c r="J3" s="20">
        <f>IFERROR(__xludf.DUMMYFUNCTION("""COMPUTED_VALUE"""),296.0)</f>
        <v>296</v>
      </c>
      <c r="K3" s="21">
        <f>IFERROR(__xludf.DUMMYFUNCTION("""COMPUTED_VALUE"""),14.251802333278704)</f>
        <v>14.25180233</v>
      </c>
      <c r="L3" s="22">
        <f>IFERROR(__xludf.DUMMYFUNCTION("""COMPUTED_VALUE"""),0.05058347294252118)</f>
        <v>0.05058347294</v>
      </c>
      <c r="M3" s="25">
        <f>IFERROR(__xludf.DUMMYFUNCTION("""COMPUTED_VALUE"""),0.42)</f>
        <v>0.42</v>
      </c>
      <c r="N3" s="23">
        <f>IFERROR(__xludf.DUMMYFUNCTION("""COMPUTED_VALUE"""),0.46283783783783783)</f>
        <v>0.4628378378</v>
      </c>
      <c r="O3" s="26">
        <f>IFERROR(__xludf.DUMMYFUNCTION("""COMPUTED_VALUE"""),4.283783783783784)</f>
        <v>4.283783784</v>
      </c>
      <c r="P3" s="19">
        <f>IFERROR(__xludf.DUMMYFUNCTION("""COMPUTED_VALUE"""),108.6921935887619)</f>
        <v>108.6921936</v>
      </c>
      <c r="Q3" s="20">
        <f>IFERROR(__xludf.DUMMYFUNCTION("""COMPUTED_VALUE"""),137.0)</f>
        <v>137</v>
      </c>
      <c r="R3" s="21">
        <f>IFERROR(__xludf.DUMMYFUNCTION("""COMPUTED_VALUE"""),28.307806411238104)</f>
        <v>28.30780641</v>
      </c>
      <c r="S3" s="27">
        <f>IFERROR(__xludf.DUMMYFUNCTION("""COMPUTED_VALUE"""),0.26044010592279515)</f>
        <v>0.2604401059</v>
      </c>
      <c r="T3" s="23">
        <f>IFERROR(__xludf.DUMMYFUNCTION("""COMPUTED_VALUE"""),0.29)</f>
        <v>0.29</v>
      </c>
      <c r="U3" s="23">
        <f>IFERROR(__xludf.DUMMYFUNCTION("""COMPUTED_VALUE"""),0.16058394160583941)</f>
        <v>0.1605839416</v>
      </c>
      <c r="V3" s="24">
        <f>IFERROR(__xludf.DUMMYFUNCTION("""COMPUTED_VALUE"""),-12.941605839416056)</f>
        <v>-12.94160584</v>
      </c>
      <c r="W3" s="19">
        <f>IFERROR(__xludf.DUMMYFUNCTION("""COMPUTED_VALUE"""),31.520736140740947)</f>
        <v>31.52073614</v>
      </c>
      <c r="X3" s="20">
        <f>IFERROR(__xludf.DUMMYFUNCTION("""COMPUTED_VALUE"""),22.0)</f>
        <v>22</v>
      </c>
      <c r="Y3" s="21">
        <f>IFERROR(__xludf.DUMMYFUNCTION("""COMPUTED_VALUE"""),-9.520736140740947)</f>
        <v>-9.520736141</v>
      </c>
      <c r="Z3" s="28">
        <f>IFERROR(__xludf.DUMMYFUNCTION("""COMPUTED_VALUE"""),-0.3020467573546062)</f>
        <v>-0.3020467574</v>
      </c>
      <c r="AA3" s="19">
        <f>IFERROR(__xludf.DUMMYFUNCTION("""COMPUTED_VALUE"""),24000.0)</f>
        <v>24000</v>
      </c>
      <c r="AB3" s="20">
        <f>IFERROR(__xludf.DUMMYFUNCTION("""COMPUTED_VALUE"""),19906.409090909092)</f>
        <v>19906.40909</v>
      </c>
      <c r="AC3" s="21">
        <f>IFERROR(__xludf.DUMMYFUNCTION("""COMPUTED_VALUE"""),-4093.590909090908)</f>
        <v>-4093.590909</v>
      </c>
      <c r="AD3" s="28">
        <f>IFERROR(__xludf.DUMMYFUNCTION("""COMPUTED_VALUE"""),-0.17056628787878783)</f>
        <v>-0.1705662879</v>
      </c>
      <c r="AE3" s="19">
        <f>IFERROR(__xludf.DUMMYFUNCTION("""COMPUTED_VALUE"""),734275.5483985601)</f>
        <v>734275.5484</v>
      </c>
      <c r="AF3" s="20">
        <f>IFERROR(__xludf.DUMMYFUNCTION("""COMPUTED_VALUE"""),437941.0)</f>
        <v>437941</v>
      </c>
      <c r="AG3" s="21">
        <f>IFERROR(__xludf.DUMMYFUNCTION("""COMPUTED_VALUE"""),-296334.54839856015)</f>
        <v>-296334.5484</v>
      </c>
      <c r="AH3" s="29">
        <f>IFERROR(__xludf.DUMMYFUNCTION("""COMPUTED_VALUE"""),-0.4035740384449131)</f>
        <v>-0.4035740384</v>
      </c>
      <c r="AI3" s="30">
        <f>IFERROR(__xludf.DUMMYFUNCTION("""COMPUTED_VALUE"""),41660.8685806403)</f>
        <v>41660.86858</v>
      </c>
      <c r="AJ3" s="30">
        <f>IFERROR(__xludf.DUMMYFUNCTION("""COMPUTED_VALUE"""),-427326.19999999984)</f>
        <v>-427326.2</v>
      </c>
      <c r="AK3" s="4">
        <f>IFERROR(__xludf.DUMMYFUNCTION("""COMPUTED_VALUE"""),6959.999999999999)</f>
        <v>6960</v>
      </c>
      <c r="AL3" s="31">
        <f>IFERROR(__xludf.DUMMYFUNCTION("""COMPUTED_VALUE"""),3196.6496350364964)</f>
        <v>3196.649635</v>
      </c>
      <c r="AM3" s="30">
        <f t="shared" si="1"/>
        <v>-3763.350365</v>
      </c>
      <c r="AN3" s="32">
        <f t="shared" si="2"/>
        <v>-0.5407112593</v>
      </c>
      <c r="AO3" s="12">
        <f t="shared" si="3"/>
        <v>88252.8</v>
      </c>
      <c r="AP3" s="12">
        <f t="shared" si="4"/>
        <v>-515579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IFERROR(__xludf.DUMMYFUNCTION("""COMPUTED_VALUE"""),"[IM] Chat")</f>
        <v>[IM] Chat</v>
      </c>
      <c r="B4" s="19">
        <f>IFERROR(__xludf.DUMMYFUNCTION("""COMPUTED_VALUE"""),679.354838709677)</f>
        <v>679.3548387</v>
      </c>
      <c r="C4" s="20">
        <f>IFERROR(__xludf.DUMMYFUNCTION("""COMPUTED_VALUE"""),747.0)</f>
        <v>747</v>
      </c>
      <c r="D4" s="21">
        <f>IFERROR(__xludf.DUMMYFUNCTION("""COMPUTED_VALUE"""),67.64516129032302)</f>
        <v>67.64516129</v>
      </c>
      <c r="E4" s="22">
        <f>IFERROR(__xludf.DUMMYFUNCTION("""COMPUTED_VALUE"""),0.09957264957265027)</f>
        <v>0.09957264957</v>
      </c>
      <c r="F4" s="23">
        <f>IFERROR(__xludf.DUMMYFUNCTION("""COMPUTED_VALUE"""),0.8603277999463558)</f>
        <v>0.8603277999</v>
      </c>
      <c r="G4" s="23">
        <f>IFERROR(__xludf.DUMMYFUNCTION("""COMPUTED_VALUE"""),0.7697456492637216)</f>
        <v>0.7697456493</v>
      </c>
      <c r="H4" s="24">
        <f>IFERROR(__xludf.DUMMYFUNCTION("""COMPUTED_VALUE"""),-9.05821506826342)</f>
        <v>-9.058215068</v>
      </c>
      <c r="I4" s="19">
        <f>IFERROR(__xludf.DUMMYFUNCTION("""COMPUTED_VALUE"""),584.4678537700078)</f>
        <v>584.4678538</v>
      </c>
      <c r="J4" s="20">
        <f>IFERROR(__xludf.DUMMYFUNCTION("""COMPUTED_VALUE"""),575.0)</f>
        <v>575</v>
      </c>
      <c r="K4" s="21">
        <f>IFERROR(__xludf.DUMMYFUNCTION("""COMPUTED_VALUE"""),-9.467853770007764)</f>
        <v>-9.46785377</v>
      </c>
      <c r="L4" s="22">
        <f>IFERROR(__xludf.DUMMYFUNCTION("""COMPUTED_VALUE"""),-0.016199100958140002)</f>
        <v>-0.01619910096</v>
      </c>
      <c r="M4" s="25">
        <f>IFERROR(__xludf.DUMMYFUNCTION("""COMPUTED_VALUE"""),0.28)</f>
        <v>0.28</v>
      </c>
      <c r="N4" s="23">
        <f>IFERROR(__xludf.DUMMYFUNCTION("""COMPUTED_VALUE"""),0.288695652173913)</f>
        <v>0.2886956522</v>
      </c>
      <c r="O4" s="26">
        <f>IFERROR(__xludf.DUMMYFUNCTION("""COMPUTED_VALUE"""),0.8695652173912993)</f>
        <v>0.8695652174</v>
      </c>
      <c r="P4" s="19">
        <f>IFERROR(__xludf.DUMMYFUNCTION("""COMPUTED_VALUE"""),150.31647320662734)</f>
        <v>150.3164732</v>
      </c>
      <c r="Q4" s="20">
        <f>IFERROR(__xludf.DUMMYFUNCTION("""COMPUTED_VALUE"""),166.0)</f>
        <v>166</v>
      </c>
      <c r="R4" s="21">
        <f>IFERROR(__xludf.DUMMYFUNCTION("""COMPUTED_VALUE"""),15.683526793372664)</f>
        <v>15.68352679</v>
      </c>
      <c r="S4" s="27">
        <f>IFERROR(__xludf.DUMMYFUNCTION("""COMPUTED_VALUE"""),0.10433671346063214)</f>
        <v>0.1043367135</v>
      </c>
      <c r="T4" s="23">
        <f>IFERROR(__xludf.DUMMYFUNCTION("""COMPUTED_VALUE"""),0.19)</f>
        <v>0.19</v>
      </c>
      <c r="U4" s="23">
        <f>IFERROR(__xludf.DUMMYFUNCTION("""COMPUTED_VALUE"""),0.13855421686746988)</f>
        <v>0.1385542169</v>
      </c>
      <c r="V4" s="24">
        <f>IFERROR(__xludf.DUMMYFUNCTION("""COMPUTED_VALUE"""),-5.144578313253012)</f>
        <v>-5.144578313</v>
      </c>
      <c r="W4" s="19">
        <f>IFERROR(__xludf.DUMMYFUNCTION("""COMPUTED_VALUE"""),28.560129909259196)</f>
        <v>28.56012991</v>
      </c>
      <c r="X4" s="20">
        <f>IFERROR(__xludf.DUMMYFUNCTION("""COMPUTED_VALUE"""),23.0)</f>
        <v>23</v>
      </c>
      <c r="Y4" s="21">
        <f>IFERROR(__xludf.DUMMYFUNCTION("""COMPUTED_VALUE"""),-5.560129909259196)</f>
        <v>-5.560129909</v>
      </c>
      <c r="Z4" s="28">
        <f>IFERROR(__xludf.DUMMYFUNCTION("""COMPUTED_VALUE"""),-0.19468153425508758)</f>
        <v>-0.1946815343</v>
      </c>
      <c r="AA4" s="19">
        <f>IFERROR(__xludf.DUMMYFUNCTION("""COMPUTED_VALUE"""),26000.0)</f>
        <v>26000</v>
      </c>
      <c r="AB4" s="20">
        <f>IFERROR(__xludf.DUMMYFUNCTION("""COMPUTED_VALUE"""),20869.104343580162)</f>
        <v>20869.10434</v>
      </c>
      <c r="AC4" s="21">
        <f>IFERROR(__xludf.DUMMYFUNCTION("""COMPUTED_VALUE"""),-5130.895656419838)</f>
        <v>-5130.895656</v>
      </c>
      <c r="AD4" s="28">
        <f>IFERROR(__xludf.DUMMYFUNCTION("""COMPUTED_VALUE"""),-0.19734214063153221)</f>
        <v>-0.1973421406</v>
      </c>
      <c r="AE4" s="19">
        <f>IFERROR(__xludf.DUMMYFUNCTION("""COMPUTED_VALUE"""),720750.5784225422)</f>
        <v>720750.5784</v>
      </c>
      <c r="AF4" s="20">
        <f>IFERROR(__xludf.DUMMYFUNCTION("""COMPUTED_VALUE"""),479989.39990234375)</f>
        <v>479989.3999</v>
      </c>
      <c r="AG4" s="21">
        <f>IFERROR(__xludf.DUMMYFUNCTION("""COMPUTED_VALUE"""),-240761.17852019845)</f>
        <v>-240761.1785</v>
      </c>
      <c r="AH4" s="29">
        <f>IFERROR(__xludf.DUMMYFUNCTION("""COMPUTED_VALUE"""),-0.3340422966390621)</f>
        <v>-0.3340422966</v>
      </c>
      <c r="AI4" s="30">
        <f>IFERROR(__xludf.DUMMYFUNCTION("""COMPUTED_VALUE"""),-13095.935334674741)</f>
        <v>-13095.93533</v>
      </c>
      <c r="AJ4" s="30">
        <f>IFERROR(__xludf.DUMMYFUNCTION("""COMPUTED_VALUE"""),-315350.6000976564)</f>
        <v>-315350.6001</v>
      </c>
      <c r="AK4" s="4">
        <f>IFERROR(__xludf.DUMMYFUNCTION("""COMPUTED_VALUE"""),4940.0)</f>
        <v>4940</v>
      </c>
      <c r="AL4" s="31">
        <f>IFERROR(__xludf.DUMMYFUNCTION("""COMPUTED_VALUE"""),2891.5024090502634)</f>
        <v>2891.502409</v>
      </c>
      <c r="AM4" s="30">
        <f t="shared" si="1"/>
        <v>-2048.497591</v>
      </c>
      <c r="AN4" s="32">
        <f t="shared" si="2"/>
        <v>-0.4146756257</v>
      </c>
      <c r="AO4" s="12">
        <f t="shared" si="3"/>
        <v>24700</v>
      </c>
      <c r="AP4" s="12">
        <f t="shared" si="4"/>
        <v>-340050.6001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IFERROR(__xludf.DUMMYFUNCTION("""COMPUTED_VALUE"""),"[IM] Form Facebook Ads")</f>
        <v>[IM] Form Facebook Ads</v>
      </c>
      <c r="B5" s="19">
        <f>IFERROR(__xludf.DUMMYFUNCTION("""COMPUTED_VALUE"""),402.3870967741933)</f>
        <v>402.3870968</v>
      </c>
      <c r="C5" s="20">
        <f>IFERROR(__xludf.DUMMYFUNCTION("""COMPUTED_VALUE"""),391.0)</f>
        <v>391</v>
      </c>
      <c r="D5" s="21">
        <f>IFERROR(__xludf.DUMMYFUNCTION("""COMPUTED_VALUE"""),-11.38709677419331)</f>
        <v>-11.38709677</v>
      </c>
      <c r="E5" s="22">
        <f>IFERROR(__xludf.DUMMYFUNCTION("""COMPUTED_VALUE"""),-0.02829886163219439)</f>
        <v>-0.02829886163</v>
      </c>
      <c r="F5" s="23">
        <f>IFERROR(__xludf.DUMMYFUNCTION("""COMPUTED_VALUE"""),0.8681746999803265)</f>
        <v>0.8681747</v>
      </c>
      <c r="G5" s="23">
        <f>IFERROR(__xludf.DUMMYFUNCTION("""COMPUTED_VALUE"""),0.7186700767263428)</f>
        <v>0.7186700767</v>
      </c>
      <c r="H5" s="24">
        <f>IFERROR(__xludf.DUMMYFUNCTION("""COMPUTED_VALUE"""),-14.950462325398373)</f>
        <v>-14.95046233</v>
      </c>
      <c r="I5" s="19">
        <f>IFERROR(__xludf.DUMMYFUNCTION("""COMPUTED_VALUE"""),349.3422970178899)</f>
        <v>349.342297</v>
      </c>
      <c r="J5" s="20">
        <f>IFERROR(__xludf.DUMMYFUNCTION("""COMPUTED_VALUE"""),281.0)</f>
        <v>281</v>
      </c>
      <c r="K5" s="21">
        <f>IFERROR(__xludf.DUMMYFUNCTION("""COMPUTED_VALUE"""),-68.3422970178899)</f>
        <v>-68.34229702</v>
      </c>
      <c r="L5" s="22">
        <f>IFERROR(__xludf.DUMMYFUNCTION("""COMPUTED_VALUE"""),-0.1956313266423335)</f>
        <v>-0.1956313266</v>
      </c>
      <c r="M5" s="25">
        <f>IFERROR(__xludf.DUMMYFUNCTION("""COMPUTED_VALUE"""),0.32)</f>
        <v>0.32</v>
      </c>
      <c r="N5" s="23">
        <f>IFERROR(__xludf.DUMMYFUNCTION("""COMPUTED_VALUE"""),0.41637010676156583)</f>
        <v>0.4163701068</v>
      </c>
      <c r="O5" s="26">
        <f>IFERROR(__xludf.DUMMYFUNCTION("""COMPUTED_VALUE"""),9.637010676156581)</f>
        <v>9.637010676</v>
      </c>
      <c r="P5" s="19">
        <f>IFERROR(__xludf.DUMMYFUNCTION("""COMPUTED_VALUE"""),102.6807581160732)</f>
        <v>102.6807581</v>
      </c>
      <c r="Q5" s="20">
        <f>IFERROR(__xludf.DUMMYFUNCTION("""COMPUTED_VALUE"""),117.0)</f>
        <v>117</v>
      </c>
      <c r="R5" s="21">
        <f>IFERROR(__xludf.DUMMYFUNCTION("""COMPUTED_VALUE"""),14.319241883926793)</f>
        <v>14.31924188</v>
      </c>
      <c r="S5" s="27">
        <f>IFERROR(__xludf.DUMMYFUNCTION("""COMPUTED_VALUE"""),0.1394539945618625)</f>
        <v>0.1394539946</v>
      </c>
      <c r="T5" s="23">
        <f>IFERROR(__xludf.DUMMYFUNCTION("""COMPUTED_VALUE"""),0.175)</f>
        <v>0.175</v>
      </c>
      <c r="U5" s="23">
        <f>IFERROR(__xludf.DUMMYFUNCTION("""COMPUTED_VALUE"""),0.07692307692307693)</f>
        <v>0.07692307692</v>
      </c>
      <c r="V5" s="24">
        <f>IFERROR(__xludf.DUMMYFUNCTION("""COMPUTED_VALUE"""),-9.807692307692307)</f>
        <v>-9.807692308</v>
      </c>
      <c r="W5" s="19">
        <f>IFERROR(__xludf.DUMMYFUNCTION("""COMPUTED_VALUE"""),17.96913267031281)</f>
        <v>17.96913267</v>
      </c>
      <c r="X5" s="20">
        <f>IFERROR(__xludf.DUMMYFUNCTION("""COMPUTED_VALUE"""),9.0)</f>
        <v>9</v>
      </c>
      <c r="Y5" s="21">
        <f>IFERROR(__xludf.DUMMYFUNCTION("""COMPUTED_VALUE"""),-8.96913267031281)</f>
        <v>-8.96913267</v>
      </c>
      <c r="Z5" s="28">
        <f>IFERROR(__xludf.DUMMYFUNCTION("""COMPUTED_VALUE"""),-0.499141101291489)</f>
        <v>-0.4991411013</v>
      </c>
      <c r="AA5" s="19">
        <f>IFERROR(__xludf.DUMMYFUNCTION("""COMPUTED_VALUE"""),29000.0)</f>
        <v>29000</v>
      </c>
      <c r="AB5" s="20">
        <f>IFERROR(__xludf.DUMMYFUNCTION("""COMPUTED_VALUE"""),15550.444444444445)</f>
        <v>15550.44444</v>
      </c>
      <c r="AC5" s="21">
        <f>IFERROR(__xludf.DUMMYFUNCTION("""COMPUTED_VALUE"""),-13449.555555555555)</f>
        <v>-13449.55556</v>
      </c>
      <c r="AD5" s="28">
        <f>IFERROR(__xludf.DUMMYFUNCTION("""COMPUTED_VALUE"""),-0.46377777777777773)</f>
        <v>-0.4637777778</v>
      </c>
      <c r="AE5" s="19">
        <f>IFERROR(__xludf.DUMMYFUNCTION("""COMPUTED_VALUE"""),505797.3925455486)</f>
        <v>505797.3925</v>
      </c>
      <c r="AF5" s="20">
        <f>IFERROR(__xludf.DUMMYFUNCTION("""COMPUTED_VALUE"""),139954.0)</f>
        <v>139954</v>
      </c>
      <c r="AG5" s="21">
        <f>IFERROR(__xludf.DUMMYFUNCTION("""COMPUTED_VALUE"""),-365843.3925455486)</f>
        <v>-365843.3925</v>
      </c>
      <c r="AH5" s="29">
        <f>IFERROR(__xludf.DUMMYFUNCTION("""COMPUTED_VALUE"""),-0.7233002738593661)</f>
        <v>-0.7233002739</v>
      </c>
      <c r="AI5" s="30">
        <f>IFERROR(__xludf.DUMMYFUNCTION("""COMPUTED_VALUE"""),-110987.8903570532)</f>
        <v>-110987.8904</v>
      </c>
      <c r="AJ5" s="30">
        <f>IFERROR(__xludf.DUMMYFUNCTION("""COMPUTED_VALUE"""),-316390.0)</f>
        <v>-316390</v>
      </c>
      <c r="AK5" s="4">
        <f>IFERROR(__xludf.DUMMYFUNCTION("""COMPUTED_VALUE"""),5074.999999999999)</f>
        <v>5075</v>
      </c>
      <c r="AL5" s="31">
        <f>IFERROR(__xludf.DUMMYFUNCTION("""COMPUTED_VALUE"""),1196.1880341880342)</f>
        <v>1196.188034</v>
      </c>
      <c r="AM5" s="30">
        <f t="shared" si="1"/>
        <v>-3878.811966</v>
      </c>
      <c r="AN5" s="32">
        <f t="shared" si="2"/>
        <v>-0.7642979243</v>
      </c>
      <c r="AO5" s="12">
        <f t="shared" si="3"/>
        <v>137431</v>
      </c>
      <c r="AP5" s="12">
        <f t="shared" si="4"/>
        <v>-453821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IFERROR(__xludf.DUMMYFUNCTION("""COMPUTED_VALUE"""),"Form G4 Instagram Outros")</f>
        <v>Form G4 Instagram Outros</v>
      </c>
      <c r="B6" s="19">
        <f>IFERROR(__xludf.DUMMYFUNCTION("""COMPUTED_VALUE"""),348.3870967741933)</f>
        <v>348.3870968</v>
      </c>
      <c r="C6" s="20">
        <f>IFERROR(__xludf.DUMMYFUNCTION("""COMPUTED_VALUE"""),377.0)</f>
        <v>377</v>
      </c>
      <c r="D6" s="21">
        <f>IFERROR(__xludf.DUMMYFUNCTION("""COMPUTED_VALUE"""),28.61290322580669)</f>
        <v>28.61290323</v>
      </c>
      <c r="E6" s="22">
        <f>IFERROR(__xludf.DUMMYFUNCTION("""COMPUTED_VALUE"""),0.08212962962963037)</f>
        <v>0.08212962963</v>
      </c>
      <c r="F6" s="23">
        <f>IFERROR(__xludf.DUMMYFUNCTION("""COMPUTED_VALUE"""),0.820698804996366)</f>
        <v>0.820698805</v>
      </c>
      <c r="G6" s="23">
        <f>IFERROR(__xludf.DUMMYFUNCTION("""COMPUTED_VALUE"""),0.870026525198939)</f>
        <v>0.8700265252</v>
      </c>
      <c r="H6" s="24">
        <f>IFERROR(__xludf.DUMMYFUNCTION("""COMPUTED_VALUE"""),4.932772020257293)</f>
        <v>4.93277202</v>
      </c>
      <c r="I6" s="19">
        <f>IFERROR(__xludf.DUMMYFUNCTION("""COMPUTED_VALUE"""),285.92087399873384)</f>
        <v>285.920874</v>
      </c>
      <c r="J6" s="20">
        <f>IFERROR(__xludf.DUMMYFUNCTION("""COMPUTED_VALUE"""),328.0)</f>
        <v>328</v>
      </c>
      <c r="K6" s="21">
        <f>IFERROR(__xludf.DUMMYFUNCTION("""COMPUTED_VALUE"""),42.07912600126616)</f>
        <v>42.079126</v>
      </c>
      <c r="L6" s="22">
        <f>IFERROR(__xludf.DUMMYFUNCTION("""COMPUTED_VALUE"""),0.14717052803025674)</f>
        <v>0.147170528</v>
      </c>
      <c r="M6" s="25">
        <f>IFERROR(__xludf.DUMMYFUNCTION("""COMPUTED_VALUE"""),0.31)</f>
        <v>0.31</v>
      </c>
      <c r="N6" s="23">
        <f>IFERROR(__xludf.DUMMYFUNCTION("""COMPUTED_VALUE"""),0.3170731707317073)</f>
        <v>0.3170731707</v>
      </c>
      <c r="O6" s="26">
        <f>IFERROR(__xludf.DUMMYFUNCTION("""COMPUTED_VALUE"""),0.7073170731707323)</f>
        <v>0.7073170732</v>
      </c>
      <c r="P6" s="19">
        <f>IFERROR(__xludf.DUMMYFUNCTION("""COMPUTED_VALUE"""),81.41332145563953)</f>
        <v>81.41332146</v>
      </c>
      <c r="Q6" s="20">
        <f>IFERROR(__xludf.DUMMYFUNCTION("""COMPUTED_VALUE"""),104.0)</f>
        <v>104</v>
      </c>
      <c r="R6" s="21">
        <f>IFERROR(__xludf.DUMMYFUNCTION("""COMPUTED_VALUE"""),22.586678544360467)</f>
        <v>22.58667854</v>
      </c>
      <c r="S6" s="27">
        <f>IFERROR(__xludf.DUMMYFUNCTION("""COMPUTED_VALUE"""),0.2774322204341889)</f>
        <v>0.2774322204</v>
      </c>
      <c r="T6" s="23">
        <f>IFERROR(__xludf.DUMMYFUNCTION("""COMPUTED_VALUE"""),0.24)</f>
        <v>0.24</v>
      </c>
      <c r="U6" s="23">
        <f>IFERROR(__xludf.DUMMYFUNCTION("""COMPUTED_VALUE"""),0.125)</f>
        <v>0.125</v>
      </c>
      <c r="V6" s="24">
        <f>IFERROR(__xludf.DUMMYFUNCTION("""COMPUTED_VALUE"""),-11.5)</f>
        <v>-11.5</v>
      </c>
      <c r="W6" s="19">
        <f>IFERROR(__xludf.DUMMYFUNCTION("""COMPUTED_VALUE"""),19.539197149353488)</f>
        <v>19.53919715</v>
      </c>
      <c r="X6" s="20">
        <f>IFERROR(__xludf.DUMMYFUNCTION("""COMPUTED_VALUE"""),13.0)</f>
        <v>13</v>
      </c>
      <c r="Y6" s="21">
        <f>IFERROR(__xludf.DUMMYFUNCTION("""COMPUTED_VALUE"""),-6.5391971493534875)</f>
        <v>-6.539197149</v>
      </c>
      <c r="Z6" s="28">
        <f>IFERROR(__xludf.DUMMYFUNCTION("""COMPUTED_VALUE"""),-0.33467071852385993)</f>
        <v>-0.3346707185</v>
      </c>
      <c r="AA6" s="19">
        <f>IFERROR(__xludf.DUMMYFUNCTION("""COMPUTED_VALUE"""),25500.0)</f>
        <v>25500</v>
      </c>
      <c r="AB6" s="20">
        <f>IFERROR(__xludf.DUMMYFUNCTION("""COMPUTED_VALUE"""),31272.846153846152)</f>
        <v>31272.84615</v>
      </c>
      <c r="AC6" s="21">
        <f>IFERROR(__xludf.DUMMYFUNCTION("""COMPUTED_VALUE"""),5772.846153846152)</f>
        <v>5772.846154</v>
      </c>
      <c r="AD6" s="28">
        <f>IFERROR(__xludf.DUMMYFUNCTION("""COMPUTED_VALUE"""),0.22638612368024127)</f>
        <v>0.2263861237</v>
      </c>
      <c r="AE6" s="19">
        <f>IFERROR(__xludf.DUMMYFUNCTION("""COMPUTED_VALUE"""),483613.44744382624)</f>
        <v>483613.4474</v>
      </c>
      <c r="AF6" s="20">
        <f>IFERROR(__xludf.DUMMYFUNCTION("""COMPUTED_VALUE"""),406547.0)</f>
        <v>406547</v>
      </c>
      <c r="AG6" s="21">
        <f>IFERROR(__xludf.DUMMYFUNCTION("""COMPUTED_VALUE"""),-77066.44744382624)</f>
        <v>-77066.44744</v>
      </c>
      <c r="AH6" s="29">
        <f>IFERROR(__xludf.DUMMYFUNCTION("""COMPUTED_VALUE"""),-0.15935546840388023)</f>
        <v>-0.1593554684</v>
      </c>
      <c r="AI6" s="30">
        <f>IFERROR(__xludf.DUMMYFUNCTION("""COMPUTED_VALUE"""),79832.51784960217)</f>
        <v>79832.51785</v>
      </c>
      <c r="AJ6" s="30">
        <f>IFERROR(__xludf.DUMMYFUNCTION("""COMPUTED_VALUE"""),-215734.60000000003)</f>
        <v>-215734.6</v>
      </c>
      <c r="AK6" s="4">
        <f>IFERROR(__xludf.DUMMYFUNCTION("""COMPUTED_VALUE"""),6120.000000000001)</f>
        <v>6120</v>
      </c>
      <c r="AL6" s="31">
        <f>IFERROR(__xludf.DUMMYFUNCTION("""COMPUTED_VALUE"""),3909.105769230769)</f>
        <v>3909.105769</v>
      </c>
      <c r="AM6" s="30">
        <f t="shared" si="1"/>
        <v>-2210.894231</v>
      </c>
      <c r="AN6" s="32">
        <f t="shared" si="2"/>
        <v>-0.3612572272</v>
      </c>
      <c r="AO6" s="12">
        <f t="shared" si="3"/>
        <v>14198.4</v>
      </c>
      <c r="AP6" s="12">
        <f t="shared" si="4"/>
        <v>-229933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IFERROR(__xludf.DUMMYFUNCTION("""COMPUTED_VALUE"""),"[IM] Social DM")</f>
        <v>[IM] Social DM</v>
      </c>
      <c r="B7" s="19">
        <f>IFERROR(__xludf.DUMMYFUNCTION("""COMPUTED_VALUE"""),87.09677419354833)</f>
        <v>87.09677419</v>
      </c>
      <c r="C7" s="20">
        <f>IFERROR(__xludf.DUMMYFUNCTION("""COMPUTED_VALUE"""),110.0)</f>
        <v>110</v>
      </c>
      <c r="D7" s="21">
        <f>IFERROR(__xludf.DUMMYFUNCTION("""COMPUTED_VALUE"""),22.903225806451672)</f>
        <v>22.90322581</v>
      </c>
      <c r="E7" s="22">
        <f>IFERROR(__xludf.DUMMYFUNCTION("""COMPUTED_VALUE"""),0.26296296296296384)</f>
        <v>0.262962963</v>
      </c>
      <c r="F7" s="23">
        <f>IFERROR(__xludf.DUMMYFUNCTION("""COMPUTED_VALUE"""),0.9940958605664488)</f>
        <v>0.9940958606</v>
      </c>
      <c r="G7" s="23">
        <f>IFERROR(__xludf.DUMMYFUNCTION("""COMPUTED_VALUE"""),0.990909090909091)</f>
        <v>0.9909090909</v>
      </c>
      <c r="H7" s="24">
        <f>IFERROR(__xludf.DUMMYFUNCTION("""COMPUTED_VALUE"""),-0.31867696573578685)</f>
        <v>-0.3186769657</v>
      </c>
      <c r="I7" s="19">
        <f>IFERROR(__xludf.DUMMYFUNCTION("""COMPUTED_VALUE"""),86.5825426944971)</f>
        <v>86.58254269</v>
      </c>
      <c r="J7" s="20">
        <f>IFERROR(__xludf.DUMMYFUNCTION("""COMPUTED_VALUE"""),109.0)</f>
        <v>109</v>
      </c>
      <c r="K7" s="21">
        <f>IFERROR(__xludf.DUMMYFUNCTION("""COMPUTED_VALUE"""),22.417457305502893)</f>
        <v>22.41745731</v>
      </c>
      <c r="L7" s="22">
        <f>IFERROR(__xludf.DUMMYFUNCTION("""COMPUTED_VALUE"""),0.2589142869666228)</f>
        <v>0.258914287</v>
      </c>
      <c r="M7" s="25">
        <f>IFERROR(__xludf.DUMMYFUNCTION("""COMPUTED_VALUE"""),0.47)</f>
        <v>0.47</v>
      </c>
      <c r="N7" s="23">
        <f>IFERROR(__xludf.DUMMYFUNCTION("""COMPUTED_VALUE"""),0.3853211009174312)</f>
        <v>0.3853211009</v>
      </c>
      <c r="O7" s="26">
        <f>IFERROR(__xludf.DUMMYFUNCTION("""COMPUTED_VALUE"""),-8.467889908256875)</f>
        <v>-8.467889908</v>
      </c>
      <c r="P7" s="19">
        <f>IFERROR(__xludf.DUMMYFUNCTION("""COMPUTED_VALUE"""),37.37800435729849)</f>
        <v>37.37800436</v>
      </c>
      <c r="Q7" s="20">
        <f>IFERROR(__xludf.DUMMYFUNCTION("""COMPUTED_VALUE"""),42.0)</f>
        <v>42</v>
      </c>
      <c r="R7" s="21">
        <f>IFERROR(__xludf.DUMMYFUNCTION("""COMPUTED_VALUE"""),4.621995642701513)</f>
        <v>4.621995643</v>
      </c>
      <c r="S7" s="27">
        <f>IFERROR(__xludf.DUMMYFUNCTION("""COMPUTED_VALUE"""),0.12365549531536227)</f>
        <v>0.1236554953</v>
      </c>
      <c r="T7" s="23">
        <f>IFERROR(__xludf.DUMMYFUNCTION("""COMPUTED_VALUE"""),0.34)</f>
        <v>0.34</v>
      </c>
      <c r="U7" s="23">
        <f>IFERROR(__xludf.DUMMYFUNCTION("""COMPUTED_VALUE"""),0.2857142857142857)</f>
        <v>0.2857142857</v>
      </c>
      <c r="V7" s="24">
        <f>IFERROR(__xludf.DUMMYFUNCTION("""COMPUTED_VALUE"""),-5.428571428571432)</f>
        <v>-5.428571429</v>
      </c>
      <c r="W7" s="19">
        <f>IFERROR(__xludf.DUMMYFUNCTION("""COMPUTED_VALUE"""),12.708521481481485)</f>
        <v>12.70852148</v>
      </c>
      <c r="X7" s="20">
        <f>IFERROR(__xludf.DUMMYFUNCTION("""COMPUTED_VALUE"""),12.0)</f>
        <v>12</v>
      </c>
      <c r="Y7" s="21">
        <f>IFERROR(__xludf.DUMMYFUNCTION("""COMPUTED_VALUE"""),-0.7085214814814851)</f>
        <v>-0.7085214815</v>
      </c>
      <c r="Z7" s="28">
        <f>IFERROR(__xludf.DUMMYFUNCTION("""COMPUTED_VALUE"""),-0.05575168460893924)</f>
        <v>-0.05575168461</v>
      </c>
      <c r="AA7" s="19">
        <f>IFERROR(__xludf.DUMMYFUNCTION("""COMPUTED_VALUE"""),32000.0)</f>
        <v>32000</v>
      </c>
      <c r="AB7" s="20">
        <f>IFERROR(__xludf.DUMMYFUNCTION("""COMPUTED_VALUE"""),13193.637502034506)</f>
        <v>13193.6375</v>
      </c>
      <c r="AC7" s="21">
        <f>IFERROR(__xludf.DUMMYFUNCTION("""COMPUTED_VALUE"""),-18806.362497965492)</f>
        <v>-18806.3625</v>
      </c>
      <c r="AD7" s="28">
        <f>IFERROR(__xludf.DUMMYFUNCTION("""COMPUTED_VALUE"""),-0.5876988280614216)</f>
        <v>-0.5876988281</v>
      </c>
      <c r="AE7" s="19">
        <f>IFERROR(__xludf.DUMMYFUNCTION("""COMPUTED_VALUE"""),394726.6772148148)</f>
        <v>394726.6772</v>
      </c>
      <c r="AF7" s="20">
        <f>IFERROR(__xludf.DUMMYFUNCTION("""COMPUTED_VALUE"""),158323.65002441406)</f>
        <v>158323.65</v>
      </c>
      <c r="AG7" s="21">
        <f>IFERROR(__xludf.DUMMYFUNCTION("""COMPUTED_VALUE"""),-236403.02719040075)</f>
        <v>-236403.0272</v>
      </c>
      <c r="AH7" s="29">
        <f>IFERROR(__xludf.DUMMYFUNCTION("""COMPUTED_VALUE"""),-0.5989030912692721)</f>
        <v>-0.5989030913</v>
      </c>
      <c r="AI7" s="30">
        <f>IFERROR(__xludf.DUMMYFUNCTION("""COMPUTED_VALUE"""),114633.90967741961)</f>
        <v>114633.9097</v>
      </c>
      <c r="AJ7" s="30">
        <f>IFERROR(__xludf.DUMMYFUNCTION("""COMPUTED_VALUE"""),-399058.749975586)</f>
        <v>-399058.75</v>
      </c>
      <c r="AK7" s="4">
        <f>IFERROR(__xludf.DUMMYFUNCTION("""COMPUTED_VALUE"""),10880.0)</f>
        <v>10880</v>
      </c>
      <c r="AL7" s="31">
        <f>IFERROR(__xludf.DUMMYFUNCTION("""COMPUTED_VALUE"""),3769.6107148670017)</f>
        <v>3769.610715</v>
      </c>
      <c r="AM7" s="30">
        <f t="shared" si="1"/>
        <v>-7110.389285</v>
      </c>
      <c r="AN7" s="32">
        <f t="shared" si="2"/>
        <v>-0.6535284269</v>
      </c>
      <c r="AO7" s="12">
        <f t="shared" si="3"/>
        <v>-100422.4</v>
      </c>
      <c r="AP7" s="12">
        <f t="shared" si="4"/>
        <v>-298636.35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IFERROR(__xludf.DUMMYFUNCTION("""COMPUTED_VALUE"""),"Form G4 Instagram Tallis")</f>
        <v>Form G4 Instagram Tallis</v>
      </c>
      <c r="B8" s="19">
        <f>IFERROR(__xludf.DUMMYFUNCTION("""COMPUTED_VALUE"""),304.83870967741916)</f>
        <v>304.8387097</v>
      </c>
      <c r="C8" s="20">
        <f>IFERROR(__xludf.DUMMYFUNCTION("""COMPUTED_VALUE"""),403.0)</f>
        <v>403</v>
      </c>
      <c r="D8" s="21">
        <f>IFERROR(__xludf.DUMMYFUNCTION("""COMPUTED_VALUE"""),98.16129032258084)</f>
        <v>98.16129032</v>
      </c>
      <c r="E8" s="22">
        <f>IFERROR(__xludf.DUMMYFUNCTION("""COMPUTED_VALUE"""),0.32201058201058286)</f>
        <v>0.322010582</v>
      </c>
      <c r="F8" s="23">
        <f>IFERROR(__xludf.DUMMYFUNCTION("""COMPUTED_VALUE"""),0.8420724459024018)</f>
        <v>0.8420724459</v>
      </c>
      <c r="G8" s="23">
        <f>IFERROR(__xludf.DUMMYFUNCTION("""COMPUTED_VALUE"""),0.8411910669975186)</f>
        <v>0.841191067</v>
      </c>
      <c r="H8" s="24">
        <f>IFERROR(__xludf.DUMMYFUNCTION("""COMPUTED_VALUE"""),-0.08813789048832676)</f>
        <v>-0.08813789049</v>
      </c>
      <c r="I8" s="19">
        <f>IFERROR(__xludf.DUMMYFUNCTION("""COMPUTED_VALUE"""),256.6962778637965)</f>
        <v>256.6962779</v>
      </c>
      <c r="J8" s="20">
        <f>IFERROR(__xludf.DUMMYFUNCTION("""COMPUTED_VALUE"""),339.0)</f>
        <v>339</v>
      </c>
      <c r="K8" s="21">
        <f>IFERROR(__xludf.DUMMYFUNCTION("""COMPUTED_VALUE"""),82.30372213620348)</f>
        <v>82.30372214</v>
      </c>
      <c r="L8" s="22">
        <f>IFERROR(__xludf.DUMMYFUNCTION("""COMPUTED_VALUE"""),0.32062686230251447)</f>
        <v>0.3206268623</v>
      </c>
      <c r="M8" s="25">
        <f>IFERROR(__xludf.DUMMYFUNCTION("""COMPUTED_VALUE"""),0.34)</f>
        <v>0.34</v>
      </c>
      <c r="N8" s="23">
        <f>IFERROR(__xludf.DUMMYFUNCTION("""COMPUTED_VALUE"""),0.4365781710914454)</f>
        <v>0.4365781711</v>
      </c>
      <c r="O8" s="26">
        <f>IFERROR(__xludf.DUMMYFUNCTION("""COMPUTED_VALUE"""),9.65781710914454)</f>
        <v>9.657817109</v>
      </c>
      <c r="P8" s="19">
        <f>IFERROR(__xludf.DUMMYFUNCTION("""COMPUTED_VALUE"""),80.16529684990867)</f>
        <v>80.16529685</v>
      </c>
      <c r="Q8" s="20">
        <f>IFERROR(__xludf.DUMMYFUNCTION("""COMPUTED_VALUE"""),148.0)</f>
        <v>148</v>
      </c>
      <c r="R8" s="21">
        <f>IFERROR(__xludf.DUMMYFUNCTION("""COMPUTED_VALUE"""),67.83470315009133)</f>
        <v>67.83470315</v>
      </c>
      <c r="S8" s="27">
        <f>IFERROR(__xludf.DUMMYFUNCTION("""COMPUTED_VALUE"""),0.8461853921291705)</f>
        <v>0.8461853921</v>
      </c>
      <c r="T8" s="23">
        <f>IFERROR(__xludf.DUMMYFUNCTION("""COMPUTED_VALUE"""),0.16)</f>
        <v>0.16</v>
      </c>
      <c r="U8" s="23">
        <f>IFERROR(__xludf.DUMMYFUNCTION("""COMPUTED_VALUE"""),0.20270270270270271)</f>
        <v>0.2027027027</v>
      </c>
      <c r="V8" s="24">
        <f>IFERROR(__xludf.DUMMYFUNCTION("""COMPUTED_VALUE"""),4.270270270270271)</f>
        <v>4.27027027</v>
      </c>
      <c r="W8" s="19">
        <f>IFERROR(__xludf.DUMMYFUNCTION("""COMPUTED_VALUE"""),12.826447495985388)</f>
        <v>12.8264475</v>
      </c>
      <c r="X8" s="20">
        <f>IFERROR(__xludf.DUMMYFUNCTION("""COMPUTED_VALUE"""),30.0)</f>
        <v>30</v>
      </c>
      <c r="Y8" s="21">
        <f>IFERROR(__xludf.DUMMYFUNCTION("""COMPUTED_VALUE"""),17.173552504014612)</f>
        <v>17.1735525</v>
      </c>
      <c r="Z8" s="28">
        <f>IFERROR(__xludf.DUMMYFUNCTION("""COMPUTED_VALUE"""),1.3389173042176992)</f>
        <v>1.338917304</v>
      </c>
      <c r="AA8" s="19">
        <f>IFERROR(__xludf.DUMMYFUNCTION("""COMPUTED_VALUE"""),26500.0)</f>
        <v>26500</v>
      </c>
      <c r="AB8" s="20">
        <f>IFERROR(__xludf.DUMMYFUNCTION("""COMPUTED_VALUE"""),28798.233333333334)</f>
        <v>28798.23333</v>
      </c>
      <c r="AC8" s="21">
        <f>IFERROR(__xludf.DUMMYFUNCTION("""COMPUTED_VALUE"""),2298.2333333333336)</f>
        <v>2298.233333</v>
      </c>
      <c r="AD8" s="28">
        <f>IFERROR(__xludf.DUMMYFUNCTION("""COMPUTED_VALUE"""),0.08672578616352203)</f>
        <v>0.08672578616</v>
      </c>
      <c r="AE8" s="19">
        <f>IFERROR(__xludf.DUMMYFUNCTION("""COMPUTED_VALUE"""),329916.27092095657)</f>
        <v>329916.2709</v>
      </c>
      <c r="AF8" s="20">
        <f>IFERROR(__xludf.DUMMYFUNCTION("""COMPUTED_VALUE"""),863947.0)</f>
        <v>863947</v>
      </c>
      <c r="AG8" s="21">
        <f>IFERROR(__xludf.DUMMYFUNCTION("""COMPUTED_VALUE"""),534030.7290790435)</f>
        <v>534030.7291</v>
      </c>
      <c r="AH8" s="29">
        <f>IFERROR(__xludf.DUMMYFUNCTION("""COMPUTED_VALUE"""),1.618685636777793)</f>
        <v>1.618685637</v>
      </c>
      <c r="AI8" s="30">
        <f>IFERROR(__xludf.DUMMYFUNCTION("""COMPUTED_VALUE"""),118649.04583155095)</f>
        <v>118649.0458</v>
      </c>
      <c r="AJ8" s="30">
        <f>IFERROR(__xludf.DUMMYFUNCTION("""COMPUTED_VALUE"""),375244.6)</f>
        <v>375244.6</v>
      </c>
      <c r="AK8" s="4">
        <f>IFERROR(__xludf.DUMMYFUNCTION("""COMPUTED_VALUE"""),4240.0)</f>
        <v>4240</v>
      </c>
      <c r="AL8" s="31">
        <f>IFERROR(__xludf.DUMMYFUNCTION("""COMPUTED_VALUE"""),5837.47972972973)</f>
        <v>5837.47973</v>
      </c>
      <c r="AM8" s="30">
        <f t="shared" si="1"/>
        <v>1597.47973</v>
      </c>
      <c r="AN8" s="32">
        <f t="shared" si="2"/>
        <v>0.3767640872</v>
      </c>
      <c r="AO8" s="12">
        <f t="shared" si="3"/>
        <v>138817.6</v>
      </c>
      <c r="AP8" s="12">
        <f t="shared" si="4"/>
        <v>236427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IFERROR(__xludf.DUMMYFUNCTION("""COMPUTED_VALUE"""),"Form G4 Outros - Não Orgânico")</f>
        <v>Form G4 Outros - Não Orgânico</v>
      </c>
      <c r="B9" s="19">
        <f>IFERROR(__xludf.DUMMYFUNCTION("""COMPUTED_VALUE"""),141.9677419354838)</f>
        <v>141.9677419</v>
      </c>
      <c r="C9" s="20">
        <f>IFERROR(__xludf.DUMMYFUNCTION("""COMPUTED_VALUE"""),97.0)</f>
        <v>97</v>
      </c>
      <c r="D9" s="21">
        <f>IFERROR(__xludf.DUMMYFUNCTION("""COMPUTED_VALUE"""),-44.96774193548379)</f>
        <v>-44.96774194</v>
      </c>
      <c r="E9" s="22">
        <f>IFERROR(__xludf.DUMMYFUNCTION("""COMPUTED_VALUE"""),-0.31674619404680715)</f>
        <v>-0.316746194</v>
      </c>
      <c r="F9" s="23">
        <f>IFERROR(__xludf.DUMMYFUNCTION("""COMPUTED_VALUE"""),0.8547633194692018)</f>
        <v>0.8547633195</v>
      </c>
      <c r="G9" s="23">
        <f>IFERROR(__xludf.DUMMYFUNCTION("""COMPUTED_VALUE"""),0.8247422680412371)</f>
        <v>0.824742268</v>
      </c>
      <c r="H9" s="24">
        <f>IFERROR(__xludf.DUMMYFUNCTION("""COMPUTED_VALUE"""),-3.002105142796474)</f>
        <v>-3.002105143</v>
      </c>
      <c r="I9" s="19">
        <f>IFERROR(__xludf.DUMMYFUNCTION("""COMPUTED_VALUE"""),121.34881835432112)</f>
        <v>121.3488184</v>
      </c>
      <c r="J9" s="20">
        <f>IFERROR(__xludf.DUMMYFUNCTION("""COMPUTED_VALUE"""),80.0)</f>
        <v>80</v>
      </c>
      <c r="K9" s="21">
        <f>IFERROR(__xludf.DUMMYFUNCTION("""COMPUTED_VALUE"""),-41.348818354321125)</f>
        <v>-41.34881835</v>
      </c>
      <c r="L9" s="22">
        <f>IFERROR(__xludf.DUMMYFUNCTION("""COMPUTED_VALUE"""),-0.3407434774814907)</f>
        <v>-0.3407434775</v>
      </c>
      <c r="M9" s="25">
        <f>IFERROR(__xludf.DUMMYFUNCTION("""COMPUTED_VALUE"""),0.33)</f>
        <v>0.33</v>
      </c>
      <c r="N9" s="23">
        <f>IFERROR(__xludf.DUMMYFUNCTION("""COMPUTED_VALUE"""),0.275)</f>
        <v>0.275</v>
      </c>
      <c r="O9" s="26">
        <f>IFERROR(__xludf.DUMMYFUNCTION("""COMPUTED_VALUE"""),-5.499999999999999)</f>
        <v>-5.5</v>
      </c>
      <c r="P9" s="19">
        <f>IFERROR(__xludf.DUMMYFUNCTION("""COMPUTED_VALUE"""),36.782175163398705)</f>
        <v>36.78217516</v>
      </c>
      <c r="Q9" s="20">
        <f>IFERROR(__xludf.DUMMYFUNCTION("""COMPUTED_VALUE"""),22.0)</f>
        <v>22</v>
      </c>
      <c r="R9" s="21">
        <f>IFERROR(__xludf.DUMMYFUNCTION("""COMPUTED_VALUE"""),-14.782175163398705)</f>
        <v>-14.78217516</v>
      </c>
      <c r="S9" s="27">
        <f>IFERROR(__xludf.DUMMYFUNCTION("""COMPUTED_VALUE"""),-0.40188420336022396)</f>
        <v>-0.4018842034</v>
      </c>
      <c r="T9" s="23">
        <f>IFERROR(__xludf.DUMMYFUNCTION("""COMPUTED_VALUE"""),0.25)</f>
        <v>0.25</v>
      </c>
      <c r="U9" s="23">
        <f>IFERROR(__xludf.DUMMYFUNCTION("""COMPUTED_VALUE"""),0.0)</f>
        <v>0</v>
      </c>
      <c r="V9" s="24">
        <f>IFERROR(__xludf.DUMMYFUNCTION("""COMPUTED_VALUE"""),-25.0)</f>
        <v>-25</v>
      </c>
      <c r="W9" s="19">
        <f>IFERROR(__xludf.DUMMYFUNCTION("""COMPUTED_VALUE"""),9.195543790849676)</f>
        <v>9.195543791</v>
      </c>
      <c r="X9" s="20">
        <f>IFERROR(__xludf.DUMMYFUNCTION("""COMPUTED_VALUE"""),0.0)</f>
        <v>0</v>
      </c>
      <c r="Y9" s="21">
        <f>IFERROR(__xludf.DUMMYFUNCTION("""COMPUTED_VALUE"""),-9.195543790849676)</f>
        <v>-9.195543791</v>
      </c>
      <c r="Z9" s="28">
        <f>IFERROR(__xludf.DUMMYFUNCTION("""COMPUTED_VALUE"""),-1.0)</f>
        <v>-1</v>
      </c>
      <c r="AA9" s="19">
        <f>IFERROR(__xludf.DUMMYFUNCTION("""COMPUTED_VALUE"""),26000.0)</f>
        <v>26000</v>
      </c>
      <c r="AB9" s="20">
        <f>IFERROR(__xludf.DUMMYFUNCTION("""COMPUTED_VALUE"""),0.0)</f>
        <v>0</v>
      </c>
      <c r="AC9" s="21">
        <f>IFERROR(__xludf.DUMMYFUNCTION("""COMPUTED_VALUE"""),-26000.0)</f>
        <v>-26000</v>
      </c>
      <c r="AD9" s="28">
        <f>IFERROR(__xludf.DUMMYFUNCTION("""COMPUTED_VALUE"""),-1.0)</f>
        <v>-1</v>
      </c>
      <c r="AE9" s="19">
        <f>IFERROR(__xludf.DUMMYFUNCTION("""COMPUTED_VALUE"""),232061.04199183008)</f>
        <v>232061.042</v>
      </c>
      <c r="AF9" s="20">
        <f>IFERROR(__xludf.DUMMYFUNCTION("""COMPUTED_VALUE"""),0.0)</f>
        <v>0</v>
      </c>
      <c r="AG9" s="21">
        <f>IFERROR(__xludf.DUMMYFUNCTION("""COMPUTED_VALUE"""),-232061.04199183008)</f>
        <v>-232061.042</v>
      </c>
      <c r="AH9" s="29">
        <f>IFERROR(__xludf.DUMMYFUNCTION("""COMPUTED_VALUE"""),-1.0)</f>
        <v>-1</v>
      </c>
      <c r="AI9" s="30">
        <f>IFERROR(__xludf.DUMMYFUNCTION("""COMPUTED_VALUE"""),-88693.2153700188)</f>
        <v>-88693.21537</v>
      </c>
      <c r="AJ9" s="30">
        <f>IFERROR(__xludf.DUMMYFUNCTION("""COMPUTED_VALUE"""),-171600.0)</f>
        <v>-171600</v>
      </c>
      <c r="AK9" s="4">
        <f>IFERROR(__xludf.DUMMYFUNCTION("""COMPUTED_VALUE"""),6500.0)</f>
        <v>6500</v>
      </c>
      <c r="AL9" s="31">
        <f>IFERROR(__xludf.DUMMYFUNCTION("""COMPUTED_VALUE"""),0.0)</f>
        <v>0</v>
      </c>
      <c r="AM9" s="30">
        <f t="shared" si="1"/>
        <v>-6500</v>
      </c>
      <c r="AN9" s="32">
        <f t="shared" si="2"/>
        <v>-1</v>
      </c>
      <c r="AO9" s="12">
        <f t="shared" si="3"/>
        <v>-28600</v>
      </c>
      <c r="AP9" s="12">
        <f t="shared" si="4"/>
        <v>-143000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IFERROR(__xludf.DUMMYFUNCTION("""COMPUTED_VALUE"""),"Form G4 Google")</f>
        <v>Form G4 Google</v>
      </c>
      <c r="B10" s="19">
        <f>IFERROR(__xludf.DUMMYFUNCTION("""COMPUTED_VALUE"""),126.29032258064508)</f>
        <v>126.2903226</v>
      </c>
      <c r="C10" s="20">
        <f>IFERROR(__xludf.DUMMYFUNCTION("""COMPUTED_VALUE"""),261.0)</f>
        <v>261</v>
      </c>
      <c r="D10" s="21">
        <f>IFERROR(__xludf.DUMMYFUNCTION("""COMPUTED_VALUE"""),134.70967741935493)</f>
        <v>134.7096774</v>
      </c>
      <c r="E10" s="22">
        <f>IFERROR(__xludf.DUMMYFUNCTION("""COMPUTED_VALUE"""),1.066666666666668)</f>
        <v>1.066666667</v>
      </c>
      <c r="F10" s="23">
        <f>IFERROR(__xludf.DUMMYFUNCTION("""COMPUTED_VALUE"""),0.5893855762154737)</f>
        <v>0.5893855762</v>
      </c>
      <c r="G10" s="23">
        <f>IFERROR(__xludf.DUMMYFUNCTION("""COMPUTED_VALUE"""),0.7969348659003831)</f>
        <v>0.7969348659</v>
      </c>
      <c r="H10" s="24">
        <f>IFERROR(__xludf.DUMMYFUNCTION("""COMPUTED_VALUE"""),20.754928968490937)</f>
        <v>20.75492897</v>
      </c>
      <c r="I10" s="19">
        <f>IFERROR(__xludf.DUMMYFUNCTION("""COMPUTED_VALUE"""),74.43369454463155)</f>
        <v>74.43369454</v>
      </c>
      <c r="J10" s="20">
        <f>IFERROR(__xludf.DUMMYFUNCTION("""COMPUTED_VALUE"""),208.0)</f>
        <v>208</v>
      </c>
      <c r="K10" s="21">
        <f>IFERROR(__xludf.DUMMYFUNCTION("""COMPUTED_VALUE"""),133.56630545536845)</f>
        <v>133.5663055</v>
      </c>
      <c r="L10" s="22">
        <f>IFERROR(__xludf.DUMMYFUNCTION("""COMPUTED_VALUE"""),1.7944333715059664)</f>
        <v>1.794433372</v>
      </c>
      <c r="M10" s="25">
        <f>IFERROR(__xludf.DUMMYFUNCTION("""COMPUTED_VALUE"""),0.37)</f>
        <v>0.37</v>
      </c>
      <c r="N10" s="23">
        <f>IFERROR(__xludf.DUMMYFUNCTION("""COMPUTED_VALUE"""),0.40865384615384615)</f>
        <v>0.4086538462</v>
      </c>
      <c r="O10" s="26">
        <f>IFERROR(__xludf.DUMMYFUNCTION("""COMPUTED_VALUE"""),3.865384615384615)</f>
        <v>3.865384615</v>
      </c>
      <c r="P10" s="19">
        <f>IFERROR(__xludf.DUMMYFUNCTION("""COMPUTED_VALUE"""),25.296428931168137)</f>
        <v>25.29642893</v>
      </c>
      <c r="Q10" s="20">
        <f>IFERROR(__xludf.DUMMYFUNCTION("""COMPUTED_VALUE"""),85.0)</f>
        <v>85</v>
      </c>
      <c r="R10" s="21">
        <f>IFERROR(__xludf.DUMMYFUNCTION("""COMPUTED_VALUE"""),59.70357106883186)</f>
        <v>59.70357107</v>
      </c>
      <c r="S10" s="27">
        <f>IFERROR(__xludf.DUMMYFUNCTION("""COMPUTED_VALUE"""),2.360158077303557)</f>
        <v>2.360158077</v>
      </c>
      <c r="T10" s="23">
        <f>IFERROR(__xludf.DUMMYFUNCTION("""COMPUTED_VALUE"""),0.23)</f>
        <v>0.23</v>
      </c>
      <c r="U10" s="23">
        <f>IFERROR(__xludf.DUMMYFUNCTION("""COMPUTED_VALUE"""),0.24705882352941178)</f>
        <v>0.2470588235</v>
      </c>
      <c r="V10" s="24">
        <f>IFERROR(__xludf.DUMMYFUNCTION("""COMPUTED_VALUE"""),1.7058823529411766)</f>
        <v>1.705882353</v>
      </c>
      <c r="W10" s="19">
        <f>IFERROR(__xludf.DUMMYFUNCTION("""COMPUTED_VALUE"""),5.818178654168672)</f>
        <v>5.818178654</v>
      </c>
      <c r="X10" s="20">
        <f>IFERROR(__xludf.DUMMYFUNCTION("""COMPUTED_VALUE"""),21.0)</f>
        <v>21</v>
      </c>
      <c r="Y10" s="21">
        <f>IFERROR(__xludf.DUMMYFUNCTION("""COMPUTED_VALUE"""),15.181821345831327)</f>
        <v>15.18182135</v>
      </c>
      <c r="Z10" s="28">
        <f>IFERROR(__xludf.DUMMYFUNCTION("""COMPUTED_VALUE"""),2.609376962832465)</f>
        <v>2.609376963</v>
      </c>
      <c r="AA10" s="19">
        <f>IFERROR(__xludf.DUMMYFUNCTION("""COMPUTED_VALUE"""),24000.0)</f>
        <v>24000</v>
      </c>
      <c r="AB10" s="20">
        <f>IFERROR(__xludf.DUMMYFUNCTION("""COMPUTED_VALUE"""),37515.95238095238)</f>
        <v>37515.95238</v>
      </c>
      <c r="AC10" s="21">
        <f>IFERROR(__xludf.DUMMYFUNCTION("""COMPUTED_VALUE"""),13515.952380952382)</f>
        <v>13515.95238</v>
      </c>
      <c r="AD10" s="28">
        <f>IFERROR(__xludf.DUMMYFUNCTION("""COMPUTED_VALUE"""),0.5631646825396825)</f>
        <v>0.5631646825</v>
      </c>
      <c r="AE10" s="19">
        <f>IFERROR(__xludf.DUMMYFUNCTION("""COMPUTED_VALUE"""),135534.47174885919)</f>
        <v>135534.4717</v>
      </c>
      <c r="AF10" s="20">
        <f>IFERROR(__xludf.DUMMYFUNCTION("""COMPUTED_VALUE"""),787835.0)</f>
        <v>787835</v>
      </c>
      <c r="AG10" s="21">
        <f>IFERROR(__xludf.DUMMYFUNCTION("""COMPUTED_VALUE"""),652300.5282511408)</f>
        <v>652300.5283</v>
      </c>
      <c r="AH10" s="29">
        <f>IFERROR(__xludf.DUMMYFUNCTION("""COMPUTED_VALUE"""),4.812801642521113)</f>
        <v>4.812801643</v>
      </c>
      <c r="AI10" s="30">
        <f>IFERROR(__xludf.DUMMYFUNCTION("""COMPUTED_VALUE"""),272795.82226204453)</f>
        <v>272795.8223</v>
      </c>
      <c r="AJ10" s="30">
        <f>IFERROR(__xludf.DUMMYFUNCTION("""COMPUTED_VALUE"""),363015.8)</f>
        <v>363015.8</v>
      </c>
      <c r="AK10" s="4">
        <f>IFERROR(__xludf.DUMMYFUNCTION("""COMPUTED_VALUE"""),5520.0)</f>
        <v>5520</v>
      </c>
      <c r="AL10" s="31">
        <f>IFERROR(__xludf.DUMMYFUNCTION("""COMPUTED_VALUE"""),9268.64705882353)</f>
        <v>9268.647059</v>
      </c>
      <c r="AM10" s="30">
        <f t="shared" si="1"/>
        <v>3748.647059</v>
      </c>
      <c r="AN10" s="32">
        <f t="shared" si="2"/>
        <v>0.679102728</v>
      </c>
      <c r="AO10" s="12">
        <f t="shared" si="3"/>
        <v>44380.8</v>
      </c>
      <c r="AP10" s="12">
        <f t="shared" si="4"/>
        <v>318635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IFERROR(__xludf.DUMMYFUNCTION("""COMPUTED_VALUE"""),"[IM] Link de Indicação")</f>
        <v>[IM] Link de Indicação</v>
      </c>
      <c r="B11" s="19">
        <f>IFERROR(__xludf.DUMMYFUNCTION("""COMPUTED_VALUE"""),98.41935483870961)</f>
        <v>98.41935484</v>
      </c>
      <c r="C11" s="20">
        <f>IFERROR(__xludf.DUMMYFUNCTION("""COMPUTED_VALUE"""),101.0)</f>
        <v>101</v>
      </c>
      <c r="D11" s="21">
        <f>IFERROR(__xludf.DUMMYFUNCTION("""COMPUTED_VALUE"""),2.5806451612903913)</f>
        <v>2.580645161</v>
      </c>
      <c r="E11" s="22">
        <f>IFERROR(__xludf.DUMMYFUNCTION("""COMPUTED_VALUE"""),0.026220911176664106)</f>
        <v>0.02622091118</v>
      </c>
      <c r="F11" s="23">
        <f>IFERROR(__xludf.DUMMYFUNCTION("""COMPUTED_VALUE"""),0.7720883770996892)</f>
        <v>0.7720883771</v>
      </c>
      <c r="G11" s="23">
        <f>IFERROR(__xludf.DUMMYFUNCTION("""COMPUTED_VALUE"""),0.8811881188118812)</f>
        <v>0.8811881188</v>
      </c>
      <c r="H11" s="24">
        <f>IFERROR(__xludf.DUMMYFUNCTION("""COMPUTED_VALUE"""),10.909974171219194)</f>
        <v>10.90997417</v>
      </c>
      <c r="I11" s="19">
        <f>IFERROR(__xludf.DUMMYFUNCTION("""COMPUTED_VALUE"""),75.98843995261775)</f>
        <v>75.98843995</v>
      </c>
      <c r="J11" s="20">
        <f>IFERROR(__xludf.DUMMYFUNCTION("""COMPUTED_VALUE"""),89.0)</f>
        <v>89</v>
      </c>
      <c r="K11" s="21">
        <f>IFERROR(__xludf.DUMMYFUNCTION("""COMPUTED_VALUE"""),13.011560047382247)</f>
        <v>13.01156005</v>
      </c>
      <c r="L11" s="22">
        <f>IFERROR(__xludf.DUMMYFUNCTION("""COMPUTED_VALUE"""),0.1712307826755694)</f>
        <v>0.1712307827</v>
      </c>
      <c r="M11" s="25">
        <f>IFERROR(__xludf.DUMMYFUNCTION("""COMPUTED_VALUE"""),0.285)</f>
        <v>0.285</v>
      </c>
      <c r="N11" s="23">
        <f>IFERROR(__xludf.DUMMYFUNCTION("""COMPUTED_VALUE"""),0.1797752808988764)</f>
        <v>0.1797752809</v>
      </c>
      <c r="O11" s="26">
        <f>IFERROR(__xludf.DUMMYFUNCTION("""COMPUTED_VALUE"""),-10.522471910112358)</f>
        <v>-10.52247191</v>
      </c>
      <c r="P11" s="19">
        <f>IFERROR(__xludf.DUMMYFUNCTION("""COMPUTED_VALUE"""),19.8920849475964)</f>
        <v>19.89208495</v>
      </c>
      <c r="Q11" s="20">
        <f>IFERROR(__xludf.DUMMYFUNCTION("""COMPUTED_VALUE"""),16.0)</f>
        <v>16</v>
      </c>
      <c r="R11" s="21">
        <f>IFERROR(__xludf.DUMMYFUNCTION("""COMPUTED_VALUE"""),-3.8920849475963983)</f>
        <v>-3.892084948</v>
      </c>
      <c r="S11" s="27">
        <f>IFERROR(__xludf.DUMMYFUNCTION("""COMPUTED_VALUE"""),-0.1956599802308147)</f>
        <v>-0.1956599802</v>
      </c>
      <c r="T11" s="23">
        <f>IFERROR(__xludf.DUMMYFUNCTION("""COMPUTED_VALUE"""),0.23)</f>
        <v>0.23</v>
      </c>
      <c r="U11" s="23">
        <f>IFERROR(__xludf.DUMMYFUNCTION("""COMPUTED_VALUE"""),0.25)</f>
        <v>0.25</v>
      </c>
      <c r="V11" s="24">
        <f>IFERROR(__xludf.DUMMYFUNCTION("""COMPUTED_VALUE"""),1.9999999999999991)</f>
        <v>2</v>
      </c>
      <c r="W11" s="19">
        <f>IFERROR(__xludf.DUMMYFUNCTION("""COMPUTED_VALUE"""),4.575179537947172)</f>
        <v>4.575179538</v>
      </c>
      <c r="X11" s="20">
        <f>IFERROR(__xludf.DUMMYFUNCTION("""COMPUTED_VALUE"""),4.0)</f>
        <v>4</v>
      </c>
      <c r="Y11" s="21">
        <f>IFERROR(__xludf.DUMMYFUNCTION("""COMPUTED_VALUE"""),-0.5751795379471716)</f>
        <v>-0.5751795379</v>
      </c>
      <c r="Z11" s="28">
        <f>IFERROR(__xludf.DUMMYFUNCTION("""COMPUTED_VALUE"""),-0.12571736981610296)</f>
        <v>-0.1257173698</v>
      </c>
      <c r="AA11" s="19">
        <f>IFERROR(__xludf.DUMMYFUNCTION("""COMPUTED_VALUE"""),24000.0)</f>
        <v>24000</v>
      </c>
      <c r="AB11" s="20">
        <f>IFERROR(__xludf.DUMMYFUNCTION("""COMPUTED_VALUE"""),21373.75)</f>
        <v>21373.75</v>
      </c>
      <c r="AC11" s="21">
        <f>IFERROR(__xludf.DUMMYFUNCTION("""COMPUTED_VALUE"""),-2626.25)</f>
        <v>-2626.25</v>
      </c>
      <c r="AD11" s="28">
        <f>IFERROR(__xludf.DUMMYFUNCTION("""COMPUTED_VALUE"""),-0.10942708333333333)</f>
        <v>-0.1094270833</v>
      </c>
      <c r="AE11" s="19">
        <f>IFERROR(__xludf.DUMMYFUNCTION("""COMPUTED_VALUE"""),106578.80733647935)</f>
        <v>106578.8073</v>
      </c>
      <c r="AF11" s="20">
        <f>IFERROR(__xludf.DUMMYFUNCTION("""COMPUTED_VALUE"""),85495.0)</f>
        <v>85495</v>
      </c>
      <c r="AG11" s="21">
        <f>IFERROR(__xludf.DUMMYFUNCTION("""COMPUTED_VALUE"""),-21083.807336479353)</f>
        <v>-21083.80734</v>
      </c>
      <c r="AH11" s="29">
        <f>IFERROR(__xludf.DUMMYFUNCTION("""COMPUTED_VALUE"""),-0.19782363739458805)</f>
        <v>-0.1978236374</v>
      </c>
      <c r="AI11" s="30">
        <f>IFERROR(__xludf.DUMMYFUNCTION("""COMPUTED_VALUE"""),20469.786266541752)</f>
        <v>20469.78627</v>
      </c>
      <c r="AJ11" s="30">
        <f>IFERROR(__xludf.DUMMYFUNCTION("""COMPUTED_VALUE"""),-54519.800000000025)</f>
        <v>-54519.8</v>
      </c>
      <c r="AK11" s="4">
        <f>IFERROR(__xludf.DUMMYFUNCTION("""COMPUTED_VALUE"""),5520.000000000001)</f>
        <v>5520</v>
      </c>
      <c r="AL11" s="31">
        <f>IFERROR(__xludf.DUMMYFUNCTION("""COMPUTED_VALUE"""),5343.4375)</f>
        <v>5343.4375</v>
      </c>
      <c r="AM11" s="30">
        <f t="shared" si="1"/>
        <v>-176.5625</v>
      </c>
      <c r="AN11" s="32">
        <f t="shared" si="2"/>
        <v>-0.03198596014</v>
      </c>
      <c r="AO11" s="12">
        <f t="shared" si="3"/>
        <v>-51694.8</v>
      </c>
      <c r="AP11" s="12">
        <f t="shared" si="4"/>
        <v>-2825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IFERROR(__xludf.DUMMYFUNCTION("""COMPUTED_VALUE"""),"[CM] Form G4 - Instagram")</f>
        <v>[CM] Form G4 - Instagram</v>
      </c>
      <c r="B12" s="19">
        <f>IFERROR(__xludf.DUMMYFUNCTION("""COMPUTED_VALUE"""),69.50322580645157)</f>
        <v>69.50322581</v>
      </c>
      <c r="C12" s="20">
        <f>IFERROR(__xludf.DUMMYFUNCTION("""COMPUTED_VALUE"""),75.0)</f>
        <v>75</v>
      </c>
      <c r="D12" s="21">
        <f>IFERROR(__xludf.DUMMYFUNCTION("""COMPUTED_VALUE"""),5.496774193548433)</f>
        <v>5.496774194</v>
      </c>
      <c r="E12" s="22">
        <f>IFERROR(__xludf.DUMMYFUNCTION("""COMPUTED_VALUE"""),0.07908660540239558)</f>
        <v>0.0790866054</v>
      </c>
      <c r="F12" s="23">
        <f>IFERROR(__xludf.DUMMYFUNCTION("""COMPUTED_VALUE"""),0.7)</f>
        <v>0.7</v>
      </c>
      <c r="G12" s="23">
        <f>IFERROR(__xludf.DUMMYFUNCTION("""COMPUTED_VALUE"""),0.7466666666666667)</f>
        <v>0.7466666667</v>
      </c>
      <c r="H12" s="24">
        <f>IFERROR(__xludf.DUMMYFUNCTION("""COMPUTED_VALUE"""),4.666666666666675)</f>
        <v>4.666666667</v>
      </c>
      <c r="I12" s="19">
        <f>IFERROR(__xludf.DUMMYFUNCTION("""COMPUTED_VALUE"""),48.65225806451609)</f>
        <v>48.65225806</v>
      </c>
      <c r="J12" s="20">
        <f>IFERROR(__xludf.DUMMYFUNCTION("""COMPUTED_VALUE"""),56.0)</f>
        <v>56</v>
      </c>
      <c r="K12" s="21">
        <f>IFERROR(__xludf.DUMMYFUNCTION("""COMPUTED_VALUE"""),7.34774193548391)</f>
        <v>7.347741935</v>
      </c>
      <c r="L12" s="22">
        <f>IFERROR(__xludf.DUMMYFUNCTION("""COMPUTED_VALUE"""),0.15102571242922214)</f>
        <v>0.1510257124</v>
      </c>
      <c r="M12" s="25">
        <f>IFERROR(__xludf.DUMMYFUNCTION("""COMPUTED_VALUE"""),0.28)</f>
        <v>0.28</v>
      </c>
      <c r="N12" s="23">
        <f>IFERROR(__xludf.DUMMYFUNCTION("""COMPUTED_VALUE"""),0.17857142857142858)</f>
        <v>0.1785714286</v>
      </c>
      <c r="O12" s="26">
        <f>IFERROR(__xludf.DUMMYFUNCTION("""COMPUTED_VALUE"""),-10.142857142857146)</f>
        <v>-10.14285714</v>
      </c>
      <c r="P12" s="19">
        <f>IFERROR(__xludf.DUMMYFUNCTION("""COMPUTED_VALUE"""),12.512640000000001)</f>
        <v>12.51264</v>
      </c>
      <c r="Q12" s="20">
        <f>IFERROR(__xludf.DUMMYFUNCTION("""COMPUTED_VALUE"""),10.0)</f>
        <v>10</v>
      </c>
      <c r="R12" s="21">
        <f>IFERROR(__xludf.DUMMYFUNCTION("""COMPUTED_VALUE"""),-2.512640000000001)</f>
        <v>-2.51264</v>
      </c>
      <c r="S12" s="27">
        <f>IFERROR(__xludf.DUMMYFUNCTION("""COMPUTED_VALUE"""),-0.20080814280599465)</f>
        <v>-0.2008081428</v>
      </c>
      <c r="T12" s="23">
        <f>IFERROR(__xludf.DUMMYFUNCTION("""COMPUTED_VALUE"""),0.21)</f>
        <v>0.21</v>
      </c>
      <c r="U12" s="23">
        <f>IFERROR(__xludf.DUMMYFUNCTION("""COMPUTED_VALUE"""),0.0)</f>
        <v>0</v>
      </c>
      <c r="V12" s="24">
        <f>IFERROR(__xludf.DUMMYFUNCTION("""COMPUTED_VALUE"""),-21.0)</f>
        <v>-21</v>
      </c>
      <c r="W12" s="19">
        <f>IFERROR(__xludf.DUMMYFUNCTION("""COMPUTED_VALUE"""),2.6276544000000004)</f>
        <v>2.6276544</v>
      </c>
      <c r="X12" s="20">
        <f>IFERROR(__xludf.DUMMYFUNCTION("""COMPUTED_VALUE"""),0.0)</f>
        <v>0</v>
      </c>
      <c r="Y12" s="21">
        <f>IFERROR(__xludf.DUMMYFUNCTION("""COMPUTED_VALUE"""),-2.6276544000000004)</f>
        <v>-2.6276544</v>
      </c>
      <c r="Z12" s="28">
        <f>IFERROR(__xludf.DUMMYFUNCTION("""COMPUTED_VALUE"""),-1.0)</f>
        <v>-1</v>
      </c>
      <c r="AA12" s="19">
        <f>IFERROR(__xludf.DUMMYFUNCTION("""COMPUTED_VALUE"""),40000.0)</f>
        <v>40000</v>
      </c>
      <c r="AB12" s="20">
        <f>IFERROR(__xludf.DUMMYFUNCTION("""COMPUTED_VALUE"""),0.0)</f>
        <v>0</v>
      </c>
      <c r="AC12" s="21">
        <f>IFERROR(__xludf.DUMMYFUNCTION("""COMPUTED_VALUE"""),-40000.0)</f>
        <v>-40000</v>
      </c>
      <c r="AD12" s="28">
        <f>IFERROR(__xludf.DUMMYFUNCTION("""COMPUTED_VALUE"""),-1.0)</f>
        <v>-1</v>
      </c>
      <c r="AE12" s="19">
        <f>IFERROR(__xludf.DUMMYFUNCTION("""COMPUTED_VALUE"""),102018.68208)</f>
        <v>102018.6821</v>
      </c>
      <c r="AF12" s="20">
        <f>IFERROR(__xludf.DUMMYFUNCTION("""COMPUTED_VALUE"""),0.0)</f>
        <v>0</v>
      </c>
      <c r="AG12" s="21">
        <f>IFERROR(__xludf.DUMMYFUNCTION("""COMPUTED_VALUE"""),-102018.68208)</f>
        <v>-102018.6821</v>
      </c>
      <c r="AH12" s="29">
        <f>IFERROR(__xludf.DUMMYFUNCTION("""COMPUTED_VALUE"""),-1.0)</f>
        <v>-1</v>
      </c>
      <c r="AI12" s="30">
        <f>IFERROR(__xludf.DUMMYFUNCTION("""COMPUTED_VALUE"""),17281.88903225816)</f>
        <v>17281.88903</v>
      </c>
      <c r="AJ12" s="30">
        <f>IFERROR(__xludf.DUMMYFUNCTION("""COMPUTED_VALUE"""),-131712.00000000003)</f>
        <v>-131712</v>
      </c>
      <c r="AK12" s="4">
        <f>IFERROR(__xludf.DUMMYFUNCTION("""COMPUTED_VALUE"""),8400.0)</f>
        <v>8400</v>
      </c>
      <c r="AL12" s="31">
        <f>IFERROR(__xludf.DUMMYFUNCTION("""COMPUTED_VALUE"""),0.0)</f>
        <v>0</v>
      </c>
      <c r="AM12" s="30">
        <f t="shared" si="1"/>
        <v>-8400</v>
      </c>
      <c r="AN12" s="32">
        <f t="shared" si="2"/>
        <v>-1</v>
      </c>
      <c r="AO12" s="12">
        <f t="shared" si="3"/>
        <v>-47712</v>
      </c>
      <c r="AP12" s="12">
        <f t="shared" si="4"/>
        <v>-84000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Facebook")</f>
        <v>Form G4 Facebook</v>
      </c>
      <c r="B13" s="19">
        <f>IFERROR(__xludf.DUMMYFUNCTION("""COMPUTED_VALUE"""),156.774193548387)</f>
        <v>156.7741935</v>
      </c>
      <c r="C13" s="20">
        <f>IFERROR(__xludf.DUMMYFUNCTION("""COMPUTED_VALUE"""),235.0)</f>
        <v>235</v>
      </c>
      <c r="D13" s="21">
        <f>IFERROR(__xludf.DUMMYFUNCTION("""COMPUTED_VALUE"""),78.22580645161301)</f>
        <v>78.22580645</v>
      </c>
      <c r="E13" s="22">
        <f>IFERROR(__xludf.DUMMYFUNCTION("""COMPUTED_VALUE"""),0.4989711934156389)</f>
        <v>0.4989711934</v>
      </c>
      <c r="F13" s="23">
        <f>IFERROR(__xludf.DUMMYFUNCTION("""COMPUTED_VALUE"""),0.7488125590778879)</f>
        <v>0.7488125591</v>
      </c>
      <c r="G13" s="23">
        <f>IFERROR(__xludf.DUMMYFUNCTION("""COMPUTED_VALUE"""),0.7148936170212766)</f>
        <v>0.714893617</v>
      </c>
      <c r="H13" s="24">
        <f>IFERROR(__xludf.DUMMYFUNCTION("""COMPUTED_VALUE"""),-3.391894205661128)</f>
        <v>-3.391894206</v>
      </c>
      <c r="I13" s="19">
        <f>IFERROR(__xludf.DUMMYFUNCTION("""COMPUTED_VALUE"""),117.39448506833976)</f>
        <v>117.3944851</v>
      </c>
      <c r="J13" s="20">
        <f>IFERROR(__xludf.DUMMYFUNCTION("""COMPUTED_VALUE"""),168.0)</f>
        <v>168</v>
      </c>
      <c r="K13" s="21">
        <f>IFERROR(__xludf.DUMMYFUNCTION("""COMPUTED_VALUE"""),50.60551493166024)</f>
        <v>50.60551493</v>
      </c>
      <c r="L13" s="22">
        <f>IFERROR(__xludf.DUMMYFUNCTION("""COMPUTED_VALUE"""),0.43107233616809904)</f>
        <v>0.4310723362</v>
      </c>
      <c r="M13" s="25">
        <f>IFERROR(__xludf.DUMMYFUNCTION("""COMPUTED_VALUE"""),0.27)</f>
        <v>0.27</v>
      </c>
      <c r="N13" s="23">
        <f>IFERROR(__xludf.DUMMYFUNCTION("""COMPUTED_VALUE"""),0.22023809523809523)</f>
        <v>0.2202380952</v>
      </c>
      <c r="O13" s="26">
        <f>IFERROR(__xludf.DUMMYFUNCTION("""COMPUTED_VALUE"""),-4.976190476190478)</f>
        <v>-4.976190476</v>
      </c>
      <c r="P13" s="19">
        <f>IFERROR(__xludf.DUMMYFUNCTION("""COMPUTED_VALUE"""),29.11383229694829)</f>
        <v>29.1138323</v>
      </c>
      <c r="Q13" s="20">
        <f>IFERROR(__xludf.DUMMYFUNCTION("""COMPUTED_VALUE"""),37.0)</f>
        <v>37</v>
      </c>
      <c r="R13" s="21">
        <f>IFERROR(__xludf.DUMMYFUNCTION("""COMPUTED_VALUE"""),7.886167703051711)</f>
        <v>7.886167703</v>
      </c>
      <c r="S13" s="27">
        <f>IFERROR(__xludf.DUMMYFUNCTION("""COMPUTED_VALUE"""),0.270873570425778)</f>
        <v>0.2708735704</v>
      </c>
      <c r="T13" s="23">
        <f>IFERROR(__xludf.DUMMYFUNCTION("""COMPUTED_VALUE"""),0.14)</f>
        <v>0.14</v>
      </c>
      <c r="U13" s="23">
        <f>IFERROR(__xludf.DUMMYFUNCTION("""COMPUTED_VALUE"""),0.10810810810810811)</f>
        <v>0.1081081081</v>
      </c>
      <c r="V13" s="24">
        <f>IFERROR(__xludf.DUMMYFUNCTION("""COMPUTED_VALUE"""),-3.18918918918919)</f>
        <v>-3.189189189</v>
      </c>
      <c r="W13" s="19">
        <f>IFERROR(__xludf.DUMMYFUNCTION("""COMPUTED_VALUE"""),4.0759365215727605)</f>
        <v>4.075936522</v>
      </c>
      <c r="X13" s="20">
        <f>IFERROR(__xludf.DUMMYFUNCTION("""COMPUTED_VALUE"""),4.0)</f>
        <v>4</v>
      </c>
      <c r="Y13" s="21">
        <f>IFERROR(__xludf.DUMMYFUNCTION("""COMPUTED_VALUE"""),-0.07593652157276054)</f>
        <v>-0.07593652157</v>
      </c>
      <c r="Z13" s="28">
        <f>IFERROR(__xludf.DUMMYFUNCTION("""COMPUTED_VALUE"""),-0.018630447547661834)</f>
        <v>-0.01863044755</v>
      </c>
      <c r="AA13" s="19">
        <f>IFERROR(__xludf.DUMMYFUNCTION("""COMPUTED_VALUE"""),23000.0)</f>
        <v>23000</v>
      </c>
      <c r="AB13" s="20">
        <f>IFERROR(__xludf.DUMMYFUNCTION("""COMPUTED_VALUE"""),22084.0)</f>
        <v>22084</v>
      </c>
      <c r="AC13" s="21">
        <f>IFERROR(__xludf.DUMMYFUNCTION("""COMPUTED_VALUE"""),-916.0)</f>
        <v>-916</v>
      </c>
      <c r="AD13" s="28">
        <f>IFERROR(__xludf.DUMMYFUNCTION("""COMPUTED_VALUE"""),-0.03982608695652174)</f>
        <v>-0.03982608696</v>
      </c>
      <c r="AE13" s="19">
        <f>IFERROR(__xludf.DUMMYFUNCTION("""COMPUTED_VALUE"""),90992.73538378588)</f>
        <v>90992.73538</v>
      </c>
      <c r="AF13" s="20">
        <f>IFERROR(__xludf.DUMMYFUNCTION("""COMPUTED_VALUE"""),88336.0)</f>
        <v>88336</v>
      </c>
      <c r="AG13" s="21">
        <f>IFERROR(__xludf.DUMMYFUNCTION("""COMPUTED_VALUE"""),-2656.7353837858827)</f>
        <v>-2656.735384</v>
      </c>
      <c r="AH13" s="29">
        <f>IFERROR(__xludf.DUMMYFUNCTION("""COMPUTED_VALUE"""),-0.029197225169464353)</f>
        <v>-0.02919722517</v>
      </c>
      <c r="AI13" s="30">
        <f>IFERROR(__xludf.DUMMYFUNCTION("""COMPUTED_VALUE"""),43996.43468158542)</f>
        <v>43996.43468</v>
      </c>
      <c r="AJ13" s="30">
        <f>IFERROR(__xludf.DUMMYFUNCTION("""COMPUTED_VALUE"""),-57723.200000000026)</f>
        <v>-57723.2</v>
      </c>
      <c r="AK13" s="4">
        <f>IFERROR(__xludf.DUMMYFUNCTION("""COMPUTED_VALUE"""),3220.0)</f>
        <v>3220</v>
      </c>
      <c r="AL13" s="31">
        <f>IFERROR(__xludf.DUMMYFUNCTION("""COMPUTED_VALUE"""),2387.4594594594596)</f>
        <v>2387.459459</v>
      </c>
      <c r="AM13" s="30">
        <f t="shared" si="1"/>
        <v>-832.5405405</v>
      </c>
      <c r="AN13" s="32">
        <f t="shared" si="2"/>
        <v>-0.2585529629</v>
      </c>
      <c r="AO13" s="12">
        <f t="shared" si="3"/>
        <v>-26919.2</v>
      </c>
      <c r="AP13" s="12">
        <f t="shared" si="4"/>
        <v>-30804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IFERROR(__xludf.DUMMYFUNCTION("""COMPUTED_VALUE"""),"[CM] Form G4 - Outros")</f>
        <v>[CM] Form G4 - Outros</v>
      </c>
      <c r="B14" s="19">
        <f>IFERROR(__xludf.DUMMYFUNCTION("""COMPUTED_VALUE"""),46.335483870967714)</f>
        <v>46.33548387</v>
      </c>
      <c r="C14" s="20">
        <f>IFERROR(__xludf.DUMMYFUNCTION("""COMPUTED_VALUE"""),58.0)</f>
        <v>58</v>
      </c>
      <c r="D14" s="21">
        <f>IFERROR(__xludf.DUMMYFUNCTION("""COMPUTED_VALUE"""),11.664516129032286)</f>
        <v>11.66451613</v>
      </c>
      <c r="E14" s="22">
        <f>IFERROR(__xludf.DUMMYFUNCTION("""COMPUTED_VALUE"""),0.2517404622667788)</f>
        <v>0.2517404623</v>
      </c>
      <c r="F14" s="23">
        <f>IFERROR(__xludf.DUMMYFUNCTION("""COMPUTED_VALUE"""),0.7)</f>
        <v>0.7</v>
      </c>
      <c r="G14" s="23">
        <f>IFERROR(__xludf.DUMMYFUNCTION("""COMPUTED_VALUE"""),0.5517241379310345)</f>
        <v>0.5517241379</v>
      </c>
      <c r="H14" s="24">
        <f>IFERROR(__xludf.DUMMYFUNCTION("""COMPUTED_VALUE"""),-14.827586206896548)</f>
        <v>-14.82758621</v>
      </c>
      <c r="I14" s="19">
        <f>IFERROR(__xludf.DUMMYFUNCTION("""COMPUTED_VALUE"""),32.4348387096774)</f>
        <v>32.43483871</v>
      </c>
      <c r="J14" s="20">
        <f>IFERROR(__xludf.DUMMYFUNCTION("""COMPUTED_VALUE"""),32.0)</f>
        <v>32</v>
      </c>
      <c r="K14" s="21">
        <f>IFERROR(__xludf.DUMMYFUNCTION("""COMPUTED_VALUE"""),-0.43483870967740046)</f>
        <v>-0.4348387097</v>
      </c>
      <c r="L14" s="22">
        <f>IFERROR(__xludf.DUMMYFUNCTION("""COMPUTED_VALUE"""),-0.01340653220352411)</f>
        <v>-0.0134065322</v>
      </c>
      <c r="M14" s="25">
        <f>IFERROR(__xludf.DUMMYFUNCTION("""COMPUTED_VALUE"""),0.28)</f>
        <v>0.28</v>
      </c>
      <c r="N14" s="23">
        <f>IFERROR(__xludf.DUMMYFUNCTION("""COMPUTED_VALUE"""),0.375)</f>
        <v>0.375</v>
      </c>
      <c r="O14" s="26">
        <f>IFERROR(__xludf.DUMMYFUNCTION("""COMPUTED_VALUE"""),9.499999999999996)</f>
        <v>9.5</v>
      </c>
      <c r="P14" s="19">
        <f>IFERROR(__xludf.DUMMYFUNCTION("""COMPUTED_VALUE"""),8.341760000000003)</f>
        <v>8.34176</v>
      </c>
      <c r="Q14" s="20">
        <f>IFERROR(__xludf.DUMMYFUNCTION("""COMPUTED_VALUE"""),12.0)</f>
        <v>12</v>
      </c>
      <c r="R14" s="21">
        <f>IFERROR(__xludf.DUMMYFUNCTION("""COMPUTED_VALUE"""),3.6582399999999975)</f>
        <v>3.65824</v>
      </c>
      <c r="S14" s="27">
        <f>IFERROR(__xludf.DUMMYFUNCTION("""COMPUTED_VALUE"""),0.4385453429492093)</f>
        <v>0.4385453429</v>
      </c>
      <c r="T14" s="23">
        <f>IFERROR(__xludf.DUMMYFUNCTION("""COMPUTED_VALUE"""),0.21)</f>
        <v>0.21</v>
      </c>
      <c r="U14" s="23">
        <f>IFERROR(__xludf.DUMMYFUNCTION("""COMPUTED_VALUE"""),0.25)</f>
        <v>0.25</v>
      </c>
      <c r="V14" s="24">
        <f>IFERROR(__xludf.DUMMYFUNCTION("""COMPUTED_VALUE"""),4.000000000000001)</f>
        <v>4</v>
      </c>
      <c r="W14" s="19">
        <f>IFERROR(__xludf.DUMMYFUNCTION("""COMPUTED_VALUE"""),1.7517696000000005)</f>
        <v>1.7517696</v>
      </c>
      <c r="X14" s="20">
        <f>IFERROR(__xludf.DUMMYFUNCTION("""COMPUTED_VALUE"""),3.0)</f>
        <v>3</v>
      </c>
      <c r="Y14" s="21">
        <f>IFERROR(__xludf.DUMMYFUNCTION("""COMPUTED_VALUE"""),1.2482303999999995)</f>
        <v>1.2482304</v>
      </c>
      <c r="Z14" s="28">
        <f>IFERROR(__xludf.DUMMYFUNCTION("""COMPUTED_VALUE"""),0.7125539797014397)</f>
        <v>0.7125539797</v>
      </c>
      <c r="AA14" s="19">
        <f>IFERROR(__xludf.DUMMYFUNCTION("""COMPUTED_VALUE"""),40000.0)</f>
        <v>40000</v>
      </c>
      <c r="AB14" s="20">
        <f>IFERROR(__xludf.DUMMYFUNCTION("""COMPUTED_VALUE"""),46266.666666666664)</f>
        <v>46266.66667</v>
      </c>
      <c r="AC14" s="21">
        <f>IFERROR(__xludf.DUMMYFUNCTION("""COMPUTED_VALUE"""),6266.666666666664)</f>
        <v>6266.666667</v>
      </c>
      <c r="AD14" s="28">
        <f>IFERROR(__xludf.DUMMYFUNCTION("""COMPUTED_VALUE"""),0.1566666666666666)</f>
        <v>0.1566666667</v>
      </c>
      <c r="AE14" s="19">
        <f>IFERROR(__xludf.DUMMYFUNCTION("""COMPUTED_VALUE"""),68012.45472000001)</f>
        <v>68012.45472</v>
      </c>
      <c r="AF14" s="20">
        <f>IFERROR(__xludf.DUMMYFUNCTION("""COMPUTED_VALUE"""),138800.0)</f>
        <v>138800</v>
      </c>
      <c r="AG14" s="21">
        <f>IFERROR(__xludf.DUMMYFUNCTION("""COMPUTED_VALUE"""),70787.54527999999)</f>
        <v>70787.54528</v>
      </c>
      <c r="AH14" s="29">
        <f>IFERROR(__xludf.DUMMYFUNCTION("""COMPUTED_VALUE"""),1.040802681970894)</f>
        <v>1.040802682</v>
      </c>
      <c r="AI14" s="30">
        <f>IFERROR(__xludf.DUMMYFUNCTION("""COMPUTED_VALUE"""),-1022.7406451612459)</f>
        <v>-1022.740645</v>
      </c>
      <c r="AJ14" s="30">
        <f>IFERROR(__xludf.DUMMYFUNCTION("""COMPUTED_VALUE"""),63536.0)</f>
        <v>63536</v>
      </c>
      <c r="AK14" s="4">
        <f>IFERROR(__xludf.DUMMYFUNCTION("""COMPUTED_VALUE"""),8400.0)</f>
        <v>8400</v>
      </c>
      <c r="AL14" s="31">
        <f>IFERROR(__xludf.DUMMYFUNCTION("""COMPUTED_VALUE"""),11566.666666666666)</f>
        <v>11566.66667</v>
      </c>
      <c r="AM14" s="30">
        <f t="shared" si="1"/>
        <v>3166.666667</v>
      </c>
      <c r="AN14" s="32">
        <f t="shared" si="2"/>
        <v>0.376984127</v>
      </c>
      <c r="AO14" s="12">
        <f t="shared" si="3"/>
        <v>25536</v>
      </c>
      <c r="AP14" s="12">
        <f t="shared" si="4"/>
        <v>38000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IFERROR(__xludf.DUMMYFUNCTION("""COMPUTED_VALUE"""),"Aplicativo G4 - Indicação")</f>
        <v>Aplicativo G4 - Indicação</v>
      </c>
      <c r="B15" s="19">
        <f>IFERROR(__xludf.DUMMYFUNCTION("""COMPUTED_VALUE"""),141.0967741935483)</f>
        <v>141.0967742</v>
      </c>
      <c r="C15" s="20">
        <f>IFERROR(__xludf.DUMMYFUNCTION("""COMPUTED_VALUE"""),327.0)</f>
        <v>327</v>
      </c>
      <c r="D15" s="21">
        <f>IFERROR(__xludf.DUMMYFUNCTION("""COMPUTED_VALUE"""),185.9032258064517)</f>
        <v>185.9032258</v>
      </c>
      <c r="E15" s="22">
        <f>IFERROR(__xludf.DUMMYFUNCTION("""COMPUTED_VALUE"""),1.317558299039782)</f>
        <v>1.317558299</v>
      </c>
      <c r="F15" s="23">
        <f>IFERROR(__xludf.DUMMYFUNCTION("""COMPUTED_VALUE"""),0.6697217630478434)</f>
        <v>0.669721763</v>
      </c>
      <c r="G15" s="23">
        <f>IFERROR(__xludf.DUMMYFUNCTION("""COMPUTED_VALUE"""),0.9388379204892966)</f>
        <v>0.9388379205</v>
      </c>
      <c r="H15" s="24">
        <f>IFERROR(__xludf.DUMMYFUNCTION("""COMPUTED_VALUE"""),26.911615744145323)</f>
        <v>26.91161574</v>
      </c>
      <c r="I15" s="19">
        <f>IFERROR(__xludf.DUMMYFUNCTION("""COMPUTED_VALUE"""),94.4955803732666)</f>
        <v>94.49558037</v>
      </c>
      <c r="J15" s="20">
        <f>IFERROR(__xludf.DUMMYFUNCTION("""COMPUTED_VALUE"""),307.0)</f>
        <v>307</v>
      </c>
      <c r="K15" s="21">
        <f>IFERROR(__xludf.DUMMYFUNCTION("""COMPUTED_VALUE"""),212.5044196267334)</f>
        <v>212.5044196</v>
      </c>
      <c r="L15" s="22">
        <f>IFERROR(__xludf.DUMMYFUNCTION("""COMPUTED_VALUE"""),2.248829191665055)</f>
        <v>2.248829192</v>
      </c>
      <c r="M15" s="25">
        <f>IFERROR(__xludf.DUMMYFUNCTION("""COMPUTED_VALUE"""),0.21)</f>
        <v>0.21</v>
      </c>
      <c r="N15" s="23">
        <f>IFERROR(__xludf.DUMMYFUNCTION("""COMPUTED_VALUE"""),0.05537459283387622)</f>
        <v>0.05537459283</v>
      </c>
      <c r="O15" s="26">
        <f>IFERROR(__xludf.DUMMYFUNCTION("""COMPUTED_VALUE"""),-15.462540716612377)</f>
        <v>-15.46254072</v>
      </c>
      <c r="P15" s="19">
        <f>IFERROR(__xludf.DUMMYFUNCTION("""COMPUTED_VALUE"""),18.227147503110107)</f>
        <v>18.2271475</v>
      </c>
      <c r="Q15" s="20">
        <f>IFERROR(__xludf.DUMMYFUNCTION("""COMPUTED_VALUE"""),17.0)</f>
        <v>17</v>
      </c>
      <c r="R15" s="21">
        <f>IFERROR(__xludf.DUMMYFUNCTION("""COMPUTED_VALUE"""),-1.227147503110107)</f>
        <v>-1.227147503</v>
      </c>
      <c r="S15" s="27">
        <f>IFERROR(__xludf.DUMMYFUNCTION("""COMPUTED_VALUE"""),-0.06732526320427912)</f>
        <v>-0.0673252632</v>
      </c>
      <c r="T15" s="23">
        <f>IFERROR(__xludf.DUMMYFUNCTION("""COMPUTED_VALUE"""),0.13)</f>
        <v>0.13</v>
      </c>
      <c r="U15" s="23">
        <f>IFERROR(__xludf.DUMMYFUNCTION("""COMPUTED_VALUE"""),0.058823529411764705)</f>
        <v>0.05882352941</v>
      </c>
      <c r="V15" s="24">
        <f>IFERROR(__xludf.DUMMYFUNCTION("""COMPUTED_VALUE"""),-7.11764705882353)</f>
        <v>-7.117647059</v>
      </c>
      <c r="W15" s="19">
        <f>IFERROR(__xludf.DUMMYFUNCTION("""COMPUTED_VALUE"""),2.369529175404314)</f>
        <v>2.369529175</v>
      </c>
      <c r="X15" s="20">
        <f>IFERROR(__xludf.DUMMYFUNCTION("""COMPUTED_VALUE"""),1.0)</f>
        <v>1</v>
      </c>
      <c r="Y15" s="21">
        <f>IFERROR(__xludf.DUMMYFUNCTION("""COMPUTED_VALUE"""),-1.3695291754043142)</f>
        <v>-1.369529175</v>
      </c>
      <c r="Z15" s="28">
        <f>IFERROR(__xludf.DUMMYFUNCTION("""COMPUTED_VALUE"""),-0.5779752322191308)</f>
        <v>-0.5779752322</v>
      </c>
      <c r="AA15" s="19">
        <f>IFERROR(__xludf.DUMMYFUNCTION("""COMPUTED_VALUE"""),29000.0)</f>
        <v>29000</v>
      </c>
      <c r="AB15" s="20">
        <f>IFERROR(__xludf.DUMMYFUNCTION("""COMPUTED_VALUE"""),11223.0)</f>
        <v>11223</v>
      </c>
      <c r="AC15" s="21">
        <f>IFERROR(__xludf.DUMMYFUNCTION("""COMPUTED_VALUE"""),-17777.0)</f>
        <v>-17777</v>
      </c>
      <c r="AD15" s="28">
        <f>IFERROR(__xludf.DUMMYFUNCTION("""COMPUTED_VALUE"""),-0.613)</f>
        <v>-0.613</v>
      </c>
      <c r="AE15" s="19">
        <f>IFERROR(__xludf.DUMMYFUNCTION("""COMPUTED_VALUE"""),66697.80342042755)</f>
        <v>66697.80342</v>
      </c>
      <c r="AF15" s="20">
        <f>IFERROR(__xludf.DUMMYFUNCTION("""COMPUTED_VALUE"""),11223.0)</f>
        <v>11223</v>
      </c>
      <c r="AG15" s="21">
        <f>IFERROR(__xludf.DUMMYFUNCTION("""COMPUTED_VALUE"""),-55474.80342042755)</f>
        <v>-55474.80342</v>
      </c>
      <c r="AH15" s="29">
        <f>IFERROR(__xludf.DUMMYFUNCTION("""COMPUTED_VALUE"""),-0.8317335890470611)</f>
        <v>-0.831733589</v>
      </c>
      <c r="AI15" s="30">
        <f>IFERROR(__xludf.DUMMYFUNCTION("""COMPUTED_VALUE"""),168239.7490184848)</f>
        <v>168239.749</v>
      </c>
      <c r="AJ15" s="30">
        <f>IFERROR(__xludf.DUMMYFUNCTION("""COMPUTED_VALUE"""),-231828.89999999997)</f>
        <v>-231828.9</v>
      </c>
      <c r="AK15" s="4">
        <f>IFERROR(__xludf.DUMMYFUNCTION("""COMPUTED_VALUE"""),3770.0)</f>
        <v>3770</v>
      </c>
      <c r="AL15" s="31">
        <f>IFERROR(__xludf.DUMMYFUNCTION("""COMPUTED_VALUE"""),660.1764705882352)</f>
        <v>660.1764706</v>
      </c>
      <c r="AM15" s="30">
        <f t="shared" si="1"/>
        <v>-3109.823529</v>
      </c>
      <c r="AN15" s="32">
        <f t="shared" si="2"/>
        <v>-0.8248868778</v>
      </c>
      <c r="AO15" s="12">
        <f t="shared" si="3"/>
        <v>-178961.9</v>
      </c>
      <c r="AP15" s="12">
        <f t="shared" si="4"/>
        <v>-52867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 t="str">
        <f>IFERROR(__xludf.DUMMYFUNCTION("""COMPUTED_VALUE"""),"[SKL] CRM - WhatsApp")</f>
        <v>[SKL] CRM - WhatsApp</v>
      </c>
      <c r="B16" s="19"/>
      <c r="C16" s="20">
        <f>IFERROR(__xludf.DUMMYFUNCTION("""COMPUTED_VALUE"""),0.0)</f>
        <v>0</v>
      </c>
      <c r="D16" s="21">
        <f>IFERROR(__xludf.DUMMYFUNCTION("""COMPUTED_VALUE"""),0.0)</f>
        <v>0</v>
      </c>
      <c r="E16" s="22" t="str">
        <f>IFERROR(__xludf.DUMMYFUNCTION("""COMPUTED_VALUE"""),"")</f>
        <v/>
      </c>
      <c r="F16" s="23"/>
      <c r="G16" s="23" t="str">
        <f>IFERROR(__xludf.DUMMYFUNCTION("""COMPUTED_VALUE"""),"")</f>
        <v/>
      </c>
      <c r="H16" s="24" t="str">
        <f>IFERROR(__xludf.DUMMYFUNCTION("""COMPUTED_VALUE"""),"")</f>
        <v/>
      </c>
      <c r="I16" s="19"/>
      <c r="J16" s="20">
        <f>IFERROR(__xludf.DUMMYFUNCTION("""COMPUTED_VALUE"""),0.0)</f>
        <v>0</v>
      </c>
      <c r="K16" s="21">
        <f>IFERROR(__xludf.DUMMYFUNCTION("""COMPUTED_VALUE"""),0.0)</f>
        <v>0</v>
      </c>
      <c r="L16" s="22" t="str">
        <f>IFERROR(__xludf.DUMMYFUNCTION("""COMPUTED_VALUE"""),"")</f>
        <v/>
      </c>
      <c r="M16" s="25"/>
      <c r="N16" s="23" t="str">
        <f>IFERROR(__xludf.DUMMYFUNCTION("""COMPUTED_VALUE"""),"")</f>
        <v/>
      </c>
      <c r="O16" s="26" t="str">
        <f>IFERROR(__xludf.DUMMYFUNCTION("""COMPUTED_VALUE"""),"")</f>
        <v/>
      </c>
      <c r="P16" s="19"/>
      <c r="Q16" s="20">
        <f>IFERROR(__xludf.DUMMYFUNCTION("""COMPUTED_VALUE"""),1.0)</f>
        <v>1</v>
      </c>
      <c r="R16" s="21">
        <f>IFERROR(__xludf.DUMMYFUNCTION("""COMPUTED_VALUE"""),1.0)</f>
        <v>1</v>
      </c>
      <c r="S16" s="27" t="str">
        <f>IFERROR(__xludf.DUMMYFUNCTION("""COMPUTED_VALUE"""),"")</f>
        <v/>
      </c>
      <c r="T16" s="23"/>
      <c r="U16" s="23">
        <f>IFERROR(__xludf.DUMMYFUNCTION("""COMPUTED_VALUE"""),1.0)</f>
        <v>1</v>
      </c>
      <c r="V16" s="24" t="str">
        <f>IFERROR(__xludf.DUMMYFUNCTION("""COMPUTED_VALUE"""),"")</f>
        <v/>
      </c>
      <c r="W16" s="19"/>
      <c r="X16" s="20">
        <f>IFERROR(__xludf.DUMMYFUNCTION("""COMPUTED_VALUE"""),1.0)</f>
        <v>1</v>
      </c>
      <c r="Y16" s="21">
        <f>IFERROR(__xludf.DUMMYFUNCTION("""COMPUTED_VALUE"""),1.0)</f>
        <v>1</v>
      </c>
      <c r="Z16" s="28" t="str">
        <f>IFERROR(__xludf.DUMMYFUNCTION("""COMPUTED_VALUE"""),"")</f>
        <v/>
      </c>
      <c r="AA16" s="19"/>
      <c r="AB16" s="20">
        <f>IFERROR(__xludf.DUMMYFUNCTION("""COMPUTED_VALUE"""),14900.0)</f>
        <v>14900</v>
      </c>
      <c r="AC16" s="21">
        <f>IFERROR(__xludf.DUMMYFUNCTION("""COMPUTED_VALUE"""),14900.0)</f>
        <v>14900</v>
      </c>
      <c r="AD16" s="28" t="str">
        <f>IFERROR(__xludf.DUMMYFUNCTION("""COMPUTED_VALUE"""),"")</f>
        <v/>
      </c>
      <c r="AE16" s="19"/>
      <c r="AF16" s="20">
        <f>IFERROR(__xludf.DUMMYFUNCTION("""COMPUTED_VALUE"""),14900.0)</f>
        <v>14900</v>
      </c>
      <c r="AG16" s="21">
        <f>IFERROR(__xludf.DUMMYFUNCTION("""COMPUTED_VALUE"""),14900.0)</f>
        <v>14900</v>
      </c>
      <c r="AH16" s="29" t="str">
        <f>IFERROR(__xludf.DUMMYFUNCTION("""COMPUTED_VALUE"""),"")</f>
        <v/>
      </c>
      <c r="AI16" s="30">
        <f>IFERROR(__xludf.DUMMYFUNCTION("""COMPUTED_VALUE"""),0.0)</f>
        <v>0</v>
      </c>
      <c r="AJ16" s="30">
        <f>IFERROR(__xludf.DUMMYFUNCTION("""COMPUTED_VALUE"""),0.0)</f>
        <v>0</v>
      </c>
      <c r="AK16" s="4"/>
      <c r="AL16" s="31">
        <f>IFERROR(__xludf.DUMMYFUNCTION("""COMPUTED_VALUE"""),14900.0)</f>
        <v>14900</v>
      </c>
      <c r="AM16" s="30">
        <f t="shared" si="1"/>
        <v>14900</v>
      </c>
      <c r="AN16" s="32" t="str">
        <f t="shared" si="2"/>
        <v>#DIV/0!</v>
      </c>
      <c r="AO16" s="12">
        <f t="shared" si="3"/>
        <v>0</v>
      </c>
      <c r="AP16" s="12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 t="str">
        <f>IFERROR(__xludf.DUMMYFUNCTION("""COMPUTED_VALUE"""),"Form G4 - K Instagram")</f>
        <v>Form G4 - K Instagram</v>
      </c>
      <c r="B17" s="19"/>
      <c r="C17" s="20">
        <f>IFERROR(__xludf.DUMMYFUNCTION("""COMPUTED_VALUE"""),0.0)</f>
        <v>0</v>
      </c>
      <c r="D17" s="21">
        <f>IFERROR(__xludf.DUMMYFUNCTION("""COMPUTED_VALUE"""),0.0)</f>
        <v>0</v>
      </c>
      <c r="E17" s="22" t="str">
        <f>IFERROR(__xludf.DUMMYFUNCTION("""COMPUTED_VALUE"""),"")</f>
        <v/>
      </c>
      <c r="F17" s="23"/>
      <c r="G17" s="23" t="str">
        <f>IFERROR(__xludf.DUMMYFUNCTION("""COMPUTED_VALUE"""),"")</f>
        <v/>
      </c>
      <c r="H17" s="24" t="str">
        <f>IFERROR(__xludf.DUMMYFUNCTION("""COMPUTED_VALUE"""),"")</f>
        <v/>
      </c>
      <c r="I17" s="19"/>
      <c r="J17" s="20">
        <f>IFERROR(__xludf.DUMMYFUNCTION("""COMPUTED_VALUE"""),0.0)</f>
        <v>0</v>
      </c>
      <c r="K17" s="21">
        <f>IFERROR(__xludf.DUMMYFUNCTION("""COMPUTED_VALUE"""),0.0)</f>
        <v>0</v>
      </c>
      <c r="L17" s="22" t="str">
        <f>IFERROR(__xludf.DUMMYFUNCTION("""COMPUTED_VALUE"""),"")</f>
        <v/>
      </c>
      <c r="M17" s="25"/>
      <c r="N17" s="23" t="str">
        <f>IFERROR(__xludf.DUMMYFUNCTION("""COMPUTED_VALUE"""),"")</f>
        <v/>
      </c>
      <c r="O17" s="26" t="str">
        <f>IFERROR(__xludf.DUMMYFUNCTION("""COMPUTED_VALUE"""),"")</f>
        <v/>
      </c>
      <c r="P17" s="19"/>
      <c r="Q17" s="20">
        <f>IFERROR(__xludf.DUMMYFUNCTION("""COMPUTED_VALUE"""),0.0)</f>
        <v>0</v>
      </c>
      <c r="R17" s="21">
        <f>IFERROR(__xludf.DUMMYFUNCTION("""COMPUTED_VALUE"""),0.0)</f>
        <v>0</v>
      </c>
      <c r="S17" s="27" t="str">
        <f>IFERROR(__xludf.DUMMYFUNCTION("""COMPUTED_VALUE"""),"")</f>
        <v/>
      </c>
      <c r="T17" s="23"/>
      <c r="U17" s="23" t="str">
        <f>IFERROR(__xludf.DUMMYFUNCTION("""COMPUTED_VALUE"""),"")</f>
        <v/>
      </c>
      <c r="V17" s="24" t="str">
        <f>IFERROR(__xludf.DUMMYFUNCTION("""COMPUTED_VALUE"""),"")</f>
        <v/>
      </c>
      <c r="W17" s="19"/>
      <c r="X17" s="20">
        <f>IFERROR(__xludf.DUMMYFUNCTION("""COMPUTED_VALUE"""),1.0)</f>
        <v>1</v>
      </c>
      <c r="Y17" s="21">
        <f>IFERROR(__xludf.DUMMYFUNCTION("""COMPUTED_VALUE"""),1.0)</f>
        <v>1</v>
      </c>
      <c r="Z17" s="28" t="str">
        <f>IFERROR(__xludf.DUMMYFUNCTION("""COMPUTED_VALUE"""),"")</f>
        <v/>
      </c>
      <c r="AA17" s="19"/>
      <c r="AB17" s="20">
        <f>IFERROR(__xludf.DUMMYFUNCTION("""COMPUTED_VALUE"""),14900.0)</f>
        <v>14900</v>
      </c>
      <c r="AC17" s="21">
        <f>IFERROR(__xludf.DUMMYFUNCTION("""COMPUTED_VALUE"""),14900.0)</f>
        <v>14900</v>
      </c>
      <c r="AD17" s="28" t="str">
        <f>IFERROR(__xludf.DUMMYFUNCTION("""COMPUTED_VALUE"""),"")</f>
        <v/>
      </c>
      <c r="AE17" s="19"/>
      <c r="AF17" s="20">
        <f>IFERROR(__xludf.DUMMYFUNCTION("""COMPUTED_VALUE"""),14900.0)</f>
        <v>14900</v>
      </c>
      <c r="AG17" s="21">
        <f>IFERROR(__xludf.DUMMYFUNCTION("""COMPUTED_VALUE"""),14900.0)</f>
        <v>14900</v>
      </c>
      <c r="AH17" s="29" t="str">
        <f>IFERROR(__xludf.DUMMYFUNCTION("""COMPUTED_VALUE"""),"")</f>
        <v/>
      </c>
      <c r="AI17" s="30">
        <f>IFERROR(__xludf.DUMMYFUNCTION("""COMPUTED_VALUE"""),0.0)</f>
        <v>0</v>
      </c>
      <c r="AJ17" s="30">
        <f>IFERROR(__xludf.DUMMYFUNCTION("""COMPUTED_VALUE"""),0.0)</f>
        <v>0</v>
      </c>
      <c r="AK17" s="4"/>
      <c r="AL17" s="4">
        <f>IFERROR(__xludf.DUMMYFUNCTION("""COMPUTED_VALUE"""),0.0)</f>
        <v>0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 t="str">
        <f>IFERROR(__xludf.DUMMYFUNCTION("""COMPUTED_VALUE"""),"Form G4 Incompleto Instagram")</f>
        <v>Form G4 Incompleto Instagram</v>
      </c>
      <c r="B18" s="19"/>
      <c r="C18" s="20">
        <f>IFERROR(__xludf.DUMMYFUNCTION("""COMPUTED_VALUE"""),0.0)</f>
        <v>0</v>
      </c>
      <c r="D18" s="21">
        <f>IFERROR(__xludf.DUMMYFUNCTION("""COMPUTED_VALUE"""),0.0)</f>
        <v>0</v>
      </c>
      <c r="E18" s="22" t="str">
        <f>IFERROR(__xludf.DUMMYFUNCTION("""COMPUTED_VALUE"""),"")</f>
        <v/>
      </c>
      <c r="F18" s="23"/>
      <c r="G18" s="23" t="str">
        <f>IFERROR(__xludf.DUMMYFUNCTION("""COMPUTED_VALUE"""),"")</f>
        <v/>
      </c>
      <c r="H18" s="24" t="str">
        <f>IFERROR(__xludf.DUMMYFUNCTION("""COMPUTED_VALUE"""),"")</f>
        <v/>
      </c>
      <c r="I18" s="19"/>
      <c r="J18" s="20">
        <f>IFERROR(__xludf.DUMMYFUNCTION("""COMPUTED_VALUE"""),0.0)</f>
        <v>0</v>
      </c>
      <c r="K18" s="21">
        <f>IFERROR(__xludf.DUMMYFUNCTION("""COMPUTED_VALUE"""),0.0)</f>
        <v>0</v>
      </c>
      <c r="L18" s="22" t="str">
        <f>IFERROR(__xludf.DUMMYFUNCTION("""COMPUTED_VALUE"""),"")</f>
        <v/>
      </c>
      <c r="M18" s="25"/>
      <c r="N18" s="23" t="str">
        <f>IFERROR(__xludf.DUMMYFUNCTION("""COMPUTED_VALUE"""),"")</f>
        <v/>
      </c>
      <c r="O18" s="26" t="str">
        <f>IFERROR(__xludf.DUMMYFUNCTION("""COMPUTED_VALUE"""),"")</f>
        <v/>
      </c>
      <c r="P18" s="19"/>
      <c r="Q18" s="20">
        <f>IFERROR(__xludf.DUMMYFUNCTION("""COMPUTED_VALUE"""),1.0)</f>
        <v>1</v>
      </c>
      <c r="R18" s="21">
        <f>IFERROR(__xludf.DUMMYFUNCTION("""COMPUTED_VALUE"""),1.0)</f>
        <v>1</v>
      </c>
      <c r="S18" s="27" t="str">
        <f>IFERROR(__xludf.DUMMYFUNCTION("""COMPUTED_VALUE"""),"")</f>
        <v/>
      </c>
      <c r="T18" s="23"/>
      <c r="U18" s="23">
        <f>IFERROR(__xludf.DUMMYFUNCTION("""COMPUTED_VALUE"""),0.0)</f>
        <v>0</v>
      </c>
      <c r="V18" s="24" t="str">
        <f>IFERROR(__xludf.DUMMYFUNCTION("""COMPUTED_VALUE"""),"")</f>
        <v/>
      </c>
      <c r="W18" s="19"/>
      <c r="X18" s="20">
        <f>IFERROR(__xludf.DUMMYFUNCTION("""COMPUTED_VALUE"""),0.0)</f>
        <v>0</v>
      </c>
      <c r="Y18" s="21">
        <f>IFERROR(__xludf.DUMMYFUNCTION("""COMPUTED_VALUE"""),0.0)</f>
        <v>0</v>
      </c>
      <c r="Z18" s="28" t="str">
        <f>IFERROR(__xludf.DUMMYFUNCTION("""COMPUTED_VALUE"""),"")</f>
        <v/>
      </c>
      <c r="AA18" s="19"/>
      <c r="AB18" s="20">
        <f>IFERROR(__xludf.DUMMYFUNCTION("""COMPUTED_VALUE"""),0.0)</f>
        <v>0</v>
      </c>
      <c r="AC18" s="21">
        <f>IFERROR(__xludf.DUMMYFUNCTION("""COMPUTED_VALUE"""),0.0)</f>
        <v>0</v>
      </c>
      <c r="AD18" s="28" t="str">
        <f>IFERROR(__xludf.DUMMYFUNCTION("""COMPUTED_VALUE"""),"")</f>
        <v/>
      </c>
      <c r="AE18" s="19"/>
      <c r="AF18" s="20">
        <f>IFERROR(__xludf.DUMMYFUNCTION("""COMPUTED_VALUE"""),0.0)</f>
        <v>0</v>
      </c>
      <c r="AG18" s="21">
        <f>IFERROR(__xludf.DUMMYFUNCTION("""COMPUTED_VALUE"""),0.0)</f>
        <v>0</v>
      </c>
      <c r="AH18" s="29" t="str">
        <f>IFERROR(__xludf.DUMMYFUNCTION("""COMPUTED_VALUE"""),"")</f>
        <v/>
      </c>
      <c r="AI18" s="30">
        <f>IFERROR(__xludf.DUMMYFUNCTION("""COMPUTED_VALUE"""),0.0)</f>
        <v>0</v>
      </c>
      <c r="AJ18" s="30">
        <f>IFERROR(__xludf.DUMMYFUNCTION("""COMPUTED_VALUE"""),0.0)</f>
        <v>0</v>
      </c>
      <c r="AK18" s="4"/>
      <c r="AL18" s="4">
        <f>IFERROR(__xludf.DUMMYFUNCTION("""COMPUTED_VALUE"""),0.0)</f>
        <v>0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19"/>
      <c r="C19" s="20"/>
      <c r="D19" s="21"/>
      <c r="E19" s="22"/>
      <c r="F19" s="23"/>
      <c r="G19" s="23"/>
      <c r="H19" s="24"/>
      <c r="I19" s="19"/>
      <c r="J19" s="20"/>
      <c r="K19" s="21"/>
      <c r="L19" s="22"/>
      <c r="M19" s="25"/>
      <c r="N19" s="23"/>
      <c r="O19" s="26"/>
      <c r="P19" s="19"/>
      <c r="Q19" s="20"/>
      <c r="R19" s="21"/>
      <c r="S19" s="27"/>
      <c r="T19" s="23"/>
      <c r="U19" s="23"/>
      <c r="V19" s="24"/>
      <c r="W19" s="19"/>
      <c r="X19" s="20"/>
      <c r="Y19" s="21"/>
      <c r="Z19" s="28"/>
      <c r="AA19" s="19"/>
      <c r="AB19" s="20"/>
      <c r="AC19" s="21"/>
      <c r="AD19" s="28"/>
      <c r="AE19" s="19"/>
      <c r="AF19" s="20"/>
      <c r="AG19" s="21"/>
      <c r="AH19" s="29"/>
      <c r="AI19" s="30"/>
      <c r="AJ19" s="30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19"/>
      <c r="C20" s="20"/>
      <c r="D20" s="21"/>
      <c r="E20" s="22"/>
      <c r="F20" s="23"/>
      <c r="G20" s="23"/>
      <c r="H20" s="24"/>
      <c r="I20" s="19"/>
      <c r="J20" s="20"/>
      <c r="K20" s="21"/>
      <c r="L20" s="22"/>
      <c r="M20" s="25"/>
      <c r="N20" s="23"/>
      <c r="O20" s="26"/>
      <c r="P20" s="19"/>
      <c r="Q20" s="20"/>
      <c r="R20" s="21"/>
      <c r="S20" s="27"/>
      <c r="T20" s="23"/>
      <c r="U20" s="23"/>
      <c r="V20" s="24"/>
      <c r="W20" s="19"/>
      <c r="X20" s="20"/>
      <c r="Y20" s="21"/>
      <c r="Z20" s="28"/>
      <c r="AA20" s="19"/>
      <c r="AB20" s="20"/>
      <c r="AC20" s="21"/>
      <c r="AD20" s="28"/>
      <c r="AE20" s="19"/>
      <c r="AF20" s="20"/>
      <c r="AG20" s="21"/>
      <c r="AH20" s="29"/>
      <c r="AI20" s="30"/>
      <c r="AJ20" s="30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9"/>
      <c r="C21" s="20"/>
      <c r="D21" s="21"/>
      <c r="E21" s="22"/>
      <c r="F21" s="23"/>
      <c r="G21" s="23"/>
      <c r="H21" s="24"/>
      <c r="I21" s="19"/>
      <c r="J21" s="20"/>
      <c r="K21" s="21"/>
      <c r="L21" s="22"/>
      <c r="M21" s="25"/>
      <c r="N21" s="23"/>
      <c r="O21" s="26"/>
      <c r="P21" s="19"/>
      <c r="Q21" s="20"/>
      <c r="R21" s="21"/>
      <c r="S21" s="27"/>
      <c r="T21" s="23"/>
      <c r="U21" s="23"/>
      <c r="V21" s="24"/>
      <c r="W21" s="19"/>
      <c r="X21" s="20"/>
      <c r="Y21" s="21"/>
      <c r="Z21" s="28"/>
      <c r="AA21" s="19"/>
      <c r="AB21" s="20"/>
      <c r="AC21" s="21"/>
      <c r="AD21" s="28"/>
      <c r="AE21" s="19"/>
      <c r="AF21" s="20"/>
      <c r="AG21" s="21"/>
      <c r="AH21" s="29"/>
      <c r="AI21" s="30"/>
      <c r="AJ21" s="30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9"/>
      <c r="C22" s="20"/>
      <c r="D22" s="21"/>
      <c r="E22" s="22"/>
      <c r="F22" s="23"/>
      <c r="G22" s="23"/>
      <c r="H22" s="24"/>
      <c r="I22" s="19"/>
      <c r="J22" s="20"/>
      <c r="K22" s="21"/>
      <c r="L22" s="22"/>
      <c r="M22" s="25"/>
      <c r="N22" s="23"/>
      <c r="O22" s="26"/>
      <c r="P22" s="19"/>
      <c r="Q22" s="20"/>
      <c r="R22" s="21"/>
      <c r="S22" s="27"/>
      <c r="T22" s="23"/>
      <c r="U22" s="23"/>
      <c r="V22" s="24"/>
      <c r="W22" s="19"/>
      <c r="X22" s="20"/>
      <c r="Y22" s="21"/>
      <c r="Z22" s="28"/>
      <c r="AA22" s="19"/>
      <c r="AB22" s="20"/>
      <c r="AC22" s="21"/>
      <c r="AD22" s="28"/>
      <c r="AE22" s="19"/>
      <c r="AF22" s="20"/>
      <c r="AG22" s="21"/>
      <c r="AH22" s="29"/>
      <c r="AI22" s="30"/>
      <c r="AJ22" s="30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9"/>
      <c r="C23" s="20"/>
      <c r="D23" s="21"/>
      <c r="E23" s="22"/>
      <c r="F23" s="23"/>
      <c r="G23" s="23"/>
      <c r="H23" s="24"/>
      <c r="I23" s="19"/>
      <c r="J23" s="20"/>
      <c r="K23" s="21"/>
      <c r="L23" s="22"/>
      <c r="M23" s="25"/>
      <c r="N23" s="23"/>
      <c r="O23" s="26"/>
      <c r="P23" s="19"/>
      <c r="Q23" s="20"/>
      <c r="R23" s="21"/>
      <c r="S23" s="27"/>
      <c r="T23" s="23"/>
      <c r="U23" s="23"/>
      <c r="V23" s="24"/>
      <c r="W23" s="19"/>
      <c r="X23" s="20"/>
      <c r="Y23" s="21"/>
      <c r="Z23" s="28"/>
      <c r="AA23" s="19"/>
      <c r="AB23" s="20"/>
      <c r="AC23" s="21"/>
      <c r="AD23" s="28"/>
      <c r="AE23" s="19"/>
      <c r="AF23" s="20"/>
      <c r="AG23" s="21"/>
      <c r="AH23" s="29"/>
      <c r="AI23" s="30"/>
      <c r="AJ23" s="3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9"/>
      <c r="C24" s="20"/>
      <c r="D24" s="21"/>
      <c r="E24" s="22"/>
      <c r="F24" s="23"/>
      <c r="G24" s="23"/>
      <c r="H24" s="24"/>
      <c r="I24" s="19"/>
      <c r="J24" s="20"/>
      <c r="K24" s="21"/>
      <c r="L24" s="22"/>
      <c r="M24" s="25"/>
      <c r="N24" s="23"/>
      <c r="O24" s="26"/>
      <c r="P24" s="19"/>
      <c r="Q24" s="20"/>
      <c r="R24" s="21"/>
      <c r="S24" s="27"/>
      <c r="T24" s="23"/>
      <c r="U24" s="23"/>
      <c r="V24" s="24"/>
      <c r="W24" s="19"/>
      <c r="X24" s="20"/>
      <c r="Y24" s="21"/>
      <c r="Z24" s="28"/>
      <c r="AA24" s="19"/>
      <c r="AB24" s="20"/>
      <c r="AC24" s="21"/>
      <c r="AD24" s="28"/>
      <c r="AE24" s="19"/>
      <c r="AF24" s="20"/>
      <c r="AG24" s="21"/>
      <c r="AH24" s="29"/>
      <c r="AI24" s="30"/>
      <c r="AJ24" s="30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9"/>
      <c r="C25" s="20"/>
      <c r="D25" s="21"/>
      <c r="E25" s="22"/>
      <c r="F25" s="23"/>
      <c r="G25" s="23"/>
      <c r="H25" s="24"/>
      <c r="I25" s="19"/>
      <c r="J25" s="20"/>
      <c r="K25" s="21"/>
      <c r="L25" s="22"/>
      <c r="M25" s="25"/>
      <c r="N25" s="23"/>
      <c r="O25" s="26"/>
      <c r="P25" s="19"/>
      <c r="Q25" s="20"/>
      <c r="R25" s="21"/>
      <c r="S25" s="27"/>
      <c r="T25" s="23"/>
      <c r="U25" s="23"/>
      <c r="V25" s="24"/>
      <c r="W25" s="19"/>
      <c r="X25" s="20"/>
      <c r="Y25" s="21"/>
      <c r="Z25" s="28"/>
      <c r="AA25" s="19"/>
      <c r="AB25" s="20"/>
      <c r="AC25" s="21"/>
      <c r="AD25" s="28"/>
      <c r="AE25" s="19"/>
      <c r="AF25" s="20"/>
      <c r="AG25" s="21"/>
      <c r="AH25" s="29"/>
      <c r="AI25" s="30"/>
      <c r="AJ25" s="30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9"/>
      <c r="C26" s="20"/>
      <c r="D26" s="21"/>
      <c r="E26" s="22"/>
      <c r="F26" s="23"/>
      <c r="G26" s="23"/>
      <c r="H26" s="24"/>
      <c r="I26" s="19"/>
      <c r="J26" s="20"/>
      <c r="K26" s="21"/>
      <c r="L26" s="22"/>
      <c r="M26" s="25"/>
      <c r="N26" s="23"/>
      <c r="O26" s="26"/>
      <c r="P26" s="19"/>
      <c r="Q26" s="20"/>
      <c r="R26" s="21"/>
      <c r="S26" s="27"/>
      <c r="T26" s="23"/>
      <c r="U26" s="23"/>
      <c r="V26" s="24"/>
      <c r="W26" s="19"/>
      <c r="X26" s="20"/>
      <c r="Y26" s="21"/>
      <c r="Z26" s="28"/>
      <c r="AA26" s="19"/>
      <c r="AB26" s="20"/>
      <c r="AC26" s="21"/>
      <c r="AD26" s="28"/>
      <c r="AE26" s="19"/>
      <c r="AF26" s="20"/>
      <c r="AG26" s="21"/>
      <c r="AH26" s="29"/>
      <c r="AI26" s="30"/>
      <c r="AJ26" s="3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9"/>
      <c r="C27" s="20"/>
      <c r="D27" s="21"/>
      <c r="E27" s="22"/>
      <c r="F27" s="23"/>
      <c r="G27" s="23"/>
      <c r="H27" s="24"/>
      <c r="I27" s="19"/>
      <c r="J27" s="20"/>
      <c r="K27" s="21"/>
      <c r="L27" s="22"/>
      <c r="M27" s="25"/>
      <c r="N27" s="23"/>
      <c r="O27" s="26"/>
      <c r="P27" s="19"/>
      <c r="Q27" s="20"/>
      <c r="R27" s="21"/>
      <c r="S27" s="27"/>
      <c r="T27" s="23"/>
      <c r="U27" s="23"/>
      <c r="V27" s="24"/>
      <c r="W27" s="19"/>
      <c r="X27" s="20"/>
      <c r="Y27" s="21"/>
      <c r="Z27" s="28"/>
      <c r="AA27" s="19"/>
      <c r="AB27" s="20"/>
      <c r="AC27" s="21"/>
      <c r="AD27" s="28"/>
      <c r="AE27" s="19"/>
      <c r="AF27" s="20"/>
      <c r="AG27" s="21"/>
      <c r="AH27" s="29"/>
      <c r="AI27" s="30"/>
      <c r="AJ27" s="30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9"/>
      <c r="C28" s="20"/>
      <c r="D28" s="21"/>
      <c r="E28" s="22"/>
      <c r="F28" s="23"/>
      <c r="G28" s="23"/>
      <c r="H28" s="24"/>
      <c r="I28" s="19"/>
      <c r="J28" s="20"/>
      <c r="K28" s="21"/>
      <c r="L28" s="22"/>
      <c r="M28" s="25"/>
      <c r="N28" s="23"/>
      <c r="O28" s="26"/>
      <c r="P28" s="19"/>
      <c r="Q28" s="20"/>
      <c r="R28" s="21"/>
      <c r="S28" s="27"/>
      <c r="T28" s="23"/>
      <c r="U28" s="23"/>
      <c r="V28" s="24"/>
      <c r="W28" s="19"/>
      <c r="X28" s="20"/>
      <c r="Y28" s="21"/>
      <c r="Z28" s="28"/>
      <c r="AA28" s="19"/>
      <c r="AB28" s="20"/>
      <c r="AC28" s="21"/>
      <c r="AD28" s="28"/>
      <c r="AE28" s="19"/>
      <c r="AF28" s="20"/>
      <c r="AG28" s="21"/>
      <c r="AH28" s="29"/>
      <c r="AI28" s="30"/>
      <c r="AJ28" s="30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9"/>
      <c r="C29" s="20"/>
      <c r="D29" s="21"/>
      <c r="E29" s="22"/>
      <c r="F29" s="23"/>
      <c r="G29" s="23"/>
      <c r="H29" s="24"/>
      <c r="I29" s="19"/>
      <c r="J29" s="20"/>
      <c r="K29" s="21"/>
      <c r="L29" s="22"/>
      <c r="M29" s="25"/>
      <c r="N29" s="23"/>
      <c r="O29" s="26"/>
      <c r="P29" s="19"/>
      <c r="Q29" s="20"/>
      <c r="R29" s="21"/>
      <c r="S29" s="27"/>
      <c r="T29" s="23"/>
      <c r="U29" s="23"/>
      <c r="V29" s="24"/>
      <c r="W29" s="19"/>
      <c r="X29" s="20"/>
      <c r="Y29" s="21"/>
      <c r="Z29" s="28"/>
      <c r="AA29" s="19"/>
      <c r="AB29" s="20"/>
      <c r="AC29" s="21"/>
      <c r="AD29" s="28"/>
      <c r="AE29" s="19"/>
      <c r="AF29" s="20"/>
      <c r="AG29" s="21"/>
      <c r="AH29" s="29"/>
      <c r="AI29" s="30"/>
      <c r="AJ29" s="30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9"/>
      <c r="C30" s="20"/>
      <c r="D30" s="21"/>
      <c r="E30" s="22"/>
      <c r="F30" s="23"/>
      <c r="G30" s="23"/>
      <c r="H30" s="24"/>
      <c r="I30" s="19"/>
      <c r="J30" s="20"/>
      <c r="K30" s="21"/>
      <c r="L30" s="22"/>
      <c r="M30" s="25"/>
      <c r="N30" s="23"/>
      <c r="O30" s="26"/>
      <c r="P30" s="19"/>
      <c r="Q30" s="20"/>
      <c r="R30" s="21"/>
      <c r="S30" s="27"/>
      <c r="T30" s="23"/>
      <c r="U30" s="23"/>
      <c r="V30" s="24"/>
      <c r="W30" s="19"/>
      <c r="X30" s="20"/>
      <c r="Y30" s="21"/>
      <c r="Z30" s="28"/>
      <c r="AA30" s="19"/>
      <c r="AB30" s="20"/>
      <c r="AC30" s="21"/>
      <c r="AD30" s="28"/>
      <c r="AE30" s="19"/>
      <c r="AF30" s="20"/>
      <c r="AG30" s="21"/>
      <c r="AH30" s="29"/>
      <c r="AI30" s="30"/>
      <c r="AJ30" s="30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9"/>
      <c r="C31" s="20"/>
      <c r="D31" s="21"/>
      <c r="E31" s="22"/>
      <c r="F31" s="23"/>
      <c r="G31" s="23"/>
      <c r="H31" s="24"/>
      <c r="I31" s="19"/>
      <c r="J31" s="20"/>
      <c r="K31" s="21"/>
      <c r="L31" s="22"/>
      <c r="M31" s="25"/>
      <c r="N31" s="23"/>
      <c r="O31" s="26"/>
      <c r="P31" s="19"/>
      <c r="Q31" s="20"/>
      <c r="R31" s="21"/>
      <c r="S31" s="27"/>
      <c r="T31" s="23"/>
      <c r="U31" s="23"/>
      <c r="V31" s="24"/>
      <c r="W31" s="19"/>
      <c r="X31" s="20"/>
      <c r="Y31" s="21"/>
      <c r="Z31" s="28"/>
      <c r="AA31" s="19"/>
      <c r="AB31" s="20"/>
      <c r="AC31" s="21"/>
      <c r="AD31" s="28"/>
      <c r="AE31" s="19"/>
      <c r="AF31" s="20"/>
      <c r="AG31" s="21"/>
      <c r="AH31" s="29"/>
      <c r="AI31" s="30"/>
      <c r="AJ31" s="30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9"/>
      <c r="C32" s="20"/>
      <c r="D32" s="21"/>
      <c r="E32" s="22"/>
      <c r="F32" s="23"/>
      <c r="G32" s="23"/>
      <c r="H32" s="24"/>
      <c r="I32" s="19"/>
      <c r="J32" s="20"/>
      <c r="K32" s="21"/>
      <c r="L32" s="22"/>
      <c r="M32" s="25"/>
      <c r="N32" s="23"/>
      <c r="O32" s="26"/>
      <c r="P32" s="19"/>
      <c r="Q32" s="20"/>
      <c r="R32" s="21"/>
      <c r="S32" s="27"/>
      <c r="T32" s="23"/>
      <c r="U32" s="23"/>
      <c r="V32" s="24"/>
      <c r="W32" s="19"/>
      <c r="X32" s="20"/>
      <c r="Y32" s="21"/>
      <c r="Z32" s="28"/>
      <c r="AA32" s="19"/>
      <c r="AB32" s="20"/>
      <c r="AC32" s="21"/>
      <c r="AD32" s="28"/>
      <c r="AE32" s="19"/>
      <c r="AF32" s="20"/>
      <c r="AG32" s="21"/>
      <c r="AH32" s="29"/>
      <c r="AI32" s="30"/>
      <c r="AJ32" s="30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9"/>
      <c r="C33" s="20"/>
      <c r="D33" s="21"/>
      <c r="E33" s="22"/>
      <c r="F33" s="23"/>
      <c r="G33" s="23"/>
      <c r="H33" s="24"/>
      <c r="I33" s="19"/>
      <c r="J33" s="20"/>
      <c r="K33" s="21"/>
      <c r="L33" s="22"/>
      <c r="M33" s="25"/>
      <c r="N33" s="23"/>
      <c r="O33" s="26"/>
      <c r="P33" s="19"/>
      <c r="Q33" s="20"/>
      <c r="R33" s="21"/>
      <c r="S33" s="27"/>
      <c r="T33" s="23"/>
      <c r="U33" s="23"/>
      <c r="V33" s="24"/>
      <c r="W33" s="19"/>
      <c r="X33" s="20"/>
      <c r="Y33" s="21"/>
      <c r="Z33" s="28"/>
      <c r="AA33" s="19"/>
      <c r="AB33" s="20"/>
      <c r="AC33" s="21"/>
      <c r="AD33" s="28"/>
      <c r="AE33" s="19"/>
      <c r="AF33" s="20"/>
      <c r="AG33" s="21"/>
      <c r="AH33" s="29"/>
      <c r="AI33" s="30"/>
      <c r="AJ33" s="30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9"/>
      <c r="C34" s="20"/>
      <c r="D34" s="21"/>
      <c r="E34" s="22"/>
      <c r="F34" s="23"/>
      <c r="G34" s="23"/>
      <c r="H34" s="24"/>
      <c r="I34" s="19"/>
      <c r="J34" s="20"/>
      <c r="K34" s="21"/>
      <c r="L34" s="22"/>
      <c r="M34" s="25"/>
      <c r="N34" s="23"/>
      <c r="O34" s="26"/>
      <c r="P34" s="19"/>
      <c r="Q34" s="20"/>
      <c r="R34" s="21"/>
      <c r="S34" s="27"/>
      <c r="T34" s="23"/>
      <c r="U34" s="23"/>
      <c r="V34" s="24"/>
      <c r="W34" s="19"/>
      <c r="X34" s="20"/>
      <c r="Y34" s="21"/>
      <c r="Z34" s="28"/>
      <c r="AA34" s="19"/>
      <c r="AB34" s="20"/>
      <c r="AC34" s="21"/>
      <c r="AD34" s="28"/>
      <c r="AE34" s="19"/>
      <c r="AF34" s="20"/>
      <c r="AG34" s="21"/>
      <c r="AH34" s="29"/>
      <c r="AI34" s="30"/>
      <c r="AJ34" s="30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9"/>
      <c r="C35" s="20"/>
      <c r="D35" s="21"/>
      <c r="E35" s="22"/>
      <c r="F35" s="23"/>
      <c r="G35" s="23"/>
      <c r="H35" s="24"/>
      <c r="I35" s="19"/>
      <c r="J35" s="20"/>
      <c r="K35" s="21"/>
      <c r="L35" s="22"/>
      <c r="M35" s="25"/>
      <c r="N35" s="23"/>
      <c r="O35" s="26"/>
      <c r="P35" s="19"/>
      <c r="Q35" s="20"/>
      <c r="R35" s="21"/>
      <c r="S35" s="27"/>
      <c r="T35" s="23"/>
      <c r="U35" s="23"/>
      <c r="V35" s="24"/>
      <c r="W35" s="19"/>
      <c r="X35" s="20"/>
      <c r="Y35" s="21"/>
      <c r="Z35" s="28"/>
      <c r="AA35" s="19"/>
      <c r="AB35" s="20"/>
      <c r="AC35" s="21"/>
      <c r="AD35" s="28"/>
      <c r="AE35" s="19"/>
      <c r="AF35" s="20"/>
      <c r="AG35" s="21"/>
      <c r="AH35" s="29"/>
      <c r="AI35" s="30"/>
      <c r="AJ35" s="30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9"/>
      <c r="C36" s="20"/>
      <c r="D36" s="21"/>
      <c r="E36" s="22"/>
      <c r="F36" s="23"/>
      <c r="G36" s="23"/>
      <c r="H36" s="24"/>
      <c r="I36" s="19"/>
      <c r="J36" s="20"/>
      <c r="K36" s="21"/>
      <c r="L36" s="22"/>
      <c r="M36" s="25"/>
      <c r="N36" s="23"/>
      <c r="O36" s="26"/>
      <c r="P36" s="19"/>
      <c r="Q36" s="20"/>
      <c r="R36" s="21"/>
      <c r="S36" s="27"/>
      <c r="T36" s="23"/>
      <c r="U36" s="23"/>
      <c r="V36" s="24"/>
      <c r="W36" s="19"/>
      <c r="X36" s="20"/>
      <c r="Y36" s="21"/>
      <c r="Z36" s="28"/>
      <c r="AA36" s="19"/>
      <c r="AB36" s="20"/>
      <c r="AC36" s="21"/>
      <c r="AD36" s="28"/>
      <c r="AE36" s="19"/>
      <c r="AF36" s="20"/>
      <c r="AG36" s="21"/>
      <c r="AH36" s="29"/>
      <c r="AI36" s="30"/>
      <c r="AJ36" s="30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9"/>
      <c r="C37" s="20"/>
      <c r="D37" s="21"/>
      <c r="E37" s="22"/>
      <c r="F37" s="23"/>
      <c r="G37" s="23"/>
      <c r="H37" s="24"/>
      <c r="I37" s="19"/>
      <c r="J37" s="20"/>
      <c r="K37" s="21"/>
      <c r="L37" s="22"/>
      <c r="M37" s="25"/>
      <c r="N37" s="23"/>
      <c r="O37" s="26"/>
      <c r="P37" s="19"/>
      <c r="Q37" s="20"/>
      <c r="R37" s="21"/>
      <c r="S37" s="27"/>
      <c r="T37" s="23"/>
      <c r="U37" s="23"/>
      <c r="V37" s="24"/>
      <c r="W37" s="19"/>
      <c r="X37" s="20"/>
      <c r="Y37" s="21"/>
      <c r="Z37" s="28"/>
      <c r="AA37" s="19"/>
      <c r="AB37" s="20"/>
      <c r="AC37" s="21"/>
      <c r="AD37" s="28"/>
      <c r="AE37" s="19"/>
      <c r="AF37" s="20"/>
      <c r="AG37" s="21"/>
      <c r="AH37" s="29"/>
      <c r="AI37" s="30"/>
      <c r="AJ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9"/>
      <c r="C38" s="20"/>
      <c r="D38" s="21"/>
      <c r="E38" s="22"/>
      <c r="F38" s="23"/>
      <c r="G38" s="23"/>
      <c r="H38" s="24"/>
      <c r="I38" s="19"/>
      <c r="J38" s="20"/>
      <c r="K38" s="21"/>
      <c r="L38" s="22"/>
      <c r="M38" s="25"/>
      <c r="N38" s="23"/>
      <c r="O38" s="26"/>
      <c r="P38" s="19"/>
      <c r="Q38" s="20"/>
      <c r="R38" s="21"/>
      <c r="S38" s="27"/>
      <c r="T38" s="23"/>
      <c r="U38" s="23"/>
      <c r="V38" s="24"/>
      <c r="W38" s="19"/>
      <c r="X38" s="20"/>
      <c r="Y38" s="21"/>
      <c r="Z38" s="28"/>
      <c r="AA38" s="19"/>
      <c r="AB38" s="20"/>
      <c r="AC38" s="21"/>
      <c r="AD38" s="28"/>
      <c r="AE38" s="19"/>
      <c r="AF38" s="20"/>
      <c r="AG38" s="21"/>
      <c r="AH38" s="29"/>
      <c r="AI38" s="30"/>
      <c r="AJ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9"/>
      <c r="C39" s="20"/>
      <c r="D39" s="21"/>
      <c r="E39" s="22"/>
      <c r="F39" s="23"/>
      <c r="G39" s="23"/>
      <c r="H39" s="24"/>
      <c r="I39" s="19"/>
      <c r="J39" s="20"/>
      <c r="K39" s="21"/>
      <c r="L39" s="22"/>
      <c r="M39" s="25"/>
      <c r="N39" s="23"/>
      <c r="O39" s="26"/>
      <c r="P39" s="19"/>
      <c r="Q39" s="20"/>
      <c r="R39" s="21"/>
      <c r="S39" s="27"/>
      <c r="T39" s="23"/>
      <c r="U39" s="23"/>
      <c r="V39" s="24"/>
      <c r="W39" s="19"/>
      <c r="X39" s="20"/>
      <c r="Y39" s="21"/>
      <c r="Z39" s="28"/>
      <c r="AA39" s="19"/>
      <c r="AB39" s="20"/>
      <c r="AC39" s="21"/>
      <c r="AD39" s="28"/>
      <c r="AE39" s="19"/>
      <c r="AF39" s="20"/>
      <c r="AG39" s="21"/>
      <c r="AH39" s="29"/>
      <c r="AI39" s="30"/>
      <c r="AJ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9"/>
      <c r="C40" s="20"/>
      <c r="D40" s="21"/>
      <c r="E40" s="22"/>
      <c r="F40" s="23"/>
      <c r="G40" s="23"/>
      <c r="H40" s="24"/>
      <c r="I40" s="19"/>
      <c r="J40" s="20"/>
      <c r="K40" s="21"/>
      <c r="L40" s="22"/>
      <c r="M40" s="25"/>
      <c r="N40" s="23"/>
      <c r="O40" s="26"/>
      <c r="P40" s="19"/>
      <c r="Q40" s="20"/>
      <c r="R40" s="21"/>
      <c r="S40" s="27"/>
      <c r="T40" s="23"/>
      <c r="U40" s="23"/>
      <c r="V40" s="24"/>
      <c r="W40" s="19"/>
      <c r="X40" s="20"/>
      <c r="Y40" s="21"/>
      <c r="Z40" s="28"/>
      <c r="AA40" s="19"/>
      <c r="AB40" s="20"/>
      <c r="AC40" s="21"/>
      <c r="AD40" s="28"/>
      <c r="AE40" s="19"/>
      <c r="AF40" s="20"/>
      <c r="AG40" s="21"/>
      <c r="AH40" s="29"/>
      <c r="AI40" s="30"/>
      <c r="AJ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9"/>
      <c r="C41" s="20"/>
      <c r="D41" s="21"/>
      <c r="E41" s="22"/>
      <c r="F41" s="23"/>
      <c r="G41" s="23"/>
      <c r="H41" s="24"/>
      <c r="I41" s="19"/>
      <c r="J41" s="20"/>
      <c r="K41" s="21"/>
      <c r="L41" s="22"/>
      <c r="M41" s="25"/>
      <c r="N41" s="23"/>
      <c r="O41" s="26"/>
      <c r="P41" s="19"/>
      <c r="Q41" s="20"/>
      <c r="R41" s="21"/>
      <c r="S41" s="27"/>
      <c r="T41" s="23"/>
      <c r="U41" s="23"/>
      <c r="V41" s="24"/>
      <c r="W41" s="19"/>
      <c r="X41" s="20"/>
      <c r="Y41" s="21"/>
      <c r="Z41" s="28"/>
      <c r="AA41" s="19"/>
      <c r="AB41" s="20"/>
      <c r="AC41" s="21"/>
      <c r="AD41" s="28"/>
      <c r="AE41" s="19"/>
      <c r="AF41" s="20"/>
      <c r="AG41" s="21"/>
      <c r="AH41" s="29"/>
      <c r="AI41" s="30"/>
      <c r="AJ41" s="30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9"/>
      <c r="C42" s="20"/>
      <c r="D42" s="21"/>
      <c r="E42" s="22"/>
      <c r="F42" s="23"/>
      <c r="G42" s="23"/>
      <c r="H42" s="24"/>
      <c r="I42" s="19"/>
      <c r="J42" s="20"/>
      <c r="K42" s="21"/>
      <c r="L42" s="22"/>
      <c r="M42" s="25"/>
      <c r="N42" s="23"/>
      <c r="O42" s="26"/>
      <c r="P42" s="19"/>
      <c r="Q42" s="20"/>
      <c r="R42" s="21"/>
      <c r="S42" s="27"/>
      <c r="T42" s="23"/>
      <c r="U42" s="23"/>
      <c r="V42" s="24"/>
      <c r="W42" s="19"/>
      <c r="X42" s="20"/>
      <c r="Y42" s="21"/>
      <c r="Z42" s="28"/>
      <c r="AA42" s="19"/>
      <c r="AB42" s="20"/>
      <c r="AC42" s="21"/>
      <c r="AD42" s="28"/>
      <c r="AE42" s="19"/>
      <c r="AF42" s="20"/>
      <c r="AG42" s="21"/>
      <c r="AH42" s="29"/>
      <c r="AI42" s="30"/>
      <c r="AJ42" s="30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9"/>
      <c r="C43" s="20"/>
      <c r="D43" s="21"/>
      <c r="E43" s="22"/>
      <c r="F43" s="23"/>
      <c r="G43" s="23"/>
      <c r="H43" s="24"/>
      <c r="I43" s="19"/>
      <c r="J43" s="20"/>
      <c r="K43" s="21"/>
      <c r="L43" s="22"/>
      <c r="M43" s="25"/>
      <c r="N43" s="23"/>
      <c r="O43" s="26"/>
      <c r="P43" s="19"/>
      <c r="Q43" s="20"/>
      <c r="R43" s="21"/>
      <c r="S43" s="27"/>
      <c r="T43" s="23"/>
      <c r="U43" s="23"/>
      <c r="V43" s="24"/>
      <c r="W43" s="19"/>
      <c r="X43" s="20"/>
      <c r="Y43" s="21"/>
      <c r="Z43" s="28"/>
      <c r="AA43" s="19"/>
      <c r="AB43" s="20"/>
      <c r="AC43" s="21"/>
      <c r="AD43" s="28"/>
      <c r="AE43" s="19"/>
      <c r="AF43" s="20"/>
      <c r="AG43" s="21"/>
      <c r="AH43" s="29"/>
      <c r="AI43" s="30"/>
      <c r="AJ43" s="30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9"/>
      <c r="C44" s="20"/>
      <c r="D44" s="21"/>
      <c r="E44" s="22"/>
      <c r="F44" s="23"/>
      <c r="G44" s="23"/>
      <c r="H44" s="24"/>
      <c r="I44" s="19"/>
      <c r="J44" s="20"/>
      <c r="K44" s="21"/>
      <c r="L44" s="22"/>
      <c r="M44" s="25"/>
      <c r="N44" s="23"/>
      <c r="O44" s="26"/>
      <c r="P44" s="19"/>
      <c r="Q44" s="20"/>
      <c r="R44" s="21"/>
      <c r="S44" s="27"/>
      <c r="T44" s="23"/>
      <c r="U44" s="23"/>
      <c r="V44" s="24"/>
      <c r="W44" s="19"/>
      <c r="X44" s="20"/>
      <c r="Y44" s="21"/>
      <c r="Z44" s="28"/>
      <c r="AA44" s="19"/>
      <c r="AB44" s="20"/>
      <c r="AC44" s="21"/>
      <c r="AD44" s="28"/>
      <c r="AE44" s="19"/>
      <c r="AF44" s="20"/>
      <c r="AG44" s="21"/>
      <c r="AH44" s="29"/>
      <c r="AI44" s="30"/>
      <c r="AJ44" s="30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9"/>
      <c r="C45" s="20"/>
      <c r="D45" s="21"/>
      <c r="E45" s="22"/>
      <c r="F45" s="23"/>
      <c r="G45" s="23"/>
      <c r="H45" s="24"/>
      <c r="I45" s="19"/>
      <c r="J45" s="20"/>
      <c r="K45" s="21"/>
      <c r="L45" s="22"/>
      <c r="M45" s="25"/>
      <c r="N45" s="23"/>
      <c r="O45" s="26"/>
      <c r="P45" s="19"/>
      <c r="Q45" s="20"/>
      <c r="R45" s="21"/>
      <c r="S45" s="27"/>
      <c r="T45" s="23"/>
      <c r="U45" s="23"/>
      <c r="V45" s="24"/>
      <c r="W45" s="19"/>
      <c r="X45" s="20"/>
      <c r="Y45" s="21"/>
      <c r="Z45" s="28"/>
      <c r="AA45" s="19"/>
      <c r="AB45" s="20"/>
      <c r="AC45" s="21"/>
      <c r="AD45" s="28"/>
      <c r="AE45" s="19"/>
      <c r="AF45" s="20"/>
      <c r="AG45" s="21"/>
      <c r="AH45" s="29"/>
      <c r="AI45" s="30"/>
      <c r="AJ45" s="30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9"/>
      <c r="C46" s="20"/>
      <c r="D46" s="21"/>
      <c r="E46" s="22"/>
      <c r="F46" s="23"/>
      <c r="G46" s="23"/>
      <c r="H46" s="24"/>
      <c r="I46" s="19"/>
      <c r="J46" s="20"/>
      <c r="K46" s="21"/>
      <c r="L46" s="22"/>
      <c r="M46" s="25"/>
      <c r="N46" s="23"/>
      <c r="O46" s="26"/>
      <c r="P46" s="19"/>
      <c r="Q46" s="20"/>
      <c r="R46" s="21"/>
      <c r="S46" s="27"/>
      <c r="T46" s="23"/>
      <c r="U46" s="23"/>
      <c r="V46" s="24"/>
      <c r="W46" s="19"/>
      <c r="X46" s="20"/>
      <c r="Y46" s="21"/>
      <c r="Z46" s="28"/>
      <c r="AA46" s="19"/>
      <c r="AB46" s="20"/>
      <c r="AC46" s="21"/>
      <c r="AD46" s="28"/>
      <c r="AE46" s="19"/>
      <c r="AF46" s="20"/>
      <c r="AG46" s="21"/>
      <c r="AH46" s="29"/>
      <c r="AI46" s="30"/>
      <c r="AJ46" s="30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9"/>
      <c r="C47" s="20"/>
      <c r="D47" s="21"/>
      <c r="E47" s="22"/>
      <c r="F47" s="23"/>
      <c r="G47" s="23"/>
      <c r="H47" s="24"/>
      <c r="I47" s="19"/>
      <c r="J47" s="20"/>
      <c r="K47" s="21"/>
      <c r="L47" s="22"/>
      <c r="M47" s="25"/>
      <c r="N47" s="23"/>
      <c r="O47" s="26"/>
      <c r="P47" s="19"/>
      <c r="Q47" s="20"/>
      <c r="R47" s="21"/>
      <c r="S47" s="27"/>
      <c r="T47" s="23"/>
      <c r="U47" s="23"/>
      <c r="V47" s="24"/>
      <c r="W47" s="19"/>
      <c r="X47" s="20"/>
      <c r="Y47" s="21"/>
      <c r="Z47" s="28"/>
      <c r="AA47" s="19"/>
      <c r="AB47" s="20"/>
      <c r="AC47" s="21"/>
      <c r="AD47" s="28"/>
      <c r="AE47" s="19"/>
      <c r="AF47" s="20"/>
      <c r="AG47" s="21"/>
      <c r="AH47" s="29"/>
      <c r="AI47" s="30"/>
      <c r="AJ47" s="30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9"/>
      <c r="C48" s="20"/>
      <c r="D48" s="21"/>
      <c r="E48" s="22"/>
      <c r="F48" s="23"/>
      <c r="G48" s="23"/>
      <c r="H48" s="24"/>
      <c r="I48" s="19"/>
      <c r="J48" s="20"/>
      <c r="K48" s="21"/>
      <c r="L48" s="22"/>
      <c r="M48" s="25"/>
      <c r="N48" s="23"/>
      <c r="O48" s="26"/>
      <c r="P48" s="19"/>
      <c r="Q48" s="20"/>
      <c r="R48" s="21"/>
      <c r="S48" s="27"/>
      <c r="T48" s="23"/>
      <c r="U48" s="23"/>
      <c r="V48" s="24"/>
      <c r="W48" s="19"/>
      <c r="X48" s="20"/>
      <c r="Y48" s="21"/>
      <c r="Z48" s="28"/>
      <c r="AA48" s="19"/>
      <c r="AB48" s="20"/>
      <c r="AC48" s="21"/>
      <c r="AD48" s="28"/>
      <c r="AE48" s="19"/>
      <c r="AF48" s="20"/>
      <c r="AG48" s="21"/>
      <c r="AH48" s="29"/>
      <c r="AI48" s="30"/>
      <c r="AJ48" s="30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9"/>
      <c r="C49" s="20"/>
      <c r="D49" s="21"/>
      <c r="E49" s="22"/>
      <c r="F49" s="23"/>
      <c r="G49" s="23"/>
      <c r="H49" s="24"/>
      <c r="I49" s="19"/>
      <c r="J49" s="20"/>
      <c r="K49" s="21"/>
      <c r="L49" s="22"/>
      <c r="M49" s="25"/>
      <c r="N49" s="23"/>
      <c r="O49" s="26"/>
      <c r="P49" s="19"/>
      <c r="Q49" s="20"/>
      <c r="R49" s="21"/>
      <c r="S49" s="27"/>
      <c r="T49" s="23"/>
      <c r="U49" s="23"/>
      <c r="V49" s="24"/>
      <c r="W49" s="19"/>
      <c r="X49" s="20"/>
      <c r="Y49" s="21"/>
      <c r="Z49" s="28"/>
      <c r="AA49" s="19"/>
      <c r="AB49" s="20"/>
      <c r="AC49" s="21"/>
      <c r="AD49" s="28"/>
      <c r="AE49" s="19"/>
      <c r="AF49" s="20"/>
      <c r="AG49" s="21"/>
      <c r="AH49" s="29"/>
      <c r="AI49" s="30"/>
      <c r="AJ49" s="30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9"/>
      <c r="C50" s="20"/>
      <c r="D50" s="21"/>
      <c r="E50" s="22"/>
      <c r="F50" s="23"/>
      <c r="G50" s="23"/>
      <c r="H50" s="24"/>
      <c r="I50" s="19"/>
      <c r="J50" s="20"/>
      <c r="K50" s="21"/>
      <c r="L50" s="22"/>
      <c r="M50" s="25"/>
      <c r="N50" s="23"/>
      <c r="O50" s="26"/>
      <c r="P50" s="19"/>
      <c r="Q50" s="20"/>
      <c r="R50" s="21"/>
      <c r="S50" s="27"/>
      <c r="T50" s="23"/>
      <c r="U50" s="23"/>
      <c r="V50" s="24"/>
      <c r="W50" s="19"/>
      <c r="X50" s="20"/>
      <c r="Y50" s="21"/>
      <c r="Z50" s="28"/>
      <c r="AA50" s="19"/>
      <c r="AB50" s="20"/>
      <c r="AC50" s="21"/>
      <c r="AD50" s="28"/>
      <c r="AE50" s="19"/>
      <c r="AF50" s="20"/>
      <c r="AG50" s="21"/>
      <c r="AH50" s="29"/>
      <c r="AI50" s="30"/>
      <c r="AJ50" s="30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9"/>
      <c r="C51" s="20"/>
      <c r="D51" s="21"/>
      <c r="E51" s="22"/>
      <c r="F51" s="23"/>
      <c r="G51" s="23"/>
      <c r="H51" s="24"/>
      <c r="I51" s="19"/>
      <c r="J51" s="20"/>
      <c r="K51" s="21"/>
      <c r="L51" s="22"/>
      <c r="M51" s="25"/>
      <c r="N51" s="23"/>
      <c r="O51" s="26"/>
      <c r="P51" s="19"/>
      <c r="Q51" s="20"/>
      <c r="R51" s="21"/>
      <c r="S51" s="27"/>
      <c r="T51" s="23"/>
      <c r="U51" s="23"/>
      <c r="V51" s="24"/>
      <c r="W51" s="19"/>
      <c r="X51" s="20"/>
      <c r="Y51" s="21"/>
      <c r="Z51" s="28"/>
      <c r="AA51" s="19"/>
      <c r="AB51" s="20"/>
      <c r="AC51" s="21"/>
      <c r="AD51" s="28"/>
      <c r="AE51" s="19"/>
      <c r="AF51" s="20"/>
      <c r="AG51" s="21"/>
      <c r="AH51" s="29"/>
      <c r="AI51" s="30"/>
      <c r="AJ51" s="30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9"/>
      <c r="C52" s="20"/>
      <c r="D52" s="21"/>
      <c r="E52" s="22"/>
      <c r="F52" s="23"/>
      <c r="G52" s="23"/>
      <c r="H52" s="24"/>
      <c r="I52" s="19"/>
      <c r="J52" s="20"/>
      <c r="K52" s="21"/>
      <c r="L52" s="22"/>
      <c r="M52" s="25"/>
      <c r="N52" s="23"/>
      <c r="O52" s="26"/>
      <c r="P52" s="19"/>
      <c r="Q52" s="20"/>
      <c r="R52" s="21"/>
      <c r="S52" s="27"/>
      <c r="T52" s="23"/>
      <c r="U52" s="23"/>
      <c r="V52" s="24"/>
      <c r="W52" s="19"/>
      <c r="X52" s="20"/>
      <c r="Y52" s="21"/>
      <c r="Z52" s="28"/>
      <c r="AA52" s="19"/>
      <c r="AB52" s="20"/>
      <c r="AC52" s="21"/>
      <c r="AD52" s="28"/>
      <c r="AE52" s="19"/>
      <c r="AF52" s="20"/>
      <c r="AG52" s="21"/>
      <c r="AH52" s="29"/>
      <c r="AI52" s="30"/>
      <c r="AJ52" s="30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9"/>
      <c r="C53" s="20"/>
      <c r="D53" s="21"/>
      <c r="E53" s="22"/>
      <c r="F53" s="23"/>
      <c r="G53" s="23"/>
      <c r="H53" s="24"/>
      <c r="I53" s="19"/>
      <c r="J53" s="20"/>
      <c r="K53" s="21"/>
      <c r="L53" s="22"/>
      <c r="M53" s="25"/>
      <c r="N53" s="23"/>
      <c r="O53" s="26"/>
      <c r="P53" s="19"/>
      <c r="Q53" s="20"/>
      <c r="R53" s="21"/>
      <c r="S53" s="27"/>
      <c r="T53" s="23"/>
      <c r="U53" s="23"/>
      <c r="V53" s="24"/>
      <c r="W53" s="19"/>
      <c r="X53" s="20"/>
      <c r="Y53" s="21"/>
      <c r="Z53" s="28"/>
      <c r="AA53" s="19"/>
      <c r="AB53" s="20"/>
      <c r="AC53" s="21"/>
      <c r="AD53" s="28"/>
      <c r="AE53" s="19"/>
      <c r="AF53" s="20"/>
      <c r="AG53" s="21"/>
      <c r="AH53" s="29"/>
      <c r="AI53" s="30"/>
      <c r="AJ53" s="30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9"/>
      <c r="C54" s="20"/>
      <c r="D54" s="21"/>
      <c r="E54" s="22"/>
      <c r="F54" s="23"/>
      <c r="G54" s="23"/>
      <c r="H54" s="24"/>
      <c r="I54" s="19"/>
      <c r="J54" s="20"/>
      <c r="K54" s="21"/>
      <c r="L54" s="22"/>
      <c r="M54" s="25"/>
      <c r="N54" s="23"/>
      <c r="O54" s="26"/>
      <c r="P54" s="19"/>
      <c r="Q54" s="20"/>
      <c r="R54" s="21"/>
      <c r="S54" s="27"/>
      <c r="T54" s="23"/>
      <c r="U54" s="23"/>
      <c r="V54" s="24"/>
      <c r="W54" s="19"/>
      <c r="X54" s="20"/>
      <c r="Y54" s="21"/>
      <c r="Z54" s="28"/>
      <c r="AA54" s="19"/>
      <c r="AB54" s="20"/>
      <c r="AC54" s="21"/>
      <c r="AD54" s="28"/>
      <c r="AE54" s="19"/>
      <c r="AF54" s="20"/>
      <c r="AG54" s="21"/>
      <c r="AH54" s="29"/>
      <c r="AI54" s="30"/>
      <c r="AJ54" s="30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9"/>
      <c r="C55" s="20"/>
      <c r="D55" s="21"/>
      <c r="E55" s="22"/>
      <c r="F55" s="23"/>
      <c r="G55" s="23"/>
      <c r="H55" s="24"/>
      <c r="I55" s="19"/>
      <c r="J55" s="20"/>
      <c r="K55" s="21"/>
      <c r="L55" s="22"/>
      <c r="M55" s="25"/>
      <c r="N55" s="23"/>
      <c r="O55" s="26"/>
      <c r="P55" s="19"/>
      <c r="Q55" s="20"/>
      <c r="R55" s="21"/>
      <c r="S55" s="27"/>
      <c r="T55" s="23"/>
      <c r="U55" s="23"/>
      <c r="V55" s="24"/>
      <c r="W55" s="19"/>
      <c r="X55" s="20"/>
      <c r="Y55" s="21"/>
      <c r="Z55" s="28"/>
      <c r="AA55" s="19"/>
      <c r="AB55" s="20"/>
      <c r="AC55" s="21"/>
      <c r="AD55" s="28"/>
      <c r="AE55" s="19"/>
      <c r="AF55" s="20"/>
      <c r="AG55" s="21"/>
      <c r="AH55" s="29"/>
      <c r="AI55" s="30"/>
      <c r="AJ55" s="30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9"/>
      <c r="C56" s="20"/>
      <c r="D56" s="21"/>
      <c r="E56" s="22"/>
      <c r="F56" s="23"/>
      <c r="G56" s="23"/>
      <c r="H56" s="24"/>
      <c r="I56" s="19"/>
      <c r="J56" s="20"/>
      <c r="K56" s="21"/>
      <c r="L56" s="22"/>
      <c r="M56" s="25"/>
      <c r="N56" s="23"/>
      <c r="O56" s="26"/>
      <c r="P56" s="19"/>
      <c r="Q56" s="20"/>
      <c r="R56" s="21"/>
      <c r="S56" s="27"/>
      <c r="T56" s="23"/>
      <c r="U56" s="23"/>
      <c r="V56" s="24"/>
      <c r="W56" s="19"/>
      <c r="X56" s="20"/>
      <c r="Y56" s="21"/>
      <c r="Z56" s="28"/>
      <c r="AA56" s="19"/>
      <c r="AB56" s="20"/>
      <c r="AC56" s="21"/>
      <c r="AD56" s="28"/>
      <c r="AE56" s="19"/>
      <c r="AF56" s="20"/>
      <c r="AG56" s="21"/>
      <c r="AH56" s="29"/>
      <c r="AI56" s="30"/>
      <c r="AJ56" s="30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9"/>
      <c r="C57" s="20"/>
      <c r="D57" s="21"/>
      <c r="E57" s="22"/>
      <c r="F57" s="23"/>
      <c r="G57" s="23"/>
      <c r="H57" s="24"/>
      <c r="I57" s="19"/>
      <c r="J57" s="20"/>
      <c r="K57" s="21"/>
      <c r="L57" s="22"/>
      <c r="M57" s="25"/>
      <c r="N57" s="23"/>
      <c r="O57" s="26"/>
      <c r="P57" s="19"/>
      <c r="Q57" s="20"/>
      <c r="R57" s="21"/>
      <c r="S57" s="27"/>
      <c r="T57" s="23"/>
      <c r="U57" s="23"/>
      <c r="V57" s="24"/>
      <c r="W57" s="19"/>
      <c r="X57" s="20"/>
      <c r="Y57" s="21"/>
      <c r="Z57" s="28"/>
      <c r="AA57" s="19"/>
      <c r="AB57" s="20"/>
      <c r="AC57" s="21"/>
      <c r="AD57" s="28"/>
      <c r="AE57" s="19"/>
      <c r="AF57" s="20"/>
      <c r="AG57" s="21"/>
      <c r="AH57" s="29"/>
      <c r="AI57" s="30"/>
      <c r="AJ57" s="30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9"/>
      <c r="C58" s="20"/>
      <c r="D58" s="21"/>
      <c r="E58" s="22"/>
      <c r="F58" s="23"/>
      <c r="G58" s="23"/>
      <c r="H58" s="24"/>
      <c r="I58" s="19"/>
      <c r="J58" s="20"/>
      <c r="K58" s="21"/>
      <c r="L58" s="22"/>
      <c r="M58" s="25"/>
      <c r="N58" s="23"/>
      <c r="O58" s="26"/>
      <c r="P58" s="19"/>
      <c r="Q58" s="20"/>
      <c r="R58" s="21"/>
      <c r="S58" s="27"/>
      <c r="T58" s="23"/>
      <c r="U58" s="23"/>
      <c r="V58" s="24"/>
      <c r="W58" s="19"/>
      <c r="X58" s="20"/>
      <c r="Y58" s="21"/>
      <c r="Z58" s="28"/>
      <c r="AA58" s="19"/>
      <c r="AB58" s="20"/>
      <c r="AC58" s="21"/>
      <c r="AD58" s="28"/>
      <c r="AE58" s="19"/>
      <c r="AF58" s="20"/>
      <c r="AG58" s="21"/>
      <c r="AH58" s="29"/>
      <c r="AI58" s="30"/>
      <c r="AJ58" s="30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9"/>
      <c r="C59" s="20"/>
      <c r="D59" s="21"/>
      <c r="E59" s="22"/>
      <c r="F59" s="23"/>
      <c r="G59" s="23"/>
      <c r="H59" s="24"/>
      <c r="I59" s="19"/>
      <c r="J59" s="20"/>
      <c r="K59" s="21"/>
      <c r="L59" s="22"/>
      <c r="M59" s="25"/>
      <c r="N59" s="23"/>
      <c r="O59" s="26"/>
      <c r="P59" s="19"/>
      <c r="Q59" s="20"/>
      <c r="R59" s="21"/>
      <c r="S59" s="27"/>
      <c r="T59" s="23"/>
      <c r="U59" s="23"/>
      <c r="V59" s="24"/>
      <c r="W59" s="19"/>
      <c r="X59" s="20"/>
      <c r="Y59" s="21"/>
      <c r="Z59" s="28"/>
      <c r="AA59" s="19"/>
      <c r="AB59" s="20"/>
      <c r="AC59" s="21"/>
      <c r="AD59" s="28"/>
      <c r="AE59" s="19"/>
      <c r="AF59" s="20"/>
      <c r="AG59" s="21"/>
      <c r="AH59" s="29"/>
      <c r="AI59" s="30"/>
      <c r="AJ59" s="30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9"/>
      <c r="C60" s="20"/>
      <c r="D60" s="21"/>
      <c r="E60" s="22"/>
      <c r="F60" s="23"/>
      <c r="G60" s="23"/>
      <c r="H60" s="24"/>
      <c r="I60" s="19"/>
      <c r="J60" s="20"/>
      <c r="K60" s="21"/>
      <c r="L60" s="22"/>
      <c r="M60" s="25"/>
      <c r="N60" s="23"/>
      <c r="O60" s="26"/>
      <c r="P60" s="19"/>
      <c r="Q60" s="20"/>
      <c r="R60" s="21"/>
      <c r="S60" s="27"/>
      <c r="T60" s="23"/>
      <c r="U60" s="23"/>
      <c r="V60" s="24"/>
      <c r="W60" s="19"/>
      <c r="X60" s="20"/>
      <c r="Y60" s="21"/>
      <c r="Z60" s="28"/>
      <c r="AA60" s="19"/>
      <c r="AB60" s="20"/>
      <c r="AC60" s="21"/>
      <c r="AD60" s="28"/>
      <c r="AE60" s="19"/>
      <c r="AF60" s="20"/>
      <c r="AG60" s="21"/>
      <c r="AH60" s="29"/>
      <c r="AI60" s="30"/>
      <c r="AJ60" s="30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9"/>
      <c r="C61" s="20"/>
      <c r="D61" s="21"/>
      <c r="E61" s="22"/>
      <c r="F61" s="23"/>
      <c r="G61" s="23"/>
      <c r="H61" s="24"/>
      <c r="I61" s="19"/>
      <c r="J61" s="20"/>
      <c r="K61" s="21"/>
      <c r="L61" s="22"/>
      <c r="M61" s="25"/>
      <c r="N61" s="23"/>
      <c r="O61" s="26"/>
      <c r="P61" s="19"/>
      <c r="Q61" s="20"/>
      <c r="R61" s="21"/>
      <c r="S61" s="27"/>
      <c r="T61" s="23"/>
      <c r="U61" s="23"/>
      <c r="V61" s="24"/>
      <c r="W61" s="19"/>
      <c r="X61" s="20"/>
      <c r="Y61" s="21"/>
      <c r="Z61" s="28"/>
      <c r="AA61" s="19"/>
      <c r="AB61" s="20"/>
      <c r="AC61" s="21"/>
      <c r="AD61" s="28"/>
      <c r="AE61" s="19"/>
      <c r="AF61" s="20"/>
      <c r="AG61" s="21"/>
      <c r="AH61" s="29"/>
      <c r="AI61" s="30"/>
      <c r="AJ61" s="30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9"/>
      <c r="C62" s="20"/>
      <c r="D62" s="21"/>
      <c r="E62" s="22"/>
      <c r="F62" s="23"/>
      <c r="G62" s="23"/>
      <c r="H62" s="24"/>
      <c r="I62" s="19"/>
      <c r="J62" s="20"/>
      <c r="K62" s="21"/>
      <c r="L62" s="22"/>
      <c r="M62" s="25"/>
      <c r="N62" s="23"/>
      <c r="O62" s="26"/>
      <c r="P62" s="19"/>
      <c r="Q62" s="20"/>
      <c r="R62" s="21"/>
      <c r="S62" s="27"/>
      <c r="T62" s="23"/>
      <c r="U62" s="23"/>
      <c r="V62" s="24"/>
      <c r="W62" s="19"/>
      <c r="X62" s="20"/>
      <c r="Y62" s="21"/>
      <c r="Z62" s="28"/>
      <c r="AA62" s="19"/>
      <c r="AB62" s="20"/>
      <c r="AC62" s="21"/>
      <c r="AD62" s="28"/>
      <c r="AE62" s="19"/>
      <c r="AF62" s="20"/>
      <c r="AG62" s="21"/>
      <c r="AH62" s="29"/>
      <c r="AI62" s="30"/>
      <c r="AJ62" s="30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9"/>
      <c r="C63" s="20"/>
      <c r="D63" s="21"/>
      <c r="E63" s="22"/>
      <c r="F63" s="23"/>
      <c r="G63" s="23"/>
      <c r="H63" s="24"/>
      <c r="I63" s="19"/>
      <c r="J63" s="20"/>
      <c r="K63" s="21"/>
      <c r="L63" s="22"/>
      <c r="M63" s="25"/>
      <c r="N63" s="23"/>
      <c r="O63" s="26"/>
      <c r="P63" s="19"/>
      <c r="Q63" s="20"/>
      <c r="R63" s="21"/>
      <c r="S63" s="27"/>
      <c r="T63" s="23"/>
      <c r="U63" s="23"/>
      <c r="V63" s="24"/>
      <c r="W63" s="19"/>
      <c r="X63" s="20"/>
      <c r="Y63" s="21"/>
      <c r="Z63" s="28"/>
      <c r="AA63" s="19"/>
      <c r="AB63" s="20"/>
      <c r="AC63" s="21"/>
      <c r="AD63" s="28"/>
      <c r="AE63" s="19"/>
      <c r="AF63" s="20"/>
      <c r="AG63" s="21"/>
      <c r="AH63" s="29"/>
      <c r="AI63" s="30"/>
      <c r="AJ63" s="30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9"/>
      <c r="C64" s="20"/>
      <c r="D64" s="21"/>
      <c r="E64" s="22"/>
      <c r="F64" s="23"/>
      <c r="G64" s="23"/>
      <c r="H64" s="24"/>
      <c r="I64" s="19"/>
      <c r="J64" s="20"/>
      <c r="K64" s="21"/>
      <c r="L64" s="22"/>
      <c r="M64" s="25"/>
      <c r="N64" s="23"/>
      <c r="O64" s="26"/>
      <c r="P64" s="19"/>
      <c r="Q64" s="20"/>
      <c r="R64" s="21"/>
      <c r="S64" s="27"/>
      <c r="T64" s="23"/>
      <c r="U64" s="23"/>
      <c r="V64" s="24"/>
      <c r="W64" s="19"/>
      <c r="X64" s="20"/>
      <c r="Y64" s="21"/>
      <c r="Z64" s="28"/>
      <c r="AA64" s="19"/>
      <c r="AB64" s="20"/>
      <c r="AC64" s="21"/>
      <c r="AD64" s="28"/>
      <c r="AE64" s="19"/>
      <c r="AF64" s="20"/>
      <c r="AG64" s="21"/>
      <c r="AH64" s="29"/>
      <c r="AI64" s="30"/>
      <c r="AJ64" s="30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9"/>
      <c r="C65" s="20"/>
      <c r="D65" s="21"/>
      <c r="E65" s="22"/>
      <c r="F65" s="23"/>
      <c r="G65" s="23"/>
      <c r="H65" s="24"/>
      <c r="I65" s="19"/>
      <c r="J65" s="20"/>
      <c r="K65" s="21"/>
      <c r="L65" s="22"/>
      <c r="M65" s="25"/>
      <c r="N65" s="23"/>
      <c r="O65" s="26"/>
      <c r="P65" s="19"/>
      <c r="Q65" s="20"/>
      <c r="R65" s="21"/>
      <c r="S65" s="27"/>
      <c r="T65" s="23"/>
      <c r="U65" s="23"/>
      <c r="V65" s="24"/>
      <c r="W65" s="19"/>
      <c r="X65" s="20"/>
      <c r="Y65" s="21"/>
      <c r="Z65" s="28"/>
      <c r="AA65" s="19"/>
      <c r="AB65" s="20"/>
      <c r="AC65" s="21"/>
      <c r="AD65" s="28"/>
      <c r="AE65" s="19"/>
      <c r="AF65" s="20"/>
      <c r="AG65" s="21"/>
      <c r="AH65" s="29"/>
      <c r="AI65" s="30"/>
      <c r="AJ65" s="30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9"/>
      <c r="C66" s="20"/>
      <c r="D66" s="21"/>
      <c r="E66" s="22"/>
      <c r="F66" s="23"/>
      <c r="G66" s="23"/>
      <c r="H66" s="24"/>
      <c r="I66" s="19"/>
      <c r="J66" s="20"/>
      <c r="K66" s="21"/>
      <c r="L66" s="22"/>
      <c r="M66" s="25"/>
      <c r="N66" s="23"/>
      <c r="O66" s="26"/>
      <c r="P66" s="19"/>
      <c r="Q66" s="20"/>
      <c r="R66" s="21"/>
      <c r="S66" s="27"/>
      <c r="T66" s="23"/>
      <c r="U66" s="23"/>
      <c r="V66" s="24"/>
      <c r="W66" s="19"/>
      <c r="X66" s="20"/>
      <c r="Y66" s="21"/>
      <c r="Z66" s="28"/>
      <c r="AA66" s="19"/>
      <c r="AB66" s="20"/>
      <c r="AC66" s="21"/>
      <c r="AD66" s="28"/>
      <c r="AE66" s="19"/>
      <c r="AF66" s="20"/>
      <c r="AG66" s="21"/>
      <c r="AH66" s="29"/>
      <c r="AI66" s="30"/>
      <c r="AJ66" s="30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9"/>
      <c r="C67" s="20"/>
      <c r="D67" s="21"/>
      <c r="E67" s="22"/>
      <c r="F67" s="23"/>
      <c r="G67" s="23"/>
      <c r="H67" s="24"/>
      <c r="I67" s="19"/>
      <c r="J67" s="20"/>
      <c r="K67" s="21"/>
      <c r="L67" s="22"/>
      <c r="M67" s="25"/>
      <c r="N67" s="23"/>
      <c r="O67" s="26"/>
      <c r="P67" s="19"/>
      <c r="Q67" s="20"/>
      <c r="R67" s="21"/>
      <c r="S67" s="27"/>
      <c r="T67" s="23"/>
      <c r="U67" s="23"/>
      <c r="V67" s="24"/>
      <c r="W67" s="19"/>
      <c r="X67" s="20"/>
      <c r="Y67" s="21"/>
      <c r="Z67" s="28"/>
      <c r="AA67" s="19"/>
      <c r="AB67" s="20"/>
      <c r="AC67" s="21"/>
      <c r="AD67" s="28"/>
      <c r="AE67" s="19"/>
      <c r="AF67" s="20"/>
      <c r="AG67" s="21"/>
      <c r="AH67" s="29"/>
      <c r="AI67" s="30"/>
      <c r="AJ67" s="30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9"/>
      <c r="C68" s="20"/>
      <c r="D68" s="21"/>
      <c r="E68" s="22"/>
      <c r="F68" s="23"/>
      <c r="G68" s="23"/>
      <c r="H68" s="24"/>
      <c r="I68" s="19"/>
      <c r="J68" s="20"/>
      <c r="K68" s="21"/>
      <c r="L68" s="22"/>
      <c r="M68" s="25"/>
      <c r="N68" s="23"/>
      <c r="O68" s="26"/>
      <c r="P68" s="19"/>
      <c r="Q68" s="20"/>
      <c r="R68" s="21"/>
      <c r="S68" s="27"/>
      <c r="T68" s="23"/>
      <c r="U68" s="23"/>
      <c r="V68" s="24"/>
      <c r="W68" s="19"/>
      <c r="X68" s="20"/>
      <c r="Y68" s="21"/>
      <c r="Z68" s="28"/>
      <c r="AA68" s="19"/>
      <c r="AB68" s="20"/>
      <c r="AC68" s="21"/>
      <c r="AD68" s="28"/>
      <c r="AE68" s="19"/>
      <c r="AF68" s="20"/>
      <c r="AG68" s="21"/>
      <c r="AH68" s="29"/>
      <c r="AI68" s="30"/>
      <c r="AJ68" s="30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9"/>
      <c r="C69" s="20"/>
      <c r="D69" s="21"/>
      <c r="E69" s="22"/>
      <c r="F69" s="23"/>
      <c r="G69" s="23"/>
      <c r="H69" s="24"/>
      <c r="I69" s="19"/>
      <c r="J69" s="20"/>
      <c r="K69" s="21"/>
      <c r="L69" s="22"/>
      <c r="M69" s="25"/>
      <c r="N69" s="23"/>
      <c r="O69" s="26"/>
      <c r="P69" s="19"/>
      <c r="Q69" s="20"/>
      <c r="R69" s="21"/>
      <c r="S69" s="27"/>
      <c r="T69" s="23"/>
      <c r="U69" s="23"/>
      <c r="V69" s="24"/>
      <c r="W69" s="19"/>
      <c r="X69" s="20"/>
      <c r="Y69" s="21"/>
      <c r="Z69" s="28"/>
      <c r="AA69" s="19"/>
      <c r="AB69" s="20"/>
      <c r="AC69" s="21"/>
      <c r="AD69" s="28"/>
      <c r="AE69" s="19"/>
      <c r="AF69" s="20"/>
      <c r="AG69" s="21"/>
      <c r="AH69" s="29"/>
      <c r="AI69" s="30"/>
      <c r="AJ69" s="30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9"/>
      <c r="C70" s="20"/>
      <c r="D70" s="21"/>
      <c r="E70" s="22"/>
      <c r="F70" s="23"/>
      <c r="G70" s="23"/>
      <c r="H70" s="24"/>
      <c r="I70" s="19"/>
      <c r="J70" s="20"/>
      <c r="K70" s="21"/>
      <c r="L70" s="22"/>
      <c r="M70" s="25"/>
      <c r="N70" s="23"/>
      <c r="O70" s="26"/>
      <c r="P70" s="19"/>
      <c r="Q70" s="20"/>
      <c r="R70" s="21"/>
      <c r="S70" s="27"/>
      <c r="T70" s="23"/>
      <c r="U70" s="23"/>
      <c r="V70" s="24"/>
      <c r="W70" s="19"/>
      <c r="X70" s="20"/>
      <c r="Y70" s="21"/>
      <c r="Z70" s="28"/>
      <c r="AA70" s="19"/>
      <c r="AB70" s="20"/>
      <c r="AC70" s="21"/>
      <c r="AD70" s="28"/>
      <c r="AE70" s="19"/>
      <c r="AF70" s="20"/>
      <c r="AG70" s="21"/>
      <c r="AH70" s="29"/>
      <c r="AI70" s="30"/>
      <c r="AJ70" s="30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9"/>
      <c r="C71" s="20"/>
      <c r="D71" s="21"/>
      <c r="E71" s="22"/>
      <c r="F71" s="23"/>
      <c r="G71" s="23"/>
      <c r="H71" s="24"/>
      <c r="I71" s="19"/>
      <c r="J71" s="20"/>
      <c r="K71" s="21"/>
      <c r="L71" s="22"/>
      <c r="M71" s="25"/>
      <c r="N71" s="23"/>
      <c r="O71" s="26"/>
      <c r="P71" s="19"/>
      <c r="Q71" s="20"/>
      <c r="R71" s="21"/>
      <c r="S71" s="27"/>
      <c r="T71" s="23"/>
      <c r="U71" s="23"/>
      <c r="V71" s="24"/>
      <c r="W71" s="19"/>
      <c r="X71" s="20"/>
      <c r="Y71" s="21"/>
      <c r="Z71" s="28"/>
      <c r="AA71" s="19"/>
      <c r="AB71" s="20"/>
      <c r="AC71" s="21"/>
      <c r="AD71" s="28"/>
      <c r="AE71" s="19"/>
      <c r="AF71" s="20"/>
      <c r="AG71" s="21"/>
      <c r="AH71" s="29"/>
      <c r="AI71" s="30"/>
      <c r="AJ71" s="30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9"/>
      <c r="C72" s="20"/>
      <c r="D72" s="21"/>
      <c r="E72" s="22"/>
      <c r="F72" s="23"/>
      <c r="G72" s="23"/>
      <c r="H72" s="24"/>
      <c r="I72" s="19"/>
      <c r="J72" s="20"/>
      <c r="K72" s="21"/>
      <c r="L72" s="22"/>
      <c r="M72" s="25"/>
      <c r="N72" s="23"/>
      <c r="O72" s="26"/>
      <c r="P72" s="19"/>
      <c r="Q72" s="20"/>
      <c r="R72" s="21"/>
      <c r="S72" s="27"/>
      <c r="T72" s="23"/>
      <c r="U72" s="23"/>
      <c r="V72" s="24"/>
      <c r="W72" s="19"/>
      <c r="X72" s="20"/>
      <c r="Y72" s="21"/>
      <c r="Z72" s="28"/>
      <c r="AA72" s="19"/>
      <c r="AB72" s="20"/>
      <c r="AC72" s="21"/>
      <c r="AD72" s="28"/>
      <c r="AE72" s="19"/>
      <c r="AF72" s="20"/>
      <c r="AG72" s="21"/>
      <c r="AH72" s="29"/>
      <c r="AI72" s="30"/>
      <c r="AJ72" s="30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9"/>
      <c r="C73" s="20"/>
      <c r="D73" s="21"/>
      <c r="E73" s="22"/>
      <c r="F73" s="23"/>
      <c r="G73" s="23"/>
      <c r="H73" s="24"/>
      <c r="I73" s="19"/>
      <c r="J73" s="20"/>
      <c r="K73" s="21"/>
      <c r="L73" s="22"/>
      <c r="M73" s="25"/>
      <c r="N73" s="23"/>
      <c r="O73" s="26"/>
      <c r="P73" s="19"/>
      <c r="Q73" s="20"/>
      <c r="R73" s="21"/>
      <c r="S73" s="27"/>
      <c r="T73" s="23"/>
      <c r="U73" s="23"/>
      <c r="V73" s="24"/>
      <c r="W73" s="19"/>
      <c r="X73" s="20"/>
      <c r="Y73" s="21"/>
      <c r="Z73" s="28"/>
      <c r="AA73" s="19"/>
      <c r="AB73" s="20"/>
      <c r="AC73" s="21"/>
      <c r="AD73" s="28"/>
      <c r="AE73" s="19"/>
      <c r="AF73" s="20"/>
      <c r="AG73" s="21"/>
      <c r="AH73" s="29"/>
      <c r="AI73" s="30"/>
      <c r="AJ73" s="30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9"/>
      <c r="C74" s="20"/>
      <c r="D74" s="21"/>
      <c r="E74" s="22"/>
      <c r="F74" s="23"/>
      <c r="G74" s="23"/>
      <c r="H74" s="24"/>
      <c r="I74" s="19"/>
      <c r="J74" s="20"/>
      <c r="K74" s="21"/>
      <c r="L74" s="22"/>
      <c r="M74" s="25"/>
      <c r="N74" s="23"/>
      <c r="O74" s="26"/>
      <c r="P74" s="19"/>
      <c r="Q74" s="20"/>
      <c r="R74" s="21"/>
      <c r="S74" s="27"/>
      <c r="T74" s="23"/>
      <c r="U74" s="23"/>
      <c r="V74" s="24"/>
      <c r="W74" s="19"/>
      <c r="X74" s="20"/>
      <c r="Y74" s="21"/>
      <c r="Z74" s="28"/>
      <c r="AA74" s="19"/>
      <c r="AB74" s="20"/>
      <c r="AC74" s="21"/>
      <c r="AD74" s="28"/>
      <c r="AE74" s="19"/>
      <c r="AF74" s="20"/>
      <c r="AG74" s="21"/>
      <c r="AH74" s="29"/>
      <c r="AI74" s="30"/>
      <c r="AJ74" s="30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9"/>
      <c r="C75" s="20"/>
      <c r="D75" s="21"/>
      <c r="E75" s="22"/>
      <c r="F75" s="23"/>
      <c r="G75" s="23"/>
      <c r="H75" s="24"/>
      <c r="I75" s="19"/>
      <c r="J75" s="20"/>
      <c r="K75" s="21"/>
      <c r="L75" s="22"/>
      <c r="M75" s="25"/>
      <c r="N75" s="23"/>
      <c r="O75" s="26"/>
      <c r="P75" s="19"/>
      <c r="Q75" s="20"/>
      <c r="R75" s="21"/>
      <c r="S75" s="27"/>
      <c r="T75" s="23"/>
      <c r="U75" s="23"/>
      <c r="V75" s="24"/>
      <c r="W75" s="19"/>
      <c r="X75" s="20"/>
      <c r="Y75" s="21"/>
      <c r="Z75" s="28"/>
      <c r="AA75" s="19"/>
      <c r="AB75" s="20"/>
      <c r="AC75" s="21"/>
      <c r="AD75" s="28"/>
      <c r="AE75" s="19"/>
      <c r="AF75" s="20"/>
      <c r="AG75" s="21"/>
      <c r="AH75" s="29"/>
      <c r="AI75" s="30"/>
      <c r="AJ75" s="30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9"/>
      <c r="C76" s="20"/>
      <c r="D76" s="21"/>
      <c r="E76" s="22"/>
      <c r="F76" s="23"/>
      <c r="G76" s="23"/>
      <c r="H76" s="24"/>
      <c r="I76" s="19"/>
      <c r="J76" s="20"/>
      <c r="K76" s="21"/>
      <c r="L76" s="22"/>
      <c r="M76" s="25"/>
      <c r="N76" s="23"/>
      <c r="O76" s="26"/>
      <c r="P76" s="19"/>
      <c r="Q76" s="20"/>
      <c r="R76" s="21"/>
      <c r="S76" s="27"/>
      <c r="T76" s="23"/>
      <c r="U76" s="23"/>
      <c r="V76" s="24"/>
      <c r="W76" s="19"/>
      <c r="X76" s="20"/>
      <c r="Y76" s="21"/>
      <c r="Z76" s="28"/>
      <c r="AA76" s="19"/>
      <c r="AB76" s="20"/>
      <c r="AC76" s="21"/>
      <c r="AD76" s="28"/>
      <c r="AE76" s="19"/>
      <c r="AF76" s="20"/>
      <c r="AG76" s="21"/>
      <c r="AH76" s="29"/>
      <c r="AI76" s="30"/>
      <c r="AJ76" s="30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9"/>
      <c r="C77" s="20"/>
      <c r="D77" s="21"/>
      <c r="E77" s="22"/>
      <c r="F77" s="23"/>
      <c r="G77" s="23"/>
      <c r="H77" s="24"/>
      <c r="I77" s="19"/>
      <c r="J77" s="20"/>
      <c r="K77" s="21"/>
      <c r="L77" s="22"/>
      <c r="M77" s="25"/>
      <c r="N77" s="23"/>
      <c r="O77" s="26"/>
      <c r="P77" s="19"/>
      <c r="Q77" s="20"/>
      <c r="R77" s="21"/>
      <c r="S77" s="27"/>
      <c r="T77" s="23"/>
      <c r="U77" s="23"/>
      <c r="V77" s="24"/>
      <c r="W77" s="19"/>
      <c r="X77" s="20"/>
      <c r="Y77" s="21"/>
      <c r="Z77" s="28"/>
      <c r="AA77" s="19"/>
      <c r="AB77" s="20"/>
      <c r="AC77" s="21"/>
      <c r="AD77" s="28"/>
      <c r="AE77" s="19"/>
      <c r="AF77" s="20"/>
      <c r="AG77" s="21"/>
      <c r="AH77" s="29"/>
      <c r="AI77" s="30"/>
      <c r="AJ77" s="30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9"/>
      <c r="C78" s="20"/>
      <c r="D78" s="21"/>
      <c r="E78" s="22"/>
      <c r="F78" s="23"/>
      <c r="G78" s="23"/>
      <c r="H78" s="24"/>
      <c r="I78" s="19"/>
      <c r="J78" s="20"/>
      <c r="K78" s="21"/>
      <c r="L78" s="22"/>
      <c r="M78" s="25"/>
      <c r="N78" s="23"/>
      <c r="O78" s="26"/>
      <c r="P78" s="19"/>
      <c r="Q78" s="20"/>
      <c r="R78" s="21"/>
      <c r="S78" s="27"/>
      <c r="T78" s="23"/>
      <c r="U78" s="23"/>
      <c r="V78" s="24"/>
      <c r="W78" s="19"/>
      <c r="X78" s="20"/>
      <c r="Y78" s="21"/>
      <c r="Z78" s="28"/>
      <c r="AA78" s="19"/>
      <c r="AB78" s="20"/>
      <c r="AC78" s="21"/>
      <c r="AD78" s="28"/>
      <c r="AE78" s="19"/>
      <c r="AF78" s="20"/>
      <c r="AG78" s="21"/>
      <c r="AH78" s="29"/>
      <c r="AI78" s="30"/>
      <c r="AJ78" s="30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9"/>
      <c r="C79" s="20"/>
      <c r="D79" s="21"/>
      <c r="E79" s="22"/>
      <c r="F79" s="23"/>
      <c r="G79" s="23"/>
      <c r="H79" s="24"/>
      <c r="I79" s="19"/>
      <c r="J79" s="20"/>
      <c r="K79" s="21"/>
      <c r="L79" s="22"/>
      <c r="M79" s="25"/>
      <c r="N79" s="23"/>
      <c r="O79" s="26"/>
      <c r="P79" s="19"/>
      <c r="Q79" s="20"/>
      <c r="R79" s="21"/>
      <c r="S79" s="27"/>
      <c r="T79" s="23"/>
      <c r="U79" s="23"/>
      <c r="V79" s="24"/>
      <c r="W79" s="19"/>
      <c r="X79" s="20"/>
      <c r="Y79" s="21"/>
      <c r="Z79" s="28"/>
      <c r="AA79" s="19"/>
      <c r="AB79" s="20"/>
      <c r="AC79" s="21"/>
      <c r="AD79" s="28"/>
      <c r="AE79" s="19"/>
      <c r="AF79" s="20"/>
      <c r="AG79" s="21"/>
      <c r="AH79" s="29"/>
      <c r="AI79" s="30"/>
      <c r="AJ79" s="30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9"/>
      <c r="C80" s="20"/>
      <c r="D80" s="21"/>
      <c r="E80" s="22"/>
      <c r="F80" s="23"/>
      <c r="G80" s="23"/>
      <c r="H80" s="24"/>
      <c r="I80" s="19"/>
      <c r="J80" s="20"/>
      <c r="K80" s="21"/>
      <c r="L80" s="22"/>
      <c r="M80" s="25"/>
      <c r="N80" s="23"/>
      <c r="O80" s="26"/>
      <c r="P80" s="19"/>
      <c r="Q80" s="20"/>
      <c r="R80" s="21"/>
      <c r="S80" s="27"/>
      <c r="T80" s="23"/>
      <c r="U80" s="23"/>
      <c r="V80" s="24"/>
      <c r="W80" s="19"/>
      <c r="X80" s="20"/>
      <c r="Y80" s="21"/>
      <c r="Z80" s="28"/>
      <c r="AA80" s="19"/>
      <c r="AB80" s="20"/>
      <c r="AC80" s="21"/>
      <c r="AD80" s="28"/>
      <c r="AE80" s="19"/>
      <c r="AF80" s="20"/>
      <c r="AG80" s="21"/>
      <c r="AH80" s="29"/>
      <c r="AI80" s="30"/>
      <c r="AJ80" s="30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9"/>
      <c r="C81" s="20"/>
      <c r="D81" s="21"/>
      <c r="E81" s="22"/>
      <c r="F81" s="23"/>
      <c r="G81" s="23"/>
      <c r="H81" s="24"/>
      <c r="I81" s="19"/>
      <c r="J81" s="20"/>
      <c r="K81" s="21"/>
      <c r="L81" s="22"/>
      <c r="M81" s="25"/>
      <c r="N81" s="23"/>
      <c r="O81" s="26"/>
      <c r="P81" s="19"/>
      <c r="Q81" s="20"/>
      <c r="R81" s="21"/>
      <c r="S81" s="27"/>
      <c r="T81" s="23"/>
      <c r="U81" s="23"/>
      <c r="V81" s="24"/>
      <c r="W81" s="19"/>
      <c r="X81" s="20"/>
      <c r="Y81" s="21"/>
      <c r="Z81" s="28"/>
      <c r="AA81" s="19"/>
      <c r="AB81" s="20"/>
      <c r="AC81" s="21"/>
      <c r="AD81" s="28"/>
      <c r="AE81" s="19"/>
      <c r="AF81" s="20"/>
      <c r="AG81" s="21"/>
      <c r="AH81" s="29"/>
      <c r="AI81" s="30"/>
      <c r="AJ81" s="30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9"/>
      <c r="C82" s="20"/>
      <c r="D82" s="21"/>
      <c r="E82" s="22"/>
      <c r="F82" s="23"/>
      <c r="G82" s="23"/>
      <c r="H82" s="24"/>
      <c r="I82" s="19"/>
      <c r="J82" s="20"/>
      <c r="K82" s="21"/>
      <c r="L82" s="22"/>
      <c r="M82" s="25"/>
      <c r="N82" s="23"/>
      <c r="O82" s="26"/>
      <c r="P82" s="19"/>
      <c r="Q82" s="20"/>
      <c r="R82" s="21"/>
      <c r="S82" s="27"/>
      <c r="T82" s="23"/>
      <c r="U82" s="23"/>
      <c r="V82" s="24"/>
      <c r="W82" s="19"/>
      <c r="X82" s="20"/>
      <c r="Y82" s="21"/>
      <c r="Z82" s="28"/>
      <c r="AA82" s="19"/>
      <c r="AB82" s="20"/>
      <c r="AC82" s="21"/>
      <c r="AD82" s="28"/>
      <c r="AE82" s="19"/>
      <c r="AF82" s="20"/>
      <c r="AG82" s="21"/>
      <c r="AH82" s="29"/>
      <c r="AI82" s="30"/>
      <c r="AJ82" s="30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9"/>
      <c r="C83" s="20"/>
      <c r="D83" s="21"/>
      <c r="E83" s="22"/>
      <c r="F83" s="23"/>
      <c r="G83" s="23"/>
      <c r="H83" s="24"/>
      <c r="I83" s="19"/>
      <c r="J83" s="20"/>
      <c r="K83" s="21"/>
      <c r="L83" s="22"/>
      <c r="M83" s="25"/>
      <c r="N83" s="23"/>
      <c r="O83" s="26"/>
      <c r="P83" s="19"/>
      <c r="Q83" s="20"/>
      <c r="R83" s="21"/>
      <c r="S83" s="27"/>
      <c r="T83" s="23"/>
      <c r="U83" s="23"/>
      <c r="V83" s="24"/>
      <c r="W83" s="19"/>
      <c r="X83" s="20"/>
      <c r="Y83" s="21"/>
      <c r="Z83" s="28"/>
      <c r="AA83" s="19"/>
      <c r="AB83" s="20"/>
      <c r="AC83" s="21"/>
      <c r="AD83" s="28"/>
      <c r="AE83" s="19"/>
      <c r="AF83" s="20"/>
      <c r="AG83" s="21"/>
      <c r="AH83" s="29"/>
      <c r="AI83" s="30"/>
      <c r="AJ83" s="30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9"/>
      <c r="C84" s="20"/>
      <c r="D84" s="21"/>
      <c r="E84" s="22"/>
      <c r="F84" s="23"/>
      <c r="G84" s="23"/>
      <c r="H84" s="24"/>
      <c r="I84" s="19"/>
      <c r="J84" s="20"/>
      <c r="K84" s="21"/>
      <c r="L84" s="22"/>
      <c r="M84" s="25"/>
      <c r="N84" s="23"/>
      <c r="O84" s="26"/>
      <c r="P84" s="19"/>
      <c r="Q84" s="20"/>
      <c r="R84" s="21"/>
      <c r="S84" s="27"/>
      <c r="T84" s="23"/>
      <c r="U84" s="23"/>
      <c r="V84" s="24"/>
      <c r="W84" s="19"/>
      <c r="X84" s="20"/>
      <c r="Y84" s="21"/>
      <c r="Z84" s="28"/>
      <c r="AA84" s="19"/>
      <c r="AB84" s="20"/>
      <c r="AC84" s="21"/>
      <c r="AD84" s="28"/>
      <c r="AE84" s="19"/>
      <c r="AF84" s="20"/>
      <c r="AG84" s="21"/>
      <c r="AH84" s="29"/>
      <c r="AI84" s="30"/>
      <c r="AJ84" s="30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9"/>
      <c r="C85" s="20"/>
      <c r="D85" s="21"/>
      <c r="E85" s="22"/>
      <c r="F85" s="23"/>
      <c r="G85" s="23"/>
      <c r="H85" s="24"/>
      <c r="I85" s="19"/>
      <c r="J85" s="20"/>
      <c r="K85" s="21"/>
      <c r="L85" s="22"/>
      <c r="M85" s="25"/>
      <c r="N85" s="23"/>
      <c r="O85" s="26"/>
      <c r="P85" s="19"/>
      <c r="Q85" s="20"/>
      <c r="R85" s="21"/>
      <c r="S85" s="27"/>
      <c r="T85" s="23"/>
      <c r="U85" s="23"/>
      <c r="V85" s="24"/>
      <c r="W85" s="19"/>
      <c r="X85" s="20"/>
      <c r="Y85" s="21"/>
      <c r="Z85" s="28"/>
      <c r="AA85" s="19"/>
      <c r="AB85" s="20"/>
      <c r="AC85" s="21"/>
      <c r="AD85" s="28"/>
      <c r="AE85" s="19"/>
      <c r="AF85" s="20"/>
      <c r="AG85" s="21"/>
      <c r="AH85" s="29"/>
      <c r="AI85" s="30"/>
      <c r="AJ85" s="30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9"/>
      <c r="C86" s="20"/>
      <c r="D86" s="21"/>
      <c r="E86" s="22"/>
      <c r="F86" s="23"/>
      <c r="G86" s="23"/>
      <c r="H86" s="24"/>
      <c r="I86" s="19"/>
      <c r="J86" s="20"/>
      <c r="K86" s="21"/>
      <c r="L86" s="22"/>
      <c r="M86" s="25"/>
      <c r="N86" s="23"/>
      <c r="O86" s="26"/>
      <c r="P86" s="19"/>
      <c r="Q86" s="20"/>
      <c r="R86" s="21"/>
      <c r="S86" s="27"/>
      <c r="T86" s="23"/>
      <c r="U86" s="23"/>
      <c r="V86" s="24"/>
      <c r="W86" s="19"/>
      <c r="X86" s="20"/>
      <c r="Y86" s="21"/>
      <c r="Z86" s="28"/>
      <c r="AA86" s="19"/>
      <c r="AB86" s="20"/>
      <c r="AC86" s="21"/>
      <c r="AD86" s="28"/>
      <c r="AE86" s="19"/>
      <c r="AF86" s="20"/>
      <c r="AG86" s="21"/>
      <c r="AH86" s="29"/>
      <c r="AI86" s="30"/>
      <c r="AJ86" s="30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3"/>
      <c r="C87" s="33"/>
      <c r="D87" s="33"/>
      <c r="E87" s="5"/>
      <c r="F87" s="33"/>
      <c r="G87" s="33"/>
      <c r="H87" s="34"/>
      <c r="I87" s="33"/>
      <c r="J87" s="33"/>
      <c r="K87" s="33"/>
      <c r="L87" s="33"/>
      <c r="M87" s="5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0"/>
      <c r="AJ87" s="30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3"/>
      <c r="C88" s="33"/>
      <c r="D88" s="33"/>
      <c r="E88" s="5"/>
      <c r="F88" s="33"/>
      <c r="G88" s="33"/>
      <c r="H88" s="34"/>
      <c r="I88" s="33"/>
      <c r="J88" s="33"/>
      <c r="K88" s="33"/>
      <c r="L88" s="33"/>
      <c r="M88" s="5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0"/>
      <c r="AJ88" s="30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3"/>
      <c r="C89" s="33"/>
      <c r="D89" s="33"/>
      <c r="E89" s="5"/>
      <c r="F89" s="33"/>
      <c r="G89" s="33"/>
      <c r="H89" s="34"/>
      <c r="I89" s="33"/>
      <c r="J89" s="33"/>
      <c r="K89" s="33"/>
      <c r="L89" s="33"/>
      <c r="M89" s="5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0"/>
      <c r="AJ89" s="30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3"/>
      <c r="C90" s="33"/>
      <c r="D90" s="33"/>
      <c r="E90" s="5"/>
      <c r="F90" s="33"/>
      <c r="G90" s="33"/>
      <c r="H90" s="34"/>
      <c r="I90" s="33"/>
      <c r="J90" s="33"/>
      <c r="K90" s="33"/>
      <c r="L90" s="33"/>
      <c r="M90" s="5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0"/>
      <c r="AJ90" s="30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3"/>
      <c r="C91" s="33"/>
      <c r="D91" s="33"/>
      <c r="E91" s="5"/>
      <c r="F91" s="33"/>
      <c r="G91" s="33"/>
      <c r="H91" s="34"/>
      <c r="I91" s="33"/>
      <c r="J91" s="33"/>
      <c r="K91" s="33"/>
      <c r="L91" s="33"/>
      <c r="M91" s="5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0"/>
      <c r="AJ91" s="30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3"/>
      <c r="C92" s="33"/>
      <c r="D92" s="33"/>
      <c r="E92" s="5"/>
      <c r="F92" s="33"/>
      <c r="G92" s="33"/>
      <c r="H92" s="34"/>
      <c r="I92" s="33"/>
      <c r="J92" s="33"/>
      <c r="K92" s="33"/>
      <c r="L92" s="33"/>
      <c r="M92" s="5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0"/>
      <c r="AJ92" s="30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3"/>
      <c r="C93" s="33"/>
      <c r="D93" s="33"/>
      <c r="E93" s="5"/>
      <c r="F93" s="33"/>
      <c r="G93" s="33"/>
      <c r="H93" s="34"/>
      <c r="I93" s="33"/>
      <c r="J93" s="33"/>
      <c r="K93" s="33"/>
      <c r="L93" s="33"/>
      <c r="M93" s="5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0"/>
      <c r="AJ93" s="30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3"/>
      <c r="C94" s="33"/>
      <c r="D94" s="33"/>
      <c r="E94" s="5"/>
      <c r="F94" s="33"/>
      <c r="G94" s="33"/>
      <c r="H94" s="34"/>
      <c r="I94" s="33"/>
      <c r="J94" s="33"/>
      <c r="K94" s="33"/>
      <c r="L94" s="33"/>
      <c r="M94" s="5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0"/>
      <c r="AJ94" s="30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3"/>
      <c r="C95" s="33"/>
      <c r="D95" s="33"/>
      <c r="E95" s="5"/>
      <c r="F95" s="33"/>
      <c r="G95" s="33"/>
      <c r="H95" s="34"/>
      <c r="I95" s="33"/>
      <c r="J95" s="33"/>
      <c r="K95" s="33"/>
      <c r="L95" s="33"/>
      <c r="M95" s="5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0"/>
      <c r="AJ95" s="30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4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0"/>
      <c r="AJ96" s="30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4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0"/>
      <c r="AJ97" s="30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4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0"/>
      <c r="AJ98" s="30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4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0"/>
      <c r="AJ99" s="30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4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0"/>
      <c r="AJ100" s="30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4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0"/>
      <c r="AJ101" s="30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4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0"/>
      <c r="AJ102" s="30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4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0"/>
      <c r="AJ103" s="30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4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0"/>
      <c r="AJ104" s="30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4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0"/>
      <c r="AJ105" s="30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4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0"/>
      <c r="AJ106" s="30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4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0"/>
      <c r="AJ107" s="30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4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0"/>
      <c r="AJ108" s="30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4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0"/>
      <c r="AJ109" s="30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4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0"/>
      <c r="AJ110" s="30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4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0"/>
      <c r="AJ111" s="30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4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0"/>
      <c r="AJ112" s="30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4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0"/>
      <c r="AJ113" s="30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4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0"/>
      <c r="AJ114" s="30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4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0"/>
      <c r="AJ115" s="30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4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0"/>
      <c r="AJ116" s="30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4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0"/>
      <c r="AJ117" s="30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4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0"/>
      <c r="AJ118" s="30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4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0"/>
      <c r="AJ119" s="30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4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0"/>
      <c r="AJ120" s="30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4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0"/>
      <c r="AJ121" s="30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4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0"/>
      <c r="AJ122" s="30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4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0"/>
      <c r="AJ123" s="30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4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0"/>
      <c r="AJ124" s="30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4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0"/>
      <c r="AJ125" s="30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4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0"/>
      <c r="AJ126" s="30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4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0"/>
      <c r="AJ127" s="30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4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0"/>
      <c r="AJ128" s="30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4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0"/>
      <c r="AJ129" s="30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4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0"/>
      <c r="AJ130" s="30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4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0"/>
      <c r="AJ131" s="30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4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0"/>
      <c r="AJ132" s="30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4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0"/>
      <c r="AJ133" s="30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4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0"/>
      <c r="AJ134" s="30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4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0"/>
      <c r="AJ135" s="30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4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0"/>
      <c r="AJ136" s="30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4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0"/>
      <c r="AJ137" s="30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4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0"/>
      <c r="AJ138" s="30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4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0"/>
      <c r="AJ139" s="30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4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0"/>
      <c r="AJ140" s="30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4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0"/>
      <c r="AJ141" s="30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4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0"/>
      <c r="AJ142" s="30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4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0"/>
      <c r="AJ143" s="30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4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0"/>
      <c r="AJ144" s="30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4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0"/>
      <c r="AJ145" s="30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4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0"/>
      <c r="AJ146" s="30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4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0"/>
      <c r="AJ147" s="30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4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0"/>
      <c r="AJ148" s="30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4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0"/>
      <c r="AJ149" s="30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4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0"/>
      <c r="AJ150" s="30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4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0"/>
      <c r="AJ151" s="30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4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0"/>
      <c r="AJ152" s="30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4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0"/>
      <c r="AJ153" s="30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4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0"/>
      <c r="AJ154" s="30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4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0"/>
      <c r="AJ155" s="30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4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0"/>
      <c r="AJ156" s="30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4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0"/>
      <c r="AJ157" s="30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4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0"/>
      <c r="AJ158" s="30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4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0"/>
      <c r="AJ159" s="30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4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0"/>
      <c r="AJ160" s="30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4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0"/>
      <c r="AJ161" s="30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4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0"/>
      <c r="AJ162" s="30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4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0"/>
      <c r="AJ163" s="30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4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0"/>
      <c r="AJ164" s="30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4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0"/>
      <c r="AJ165" s="30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4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0"/>
      <c r="AJ166" s="30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4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0"/>
      <c r="AJ167" s="30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4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0"/>
      <c r="AJ168" s="30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4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0"/>
      <c r="AJ169" s="30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4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0"/>
      <c r="AJ170" s="30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4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0"/>
      <c r="AJ171" s="30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4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0"/>
      <c r="AJ172" s="30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4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0"/>
      <c r="AJ173" s="30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4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0"/>
      <c r="AJ174" s="30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4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0"/>
      <c r="AJ175" s="30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4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0"/>
      <c r="AJ176" s="30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4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0"/>
      <c r="AJ177" s="30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4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0"/>
      <c r="AJ178" s="30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4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0"/>
      <c r="AJ179" s="30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4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0"/>
      <c r="AJ180" s="30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4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0"/>
      <c r="AJ181" s="30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4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0"/>
      <c r="AJ182" s="30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4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0"/>
      <c r="AJ183" s="30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4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0"/>
      <c r="AJ184" s="30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4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0"/>
      <c r="AJ185" s="30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4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0"/>
      <c r="AJ186" s="30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4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0"/>
      <c r="AJ187" s="30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4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0"/>
      <c r="AJ188" s="30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4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0"/>
      <c r="AJ189" s="30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4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0"/>
      <c r="AJ190" s="30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4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0"/>
      <c r="AJ191" s="30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4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0"/>
      <c r="AJ192" s="30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4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0"/>
      <c r="AJ193" s="30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4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0"/>
      <c r="AJ194" s="30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4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0"/>
      <c r="AJ195" s="30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4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0"/>
      <c r="AJ196" s="30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4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0"/>
      <c r="AJ197" s="30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4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0"/>
      <c r="AJ198" s="30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4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0"/>
      <c r="AJ199" s="30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4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0"/>
      <c r="AJ200" s="30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4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0"/>
      <c r="AJ201" s="30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4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0"/>
      <c r="AJ202" s="30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4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0"/>
      <c r="AJ203" s="30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4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0"/>
      <c r="AJ204" s="30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4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0"/>
      <c r="AJ205" s="30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4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0"/>
      <c r="AJ206" s="30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4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0"/>
      <c r="AJ207" s="30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4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0"/>
      <c r="AJ208" s="30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4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0"/>
      <c r="AJ209" s="30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4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0"/>
      <c r="AJ210" s="30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4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0"/>
      <c r="AJ211" s="30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4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0"/>
      <c r="AJ212" s="30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4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0"/>
      <c r="AJ213" s="30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4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0"/>
      <c r="AJ214" s="30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4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0"/>
      <c r="AJ215" s="30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4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0"/>
      <c r="AJ216" s="30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4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0"/>
      <c r="AJ217" s="30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4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0"/>
      <c r="AJ218" s="30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4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0"/>
      <c r="AJ219" s="30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4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0"/>
      <c r="AJ220" s="30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4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0"/>
      <c r="AJ221" s="30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4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0"/>
      <c r="AJ222" s="30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4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0"/>
      <c r="AJ223" s="30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4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0"/>
      <c r="AJ224" s="30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4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0"/>
      <c r="AJ225" s="30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4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0"/>
      <c r="AJ226" s="30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4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0"/>
      <c r="AJ227" s="30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4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0"/>
      <c r="AJ228" s="30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4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0"/>
      <c r="AJ229" s="30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4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0"/>
      <c r="AJ230" s="30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4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0"/>
      <c r="AJ231" s="30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4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0"/>
      <c r="AJ232" s="30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4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0"/>
      <c r="AJ233" s="30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4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0"/>
      <c r="AJ234" s="30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4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0"/>
      <c r="AJ235" s="30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4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0"/>
      <c r="AJ236" s="30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4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0"/>
      <c r="AJ237" s="30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4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0"/>
      <c r="AJ238" s="30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4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0"/>
      <c r="AJ239" s="30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4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0"/>
      <c r="AJ240" s="30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4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0"/>
      <c r="AJ241" s="30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4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0"/>
      <c r="AJ242" s="30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4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0"/>
      <c r="AJ243" s="30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4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0"/>
      <c r="AJ244" s="30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4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0"/>
      <c r="AJ245" s="30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4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0"/>
      <c r="AJ246" s="30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4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0"/>
      <c r="AJ247" s="30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4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0"/>
      <c r="AJ248" s="30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4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0"/>
      <c r="AJ249" s="30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4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0"/>
      <c r="AJ250" s="30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4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0"/>
      <c r="AJ251" s="30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4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0"/>
      <c r="AJ252" s="30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4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0"/>
      <c r="AJ253" s="30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4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0"/>
      <c r="AJ254" s="30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4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0"/>
      <c r="AJ255" s="30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4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0"/>
      <c r="AJ256" s="30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4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0"/>
      <c r="AJ257" s="30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4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0"/>
      <c r="AJ258" s="30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4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0"/>
      <c r="AJ259" s="30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4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0"/>
      <c r="AJ260" s="30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4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0"/>
      <c r="AJ261" s="30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4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0"/>
      <c r="AJ262" s="30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4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0"/>
      <c r="AJ263" s="30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4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0"/>
      <c r="AJ264" s="30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4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0"/>
      <c r="AJ265" s="30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4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0"/>
      <c r="AJ266" s="30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4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0"/>
      <c r="AJ267" s="30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4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0"/>
      <c r="AJ268" s="30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4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0"/>
      <c r="AJ269" s="30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4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0"/>
      <c r="AJ270" s="30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4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0"/>
      <c r="AJ271" s="30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4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0"/>
      <c r="AJ272" s="30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4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0"/>
      <c r="AJ273" s="30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4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0"/>
      <c r="AJ274" s="30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4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0"/>
      <c r="AJ275" s="30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4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0"/>
      <c r="AJ276" s="30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4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0"/>
      <c r="AJ277" s="30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4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0"/>
      <c r="AJ278" s="30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4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0"/>
      <c r="AJ279" s="30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4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0"/>
      <c r="AJ280" s="30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4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0"/>
      <c r="AJ281" s="30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4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0"/>
      <c r="AJ282" s="30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4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0"/>
      <c r="AJ283" s="30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4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0"/>
      <c r="AJ284" s="30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4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0"/>
      <c r="AJ285" s="30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4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0"/>
      <c r="AJ286" s="30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4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0"/>
      <c r="AJ287" s="30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4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0"/>
      <c r="AJ288" s="30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4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0"/>
      <c r="AJ289" s="30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4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0"/>
      <c r="AJ290" s="30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4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0"/>
      <c r="AJ291" s="30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4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0"/>
      <c r="AJ292" s="30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4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0"/>
      <c r="AJ293" s="30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4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0"/>
      <c r="AJ294" s="30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4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0"/>
      <c r="AJ295" s="30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4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0"/>
      <c r="AJ296" s="30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4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0"/>
      <c r="AJ297" s="30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4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0"/>
      <c r="AJ298" s="30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4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0"/>
      <c r="AJ299" s="30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4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0"/>
      <c r="AJ300" s="30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4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0"/>
      <c r="AJ301" s="30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4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0"/>
      <c r="AJ302" s="30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4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0"/>
      <c r="AJ303" s="30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4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0"/>
      <c r="AJ304" s="30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4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0"/>
      <c r="AJ305" s="30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4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0"/>
      <c r="AJ306" s="30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4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0"/>
      <c r="AJ307" s="30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4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0"/>
      <c r="AJ308" s="30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4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0"/>
      <c r="AJ309" s="30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4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0"/>
      <c r="AJ310" s="30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4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0"/>
      <c r="AJ311" s="30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4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0"/>
      <c r="AJ312" s="30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4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0"/>
      <c r="AJ313" s="30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4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0"/>
      <c r="AJ314" s="30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4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0"/>
      <c r="AJ315" s="30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4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0"/>
      <c r="AJ316" s="30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4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0"/>
      <c r="AJ317" s="30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4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0"/>
      <c r="AJ318" s="30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4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0"/>
      <c r="AJ319" s="30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4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0"/>
      <c r="AJ320" s="30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4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0"/>
      <c r="AJ321" s="30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4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0"/>
      <c r="AJ322" s="30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4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0"/>
      <c r="AJ323" s="30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4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0"/>
      <c r="AJ324" s="30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4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0"/>
      <c r="AJ325" s="30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4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0"/>
      <c r="AJ326" s="30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4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0"/>
      <c r="AJ327" s="30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4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0"/>
      <c r="AJ328" s="30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4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0"/>
      <c r="AJ329" s="30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4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0"/>
      <c r="AJ330" s="30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4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0"/>
      <c r="AJ331" s="30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4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0"/>
      <c r="AJ332" s="30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4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0"/>
      <c r="AJ333" s="30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4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0"/>
      <c r="AJ334" s="30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4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0"/>
      <c r="AJ335" s="30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4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0"/>
      <c r="AJ336" s="30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4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0"/>
      <c r="AJ337" s="30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4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0"/>
      <c r="AJ338" s="30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4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0"/>
      <c r="AJ339" s="30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4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0"/>
      <c r="AJ340" s="30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4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0"/>
      <c r="AJ341" s="30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4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0"/>
      <c r="AJ342" s="30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4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0"/>
      <c r="AJ343" s="30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4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0"/>
      <c r="AJ344" s="30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4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0"/>
      <c r="AJ345" s="30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4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0"/>
      <c r="AJ346" s="30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4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0"/>
      <c r="AJ347" s="30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4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0"/>
      <c r="AJ348" s="30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4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0"/>
      <c r="AJ349" s="30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4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0"/>
      <c r="AJ350" s="30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4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0"/>
      <c r="AJ351" s="30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4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0"/>
      <c r="AJ352" s="30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4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0"/>
      <c r="AJ353" s="30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4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0"/>
      <c r="AJ354" s="30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4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0"/>
      <c r="AJ355" s="30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4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0"/>
      <c r="AJ356" s="30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4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0"/>
      <c r="AJ357" s="30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4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0"/>
      <c r="AJ358" s="30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4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0"/>
      <c r="AJ359" s="30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4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0"/>
      <c r="AJ360" s="30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4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0"/>
      <c r="AJ361" s="30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4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0"/>
      <c r="AJ362" s="30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4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0"/>
      <c r="AJ363" s="30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4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0"/>
      <c r="AJ364" s="30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4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0"/>
      <c r="AJ365" s="30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4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0"/>
      <c r="AJ366" s="30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4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0"/>
      <c r="AJ367" s="30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4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0"/>
      <c r="AJ368" s="30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4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0"/>
      <c r="AJ369" s="30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4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0"/>
      <c r="AJ370" s="30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4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0"/>
      <c r="AJ371" s="30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4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0"/>
      <c r="AJ372" s="30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4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0"/>
      <c r="AJ373" s="30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4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0"/>
      <c r="AJ374" s="30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4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0"/>
      <c r="AJ375" s="30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4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0"/>
      <c r="AJ376" s="30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4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0"/>
      <c r="AJ377" s="30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4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0"/>
      <c r="AJ378" s="30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4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0"/>
      <c r="AJ379" s="30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4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0"/>
      <c r="AJ380" s="30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4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0"/>
      <c r="AJ381" s="30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4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0"/>
      <c r="AJ382" s="30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4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0"/>
      <c r="AJ383" s="30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4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0"/>
      <c r="AJ384" s="30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4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0"/>
      <c r="AJ385" s="30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4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0"/>
      <c r="AJ386" s="30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4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0"/>
      <c r="AJ387" s="30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4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0"/>
      <c r="AJ388" s="30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4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0"/>
      <c r="AJ389" s="30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4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0"/>
      <c r="AJ390" s="30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4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0"/>
      <c r="AJ391" s="30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4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0"/>
      <c r="AJ392" s="30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4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0"/>
      <c r="AJ393" s="30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4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0"/>
      <c r="AJ394" s="30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4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0"/>
      <c r="AJ395" s="30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4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0"/>
      <c r="AJ396" s="30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4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0"/>
      <c r="AJ397" s="30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4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0"/>
      <c r="AJ398" s="30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4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0"/>
      <c r="AJ399" s="30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4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0"/>
      <c r="AJ400" s="30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4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0"/>
      <c r="AJ401" s="30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4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0"/>
      <c r="AJ402" s="30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4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0"/>
      <c r="AJ403" s="30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4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0"/>
      <c r="AJ404" s="30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4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30"/>
      <c r="AJ405" s="30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4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0"/>
      <c r="AJ406" s="30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4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0"/>
      <c r="AJ407" s="30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4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0"/>
      <c r="AJ408" s="30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4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0"/>
      <c r="AJ409" s="30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4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0"/>
      <c r="AJ410" s="30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4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0"/>
      <c r="AJ411" s="30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4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0"/>
      <c r="AJ412" s="30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4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0"/>
      <c r="AJ413" s="30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4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0"/>
      <c r="AJ414" s="30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4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0"/>
      <c r="AJ415" s="30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4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0"/>
      <c r="AJ416" s="30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4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0"/>
      <c r="AJ417" s="30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4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0"/>
      <c r="AJ418" s="30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4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0"/>
      <c r="AJ419" s="30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4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0"/>
      <c r="AJ420" s="30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4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0"/>
      <c r="AJ421" s="30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4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0"/>
      <c r="AJ422" s="30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4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0"/>
      <c r="AJ423" s="30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4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0"/>
      <c r="AJ424" s="30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4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30"/>
      <c r="AJ425" s="30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4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0"/>
      <c r="AJ426" s="30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4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0"/>
      <c r="AJ427" s="30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4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0"/>
      <c r="AJ428" s="30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4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30"/>
      <c r="AJ429" s="30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4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0"/>
      <c r="AJ430" s="30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4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0"/>
      <c r="AJ431" s="30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4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0"/>
      <c r="AJ432" s="30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4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0"/>
      <c r="AJ433" s="30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4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0"/>
      <c r="AJ434" s="30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4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0"/>
      <c r="AJ435" s="30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4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0"/>
      <c r="AJ436" s="30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4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0"/>
      <c r="AJ437" s="30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4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0"/>
      <c r="AJ438" s="30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4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0"/>
      <c r="AJ439" s="30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4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30"/>
      <c r="AJ440" s="30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4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30"/>
      <c r="AJ441" s="30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4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0"/>
      <c r="AJ442" s="30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4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0"/>
      <c r="AJ443" s="30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4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0"/>
      <c r="AJ444" s="30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4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0"/>
      <c r="AJ445" s="30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4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0"/>
      <c r="AJ446" s="30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4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0"/>
      <c r="AJ447" s="30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4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0"/>
      <c r="AJ448" s="30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4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0"/>
      <c r="AJ449" s="30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4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30"/>
      <c r="AJ450" s="30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4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0"/>
      <c r="AJ451" s="30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4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0"/>
      <c r="AJ452" s="30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4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0"/>
      <c r="AJ453" s="30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4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30"/>
      <c r="AJ454" s="30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4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0"/>
      <c r="AJ455" s="30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4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0"/>
      <c r="AJ456" s="30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4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0"/>
      <c r="AJ457" s="30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4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0"/>
      <c r="AJ458" s="30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4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0"/>
      <c r="AJ459" s="30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4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0"/>
      <c r="AJ460" s="30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4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0"/>
      <c r="AJ461" s="30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4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30"/>
      <c r="AJ462" s="30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4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30"/>
      <c r="AJ463" s="30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4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0"/>
      <c r="AJ464" s="30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4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0"/>
      <c r="AJ465" s="30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4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0"/>
      <c r="AJ466" s="30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4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0"/>
      <c r="AJ467" s="30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4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0"/>
      <c r="AJ468" s="30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4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0"/>
      <c r="AJ469" s="30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4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0"/>
      <c r="AJ470" s="30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4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0"/>
      <c r="AJ471" s="30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4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0"/>
      <c r="AJ472" s="30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4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0"/>
      <c r="AJ473" s="30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4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0"/>
      <c r="AJ474" s="30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4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0"/>
      <c r="AJ475" s="30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4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0"/>
      <c r="AJ476" s="30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4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0"/>
      <c r="AJ477" s="30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4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0"/>
      <c r="AJ478" s="30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4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0"/>
      <c r="AJ479" s="30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4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0"/>
      <c r="AJ480" s="30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4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0"/>
      <c r="AJ481" s="30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4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0"/>
      <c r="AJ482" s="30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4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0"/>
      <c r="AJ483" s="30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4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0"/>
      <c r="AJ484" s="30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4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0"/>
      <c r="AJ485" s="30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4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0"/>
      <c r="AJ486" s="30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4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0"/>
      <c r="AJ487" s="30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4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0"/>
      <c r="AJ488" s="30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4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0"/>
      <c r="AJ489" s="30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4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0"/>
      <c r="AJ490" s="30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4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0"/>
      <c r="AJ491" s="30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4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0"/>
      <c r="AJ492" s="30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4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0"/>
      <c r="AJ493" s="30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4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0"/>
      <c r="AJ494" s="30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4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0"/>
      <c r="AJ495" s="30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4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0"/>
      <c r="AJ496" s="30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4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0"/>
      <c r="AJ497" s="30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4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0"/>
      <c r="AJ498" s="30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4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0"/>
      <c r="AJ499" s="30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4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0"/>
      <c r="AJ500" s="30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4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0"/>
      <c r="AJ501" s="30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4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0"/>
      <c r="AJ502" s="30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4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0"/>
      <c r="AJ503" s="30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4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0"/>
      <c r="AJ504" s="30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4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0"/>
      <c r="AJ505" s="30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4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0"/>
      <c r="AJ506" s="30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4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0"/>
      <c r="AJ507" s="30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4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0"/>
      <c r="AJ508" s="30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4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0"/>
      <c r="AJ509" s="30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4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0"/>
      <c r="AJ510" s="30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4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0"/>
      <c r="AJ511" s="30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4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0"/>
      <c r="AJ512" s="30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4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0"/>
      <c r="AJ513" s="30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4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0"/>
      <c r="AJ514" s="30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4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0"/>
      <c r="AJ515" s="30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4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0"/>
      <c r="AJ516" s="30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4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0"/>
      <c r="AJ517" s="30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4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0"/>
      <c r="AJ518" s="30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4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0"/>
      <c r="AJ519" s="30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4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0"/>
      <c r="AJ520" s="30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4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0"/>
      <c r="AJ521" s="30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4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0"/>
      <c r="AJ522" s="30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4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0"/>
      <c r="AJ523" s="30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4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0"/>
      <c r="AJ524" s="30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4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0"/>
      <c r="AJ525" s="30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4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0"/>
      <c r="AJ526" s="30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4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0"/>
      <c r="AJ527" s="30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4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0"/>
      <c r="AJ528" s="30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4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0"/>
      <c r="AJ529" s="30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4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0"/>
      <c r="AJ530" s="30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4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0"/>
      <c r="AJ531" s="30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4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0"/>
      <c r="AJ532" s="30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4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0"/>
      <c r="AJ533" s="30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4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0"/>
      <c r="AJ534" s="30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4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0"/>
      <c r="AJ535" s="30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4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0"/>
      <c r="AJ536" s="30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4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0"/>
      <c r="AJ537" s="30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4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0"/>
      <c r="AJ538" s="30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4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0"/>
      <c r="AJ539" s="30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4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0"/>
      <c r="AJ540" s="30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4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0"/>
      <c r="AJ541" s="30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4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0"/>
      <c r="AJ542" s="30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4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0"/>
      <c r="AJ543" s="30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4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0"/>
      <c r="AJ544" s="30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4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0"/>
      <c r="AJ545" s="30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4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0"/>
      <c r="AJ546" s="30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4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0"/>
      <c r="AJ547" s="30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4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0"/>
      <c r="AJ548" s="30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4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0"/>
      <c r="AJ549" s="30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4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0"/>
      <c r="AJ550" s="30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4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0"/>
      <c r="AJ551" s="30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4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0"/>
      <c r="AJ552" s="30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4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0"/>
      <c r="AJ553" s="30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4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0"/>
      <c r="AJ554" s="30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4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0"/>
      <c r="AJ555" s="30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4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0"/>
      <c r="AJ556" s="30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4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0"/>
      <c r="AJ557" s="30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4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0"/>
      <c r="AJ558" s="30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4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0"/>
      <c r="AJ559" s="30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4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0"/>
      <c r="AJ560" s="30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4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0"/>
      <c r="AJ561" s="30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4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0"/>
      <c r="AJ562" s="30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4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0"/>
      <c r="AJ563" s="30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4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0"/>
      <c r="AJ564" s="30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4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0"/>
      <c r="AJ565" s="30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4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0"/>
      <c r="AJ566" s="30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4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0"/>
      <c r="AJ567" s="30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4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0"/>
      <c r="AJ568" s="30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4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0"/>
      <c r="AJ569" s="30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4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0"/>
      <c r="AJ570" s="30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4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0"/>
      <c r="AJ571" s="30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4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0"/>
      <c r="AJ572" s="30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4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0"/>
      <c r="AJ573" s="30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4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0"/>
      <c r="AJ574" s="30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4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0"/>
      <c r="AJ575" s="30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4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0"/>
      <c r="AJ576" s="30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4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0"/>
      <c r="AJ577" s="30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4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0"/>
      <c r="AJ578" s="30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4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0"/>
      <c r="AJ579" s="30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4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0"/>
      <c r="AJ580" s="30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4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0"/>
      <c r="AJ581" s="30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4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0"/>
      <c r="AJ582" s="30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4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0"/>
      <c r="AJ583" s="30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4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0"/>
      <c r="AJ584" s="30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4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0"/>
      <c r="AJ585" s="30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4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0"/>
      <c r="AJ586" s="30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4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0"/>
      <c r="AJ587" s="30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4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0"/>
      <c r="AJ588" s="30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4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0"/>
      <c r="AJ589" s="30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4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0"/>
      <c r="AJ590" s="30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4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0"/>
      <c r="AJ591" s="30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4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0"/>
      <c r="AJ592" s="30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4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0"/>
      <c r="AJ593" s="30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4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0"/>
      <c r="AJ594" s="30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4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0"/>
      <c r="AJ595" s="30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4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0"/>
      <c r="AJ596" s="30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4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0"/>
      <c r="AJ597" s="30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4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0"/>
      <c r="AJ598" s="30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4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0"/>
      <c r="AJ599" s="30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4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0"/>
      <c r="AJ600" s="30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4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0"/>
      <c r="AJ601" s="30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4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0"/>
      <c r="AJ602" s="30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4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0"/>
      <c r="AJ603" s="30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4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0"/>
      <c r="AJ604" s="30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4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0"/>
      <c r="AJ605" s="30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4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0"/>
      <c r="AJ606" s="30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4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0"/>
      <c r="AJ607" s="30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4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0"/>
      <c r="AJ608" s="30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4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0"/>
      <c r="AJ609" s="30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4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0"/>
      <c r="AJ610" s="30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4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0"/>
      <c r="AJ611" s="30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4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0"/>
      <c r="AJ612" s="30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4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0"/>
      <c r="AJ613" s="30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4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0"/>
      <c r="AJ614" s="30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4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0"/>
      <c r="AJ615" s="30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4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0"/>
      <c r="AJ616" s="30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4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0"/>
      <c r="AJ617" s="30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4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0"/>
      <c r="AJ618" s="30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4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0"/>
      <c r="AJ619" s="30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4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0"/>
      <c r="AJ620" s="30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4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0"/>
      <c r="AJ621" s="30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4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0"/>
      <c r="AJ622" s="30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4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0"/>
      <c r="AJ623" s="30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4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0"/>
      <c r="AJ624" s="30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4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0"/>
      <c r="AJ625" s="30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4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0"/>
      <c r="AJ626" s="30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4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30"/>
      <c r="AJ627" s="30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4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0"/>
      <c r="AJ628" s="30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4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0"/>
      <c r="AJ629" s="30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4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0"/>
      <c r="AJ630" s="30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4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0"/>
      <c r="AJ631" s="30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4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0"/>
      <c r="AJ632" s="30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4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0"/>
      <c r="AJ633" s="30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4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0"/>
      <c r="AJ634" s="30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4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0"/>
      <c r="AJ635" s="30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4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0"/>
      <c r="AJ636" s="30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4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0"/>
      <c r="AJ637" s="30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4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0"/>
      <c r="AJ638" s="30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4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0"/>
      <c r="AJ639" s="30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4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0"/>
      <c r="AJ640" s="30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4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0"/>
      <c r="AJ641" s="30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4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0"/>
      <c r="AJ642" s="30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4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0"/>
      <c r="AJ643" s="30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4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0"/>
      <c r="AJ644" s="30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4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0"/>
      <c r="AJ645" s="30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4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0"/>
      <c r="AJ646" s="30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4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0"/>
      <c r="AJ647" s="30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4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0"/>
      <c r="AJ648" s="30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4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0"/>
      <c r="AJ649" s="30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4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0"/>
      <c r="AJ650" s="30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4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0"/>
      <c r="AJ651" s="30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4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0"/>
      <c r="AJ652" s="30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4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0"/>
      <c r="AJ653" s="30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4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0"/>
      <c r="AJ654" s="30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4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0"/>
      <c r="AJ655" s="30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4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0"/>
      <c r="AJ656" s="30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4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0"/>
      <c r="AJ657" s="30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4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0"/>
      <c r="AJ658" s="30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4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0"/>
      <c r="AJ659" s="30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4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0"/>
      <c r="AJ660" s="30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4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0"/>
      <c r="AJ661" s="30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4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0"/>
      <c r="AJ662" s="30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4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0"/>
      <c r="AJ663" s="30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4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0"/>
      <c r="AJ664" s="30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4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0"/>
      <c r="AJ665" s="30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4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0"/>
      <c r="AJ666" s="30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4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0"/>
      <c r="AJ667" s="30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4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0"/>
      <c r="AJ668" s="30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4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0"/>
      <c r="AJ669" s="30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4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0"/>
      <c r="AJ670" s="30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4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0"/>
      <c r="AJ671" s="30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4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0"/>
      <c r="AJ672" s="30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4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0"/>
      <c r="AJ673" s="30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4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0"/>
      <c r="AJ674" s="30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4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0"/>
      <c r="AJ675" s="30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4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0"/>
      <c r="AJ676" s="30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4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0"/>
      <c r="AJ677" s="30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4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0"/>
      <c r="AJ678" s="30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4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0"/>
      <c r="AJ679" s="30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4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0"/>
      <c r="AJ680" s="30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4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0"/>
      <c r="AJ681" s="30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4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0"/>
      <c r="AJ682" s="30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4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0"/>
      <c r="AJ683" s="30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4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0"/>
      <c r="AJ684" s="30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4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0"/>
      <c r="AJ685" s="30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4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0"/>
      <c r="AJ686" s="30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4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0"/>
      <c r="AJ687" s="30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4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0"/>
      <c r="AJ688" s="30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4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0"/>
      <c r="AJ689" s="30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4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0"/>
      <c r="AJ690" s="30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4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0"/>
      <c r="AJ691" s="30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4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30"/>
      <c r="AJ692" s="30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4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0"/>
      <c r="AJ693" s="30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4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0"/>
      <c r="AJ694" s="30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4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0"/>
      <c r="AJ695" s="30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4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0"/>
      <c r="AJ696" s="30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4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0"/>
      <c r="AJ697" s="30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4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30"/>
      <c r="AJ698" s="30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4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0"/>
      <c r="AJ699" s="30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4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30"/>
      <c r="AJ700" s="30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4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0"/>
      <c r="AJ701" s="30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4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0"/>
      <c r="AJ702" s="30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4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0"/>
      <c r="AJ703" s="30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4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0"/>
      <c r="AJ704" s="30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4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0"/>
      <c r="AJ705" s="30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4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0"/>
      <c r="AJ706" s="30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4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0"/>
      <c r="AJ707" s="30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4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0"/>
      <c r="AJ708" s="30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4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0"/>
      <c r="AJ709" s="30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4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0"/>
      <c r="AJ710" s="30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4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0"/>
      <c r="AJ711" s="30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4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0"/>
      <c r="AJ712" s="30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4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0"/>
      <c r="AJ713" s="30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4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30"/>
      <c r="AJ714" s="30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4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30"/>
      <c r="AJ715" s="30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4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30"/>
      <c r="AJ716" s="30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4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30"/>
      <c r="AJ717" s="30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4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30"/>
      <c r="AJ718" s="30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4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30"/>
      <c r="AJ719" s="30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4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30"/>
      <c r="AJ720" s="30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4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30"/>
      <c r="AJ721" s="30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4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30"/>
      <c r="AJ722" s="30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4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30"/>
      <c r="AJ723" s="30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4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30"/>
      <c r="AJ724" s="30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4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30"/>
      <c r="AJ725" s="30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4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30"/>
      <c r="AJ726" s="30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4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30"/>
      <c r="AJ727" s="30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4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30"/>
      <c r="AJ728" s="30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4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30"/>
      <c r="AJ729" s="30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4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30"/>
      <c r="AJ730" s="30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4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30"/>
      <c r="AJ731" s="30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4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30"/>
      <c r="AJ732" s="30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4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30"/>
      <c r="AJ733" s="30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4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30"/>
      <c r="AJ734" s="30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4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30"/>
      <c r="AJ735" s="30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4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30"/>
      <c r="AJ736" s="30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4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30"/>
      <c r="AJ737" s="30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4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30"/>
      <c r="AJ738" s="30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4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30"/>
      <c r="AJ739" s="30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4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30"/>
      <c r="AJ740" s="30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4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30"/>
      <c r="AJ741" s="30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4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30"/>
      <c r="AJ742" s="30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4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30"/>
      <c r="AJ743" s="30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4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30"/>
      <c r="AJ744" s="30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4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30"/>
      <c r="AJ745" s="30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4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30"/>
      <c r="AJ746" s="30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4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30"/>
      <c r="AJ747" s="30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4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30"/>
      <c r="AJ748" s="30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4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30"/>
      <c r="AJ749" s="30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4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30"/>
      <c r="AJ750" s="30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4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30"/>
      <c r="AJ751" s="30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4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30"/>
      <c r="AJ752" s="30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4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30"/>
      <c r="AJ753" s="30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4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30"/>
      <c r="AJ754" s="30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4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30"/>
      <c r="AJ755" s="30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4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30"/>
      <c r="AJ756" s="30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4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30"/>
      <c r="AJ757" s="30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4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30"/>
      <c r="AJ758" s="30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4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30"/>
      <c r="AJ759" s="30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4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30"/>
      <c r="AJ760" s="30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4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30"/>
      <c r="AJ761" s="30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4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30"/>
      <c r="AJ762" s="30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4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30"/>
      <c r="AJ763" s="30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4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30"/>
      <c r="AJ764" s="30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4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30"/>
      <c r="AJ765" s="30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4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30"/>
      <c r="AJ766" s="30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4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30"/>
      <c r="AJ767" s="30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4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30"/>
      <c r="AJ768" s="30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4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30"/>
      <c r="AJ769" s="30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4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30"/>
      <c r="AJ770" s="30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4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30"/>
      <c r="AJ771" s="30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4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30"/>
      <c r="AJ772" s="30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4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30"/>
      <c r="AJ773" s="30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4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30"/>
      <c r="AJ774" s="30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4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30"/>
      <c r="AJ775" s="30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4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30"/>
      <c r="AJ776" s="30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4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30"/>
      <c r="AJ777" s="30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4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30"/>
      <c r="AJ778" s="30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4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30"/>
      <c r="AJ779" s="30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4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30"/>
      <c r="AJ780" s="30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4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30"/>
      <c r="AJ781" s="30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4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30"/>
      <c r="AJ782" s="30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4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30"/>
      <c r="AJ783" s="30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4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30"/>
      <c r="AJ784" s="30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4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30"/>
      <c r="AJ785" s="30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4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30"/>
      <c r="AJ786" s="30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4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30"/>
      <c r="AJ787" s="30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4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30"/>
      <c r="AJ788" s="30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4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30"/>
      <c r="AJ789" s="30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4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30"/>
      <c r="AJ790" s="30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4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30"/>
      <c r="AJ791" s="30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4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30"/>
      <c r="AJ792" s="30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4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30"/>
      <c r="AJ793" s="30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4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30"/>
      <c r="AJ794" s="30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4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30"/>
      <c r="AJ795" s="30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4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30"/>
      <c r="AJ796" s="30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4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30"/>
      <c r="AJ797" s="30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4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30"/>
      <c r="AJ798" s="30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4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30"/>
      <c r="AJ799" s="30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4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30"/>
      <c r="AJ800" s="30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4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30"/>
      <c r="AJ801" s="30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4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30"/>
      <c r="AJ802" s="30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4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30"/>
      <c r="AJ803" s="30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4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30"/>
      <c r="AJ804" s="30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4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30"/>
      <c r="AJ805" s="30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4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30"/>
      <c r="AJ806" s="30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4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30"/>
      <c r="AJ807" s="30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4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30"/>
      <c r="AJ808" s="30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4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30"/>
      <c r="AJ809" s="30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4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30"/>
      <c r="AJ810" s="30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4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30"/>
      <c r="AJ811" s="30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4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30"/>
      <c r="AJ812" s="30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4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30"/>
      <c r="AJ813" s="30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4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30"/>
      <c r="AJ814" s="30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4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30"/>
      <c r="AJ815" s="30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4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30"/>
      <c r="AJ816" s="30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4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30"/>
      <c r="AJ817" s="30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4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30"/>
      <c r="AJ818" s="30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4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30"/>
      <c r="AJ819" s="30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4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30"/>
      <c r="AJ820" s="30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4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30"/>
      <c r="AJ821" s="30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4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30"/>
      <c r="AJ822" s="30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4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30"/>
      <c r="AJ823" s="30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4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30"/>
      <c r="AJ824" s="30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4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30"/>
      <c r="AJ825" s="30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4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30"/>
      <c r="AJ826" s="30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4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30"/>
      <c r="AJ827" s="30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4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30"/>
      <c r="AJ828" s="30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4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30"/>
      <c r="AJ829" s="30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4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30"/>
      <c r="AJ830" s="30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4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30"/>
      <c r="AJ831" s="30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4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30"/>
      <c r="AJ832" s="30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4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30"/>
      <c r="AJ833" s="30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4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30"/>
      <c r="AJ834" s="30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4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30"/>
      <c r="AJ835" s="30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4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30"/>
      <c r="AJ836" s="30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4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30"/>
      <c r="AJ837" s="30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4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30"/>
      <c r="AJ838" s="30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4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30"/>
      <c r="AJ839" s="30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4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30"/>
      <c r="AJ840" s="30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4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30"/>
      <c r="AJ841" s="30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4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30"/>
      <c r="AJ842" s="30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4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30"/>
      <c r="AJ843" s="30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4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30"/>
      <c r="AJ844" s="30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4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30"/>
      <c r="AJ845" s="30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4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30"/>
      <c r="AJ846" s="30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4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30"/>
      <c r="AJ847" s="30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4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30"/>
      <c r="AJ848" s="30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4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30"/>
      <c r="AJ849" s="30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4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30"/>
      <c r="AJ850" s="30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4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30"/>
      <c r="AJ851" s="30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4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30"/>
      <c r="AJ852" s="30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4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30"/>
      <c r="AJ853" s="30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4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30"/>
      <c r="AJ854" s="30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4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30"/>
      <c r="AJ855" s="30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4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30"/>
      <c r="AJ856" s="30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4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30"/>
      <c r="AJ857" s="30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4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30"/>
      <c r="AJ858" s="30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4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30"/>
      <c r="AJ859" s="30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4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30"/>
      <c r="AJ860" s="30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4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30"/>
      <c r="AJ861" s="30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4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30"/>
      <c r="AJ862" s="30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4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30"/>
      <c r="AJ863" s="30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4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30"/>
      <c r="AJ864" s="30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4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30"/>
      <c r="AJ865" s="30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4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30"/>
      <c r="AJ866" s="30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4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30"/>
      <c r="AJ867" s="30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4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30"/>
      <c r="AJ868" s="30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4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30"/>
      <c r="AJ869" s="30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4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30"/>
      <c r="AJ870" s="30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4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30"/>
      <c r="AJ871" s="30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4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30"/>
      <c r="AJ872" s="30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4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30"/>
      <c r="AJ873" s="30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4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30"/>
      <c r="AJ874" s="30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4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30"/>
      <c r="AJ875" s="30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4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30"/>
      <c r="AJ876" s="30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4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30"/>
      <c r="AJ877" s="30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4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30"/>
      <c r="AJ878" s="30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4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30"/>
      <c r="AJ879" s="30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4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30"/>
      <c r="AJ880" s="30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4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30"/>
      <c r="AJ881" s="30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4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30"/>
      <c r="AJ882" s="30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4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30"/>
      <c r="AJ883" s="30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4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30"/>
      <c r="AJ884" s="30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4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30"/>
      <c r="AJ885" s="30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4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30"/>
      <c r="AJ886" s="30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4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30"/>
      <c r="AJ887" s="30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4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30"/>
      <c r="AJ888" s="30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4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30"/>
      <c r="AJ889" s="30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4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30"/>
      <c r="AJ890" s="30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4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30"/>
      <c r="AJ891" s="30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4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30"/>
      <c r="AJ892" s="30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4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30"/>
      <c r="AJ893" s="30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4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30"/>
      <c r="AJ894" s="30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4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30"/>
      <c r="AJ895" s="30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4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30"/>
      <c r="AJ896" s="30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4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30"/>
      <c r="AJ897" s="30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4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30"/>
      <c r="AJ898" s="30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4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30"/>
      <c r="AJ899" s="30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4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30"/>
      <c r="AJ900" s="30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4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30"/>
      <c r="AJ901" s="30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4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30"/>
      <c r="AJ902" s="30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4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30"/>
      <c r="AJ903" s="30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4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30"/>
      <c r="AJ904" s="30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4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30"/>
      <c r="AJ905" s="30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4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30"/>
      <c r="AJ906" s="30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4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30"/>
      <c r="AJ907" s="30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4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30"/>
      <c r="AJ908" s="30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4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30"/>
      <c r="AJ909" s="30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4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30"/>
      <c r="AJ910" s="30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4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30"/>
      <c r="AJ911" s="30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4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30"/>
      <c r="AJ912" s="30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4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30"/>
      <c r="AJ913" s="30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4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30"/>
      <c r="AJ914" s="30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4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30"/>
      <c r="AJ915" s="30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4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30"/>
      <c r="AJ916" s="30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4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30"/>
      <c r="AJ917" s="30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4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30"/>
      <c r="AJ918" s="30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4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30"/>
      <c r="AJ919" s="30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4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30"/>
      <c r="AJ920" s="30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4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30"/>
      <c r="AJ921" s="30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4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30"/>
      <c r="AJ922" s="30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4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30"/>
      <c r="AJ923" s="30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4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30"/>
      <c r="AJ924" s="30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4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30"/>
      <c r="AJ925" s="30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4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30"/>
      <c r="AJ926" s="30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4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30"/>
      <c r="AJ927" s="30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4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30"/>
      <c r="AJ928" s="30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4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30"/>
      <c r="AJ929" s="30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4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30"/>
      <c r="AJ930" s="30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4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30"/>
      <c r="AJ931" s="30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4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30"/>
      <c r="AJ932" s="30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4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30"/>
      <c r="AJ933" s="30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4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30"/>
      <c r="AJ934" s="30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4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30"/>
      <c r="AJ935" s="30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4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30"/>
      <c r="AJ936" s="30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4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30"/>
      <c r="AJ937" s="30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4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30"/>
      <c r="AJ938" s="30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4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30"/>
      <c r="AJ939" s="30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4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30"/>
      <c r="AJ940" s="30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4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30"/>
      <c r="AJ941" s="30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4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30"/>
      <c r="AJ942" s="30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4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30"/>
      <c r="AJ943" s="30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4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30"/>
      <c r="AJ944" s="30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4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30"/>
      <c r="AJ945" s="30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4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30"/>
      <c r="AJ946" s="30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4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30"/>
      <c r="AJ947" s="30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4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30"/>
      <c r="AJ948" s="30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4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30"/>
      <c r="AJ949" s="30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4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30"/>
      <c r="AJ950" s="30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4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30"/>
      <c r="AJ951" s="30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4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30"/>
      <c r="AJ952" s="30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4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30"/>
      <c r="AJ953" s="30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4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30"/>
      <c r="AJ954" s="30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4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30"/>
      <c r="AJ955" s="30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4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30"/>
      <c r="AJ956" s="30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4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30"/>
      <c r="AJ957" s="30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4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30"/>
      <c r="AJ958" s="30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4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30"/>
      <c r="AJ959" s="30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4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30"/>
      <c r="AJ960" s="30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4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30"/>
      <c r="AJ961" s="30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4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30"/>
      <c r="AJ962" s="30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4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30"/>
      <c r="AJ963" s="30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4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30"/>
      <c r="AJ964" s="30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4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30"/>
      <c r="AJ965" s="30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4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30"/>
      <c r="AJ966" s="30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4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30"/>
      <c r="AJ967" s="30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4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30"/>
      <c r="AJ968" s="30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4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30"/>
      <c r="AJ969" s="30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4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30"/>
      <c r="AJ970" s="30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4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30"/>
      <c r="AJ971" s="30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4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30"/>
      <c r="AJ972" s="30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4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30"/>
      <c r="AJ973" s="30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4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30"/>
      <c r="AJ974" s="30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4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30"/>
      <c r="AJ975" s="30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4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30"/>
      <c r="AJ976" s="30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4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30"/>
      <c r="AJ977" s="30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4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30"/>
      <c r="AJ978" s="30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4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30"/>
      <c r="AJ979" s="30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4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30"/>
      <c r="AJ980" s="30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4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30"/>
      <c r="AJ981" s="30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4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30"/>
      <c r="AJ982" s="30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4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30"/>
      <c r="AJ983" s="30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4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30"/>
      <c r="AJ984" s="30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4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30"/>
      <c r="AJ985" s="30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4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30"/>
      <c r="AJ986" s="30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4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30"/>
      <c r="AJ987" s="30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4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30"/>
      <c r="AJ988" s="30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4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30"/>
      <c r="AJ989" s="30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4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30"/>
      <c r="AJ990" s="30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4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30"/>
      <c r="AJ991" s="30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4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30"/>
      <c r="AJ992" s="30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4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30"/>
      <c r="AJ993" s="30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4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30"/>
      <c r="AJ994" s="30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4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30"/>
      <c r="AJ995" s="30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4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30"/>
      <c r="AJ996" s="30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4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30"/>
      <c r="AJ997" s="30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4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30"/>
      <c r="AJ998" s="30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4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30"/>
      <c r="AJ999" s="30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4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30"/>
      <c r="AJ1000" s="30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4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30"/>
      <c r="AJ1001" s="30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4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30"/>
      <c r="AJ1002" s="30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4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30"/>
      <c r="AJ1003" s="30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4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30"/>
      <c r="AJ1004" s="30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4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30"/>
      <c r="AJ1005" s="30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4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30"/>
      <c r="AJ1006" s="30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4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30"/>
      <c r="AJ1007" s="30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4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30"/>
      <c r="AJ1008" s="30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4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30"/>
      <c r="AJ1009" s="30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4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30"/>
      <c r="AJ1010" s="30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4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30"/>
      <c r="AJ1011" s="30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4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30"/>
      <c r="AJ1012" s="30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4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30"/>
      <c r="AJ1013" s="30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4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30"/>
      <c r="AJ1014" s="30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4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30"/>
      <c r="AJ1015" s="30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4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30"/>
      <c r="AJ1016" s="30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4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30"/>
      <c r="AJ1017" s="30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4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30"/>
      <c r="AJ1018" s="30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4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30"/>
      <c r="AJ1019" s="30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4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30"/>
      <c r="AJ1020" s="30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4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30"/>
      <c r="AJ1021" s="30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4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30"/>
      <c r="AJ1022" s="30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4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30"/>
      <c r="AJ1023" s="30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4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30"/>
      <c r="AJ1024" s="30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4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30"/>
      <c r="AJ1025" s="30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4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30"/>
      <c r="AJ1026" s="30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4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30"/>
      <c r="AJ1027" s="30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4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30"/>
      <c r="AJ1028" s="30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4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30"/>
      <c r="AJ1029" s="30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4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30"/>
      <c r="AJ1030" s="30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4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30"/>
      <c r="AJ1031" s="30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4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30"/>
      <c r="AJ1032" s="30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4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30"/>
      <c r="AJ1033" s="30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4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30"/>
      <c r="AJ1034" s="30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4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30"/>
      <c r="AJ1035" s="30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4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30"/>
      <c r="AJ1036" s="30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4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30"/>
      <c r="AJ1037" s="30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4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30"/>
      <c r="AJ1038" s="30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4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30"/>
      <c r="AJ1039" s="30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4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30"/>
      <c r="AJ1040" s="30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4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30"/>
      <c r="AJ1041" s="30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4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30"/>
      <c r="AJ1042" s="30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4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30"/>
      <c r="AJ1043" s="30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4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30"/>
      <c r="AJ1044" s="30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4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30"/>
      <c r="AJ1045" s="30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4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30"/>
      <c r="AJ1046" s="30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4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30"/>
      <c r="AJ1047" s="30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4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30"/>
      <c r="AJ1048" s="30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4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30"/>
      <c r="AJ1049" s="30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4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30"/>
      <c r="AJ1050" s="30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4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30"/>
      <c r="AJ1051" s="30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4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30"/>
      <c r="AJ1052" s="30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4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30"/>
      <c r="AJ1053" s="30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4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30"/>
      <c r="AJ1054" s="30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4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30"/>
      <c r="AJ1055" s="30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4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30"/>
      <c r="AJ1056" s="30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4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30"/>
      <c r="AJ1057" s="30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4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30"/>
      <c r="AJ1058" s="30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4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30"/>
      <c r="AJ1059" s="30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4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30"/>
      <c r="AJ1060" s="30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4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30"/>
      <c r="AJ1061" s="30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4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30"/>
      <c r="AJ1062" s="30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4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30"/>
      <c r="AJ1063" s="30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4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30"/>
      <c r="AJ1064" s="30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4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30"/>
      <c r="AJ1065" s="30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4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30"/>
      <c r="AJ1066" s="30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4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30"/>
      <c r="AJ1067" s="30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4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30"/>
      <c r="AJ1068" s="30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4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30"/>
      <c r="AJ1069" s="30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4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30"/>
      <c r="AJ1070" s="30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4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30"/>
      <c r="AJ1071" s="30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4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30"/>
      <c r="AJ1072" s="30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4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30"/>
      <c r="AJ1073" s="30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4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30"/>
      <c r="AJ1074" s="30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4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30"/>
      <c r="AJ1075" s="30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4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30"/>
      <c r="AJ1076" s="30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4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30"/>
      <c r="AJ1077" s="30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4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30"/>
      <c r="AJ1078" s="30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4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30"/>
      <c r="AJ1079" s="30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4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30"/>
      <c r="AJ1080" s="30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4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30"/>
      <c r="AJ1081" s="30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4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30"/>
      <c r="AJ1082" s="30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4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30"/>
      <c r="AJ1083" s="30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4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30"/>
      <c r="AJ1084" s="30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4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30"/>
      <c r="AJ1085" s="30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4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30"/>
      <c r="AJ1086" s="30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4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30"/>
      <c r="AJ1087" s="30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4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30"/>
      <c r="AJ1088" s="30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4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30"/>
      <c r="AJ1089" s="30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4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30"/>
      <c r="AJ1090" s="30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4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30"/>
      <c r="AJ1091" s="30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4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30"/>
      <c r="AJ1092" s="30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4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30"/>
      <c r="AJ1093" s="30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4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30"/>
      <c r="AJ1094" s="30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4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30"/>
      <c r="AJ1095" s="30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4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30"/>
      <c r="AJ1096" s="30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4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30"/>
      <c r="AJ1097" s="30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4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30"/>
      <c r="AJ1098" s="30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4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30"/>
      <c r="AJ1099" s="30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4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30"/>
      <c r="AJ1100" s="30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4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30"/>
      <c r="AJ1101" s="30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4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30"/>
      <c r="AJ1102" s="30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4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30"/>
      <c r="AJ1103" s="30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4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30"/>
      <c r="AJ1104" s="30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4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30"/>
      <c r="AJ1105" s="30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4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30"/>
      <c r="AJ1106" s="30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4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30"/>
      <c r="AJ1107" s="30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4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30"/>
      <c r="AJ1108" s="30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4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30"/>
      <c r="AJ1109" s="30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4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30"/>
      <c r="AJ1110" s="30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4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30"/>
      <c r="AJ1111" s="30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4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30"/>
      <c r="AJ1112" s="30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4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30"/>
      <c r="AJ1113" s="30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4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30"/>
      <c r="AJ1114" s="30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4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30"/>
      <c r="AJ1115" s="30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4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30"/>
      <c r="AJ1116" s="30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4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30"/>
      <c r="AJ1117" s="30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4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30"/>
      <c r="AJ1118" s="30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4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30"/>
      <c r="AJ1119" s="30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4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30"/>
      <c r="AJ1120" s="30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4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30"/>
      <c r="AJ1121" s="30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4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30"/>
      <c r="AJ1122" s="30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4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30"/>
      <c r="AJ1123" s="30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4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30"/>
      <c r="AJ1124" s="30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4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30"/>
      <c r="AJ1125" s="30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4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30"/>
      <c r="AJ1126" s="30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4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30"/>
      <c r="AJ1127" s="30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4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30"/>
      <c r="AJ1128" s="30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4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30"/>
      <c r="AJ1129" s="30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4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30"/>
      <c r="AJ1130" s="30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4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30"/>
      <c r="AJ1131" s="30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4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30"/>
      <c r="AJ1132" s="30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4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30"/>
      <c r="AJ1133" s="30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4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30"/>
      <c r="AJ1134" s="30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4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30"/>
      <c r="AJ1135" s="30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4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30"/>
      <c r="AJ1136" s="30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4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30"/>
      <c r="AJ1137" s="30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4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30"/>
      <c r="AJ1138" s="30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4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30"/>
      <c r="AJ1139" s="30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4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30"/>
      <c r="AJ1140" s="30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4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30"/>
      <c r="AJ1141" s="30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4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30"/>
      <c r="AJ1142" s="30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4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30"/>
      <c r="AJ1143" s="30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4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30"/>
      <c r="AJ1144" s="30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4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30"/>
      <c r="AJ1145" s="30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4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30"/>
      <c r="AJ1146" s="30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4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30"/>
      <c r="AJ1147" s="30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4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30"/>
      <c r="AJ1148" s="30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4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30"/>
      <c r="AJ1149" s="30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4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30"/>
      <c r="AJ1150" s="30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4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30"/>
      <c r="AJ1151" s="30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4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30"/>
      <c r="AJ1152" s="30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4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30"/>
      <c r="AJ1153" s="30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4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30"/>
      <c r="AJ1154" s="30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4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30"/>
      <c r="AJ1155" s="30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4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30"/>
      <c r="AJ1156" s="30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4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30"/>
      <c r="AJ1157" s="30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4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30"/>
      <c r="AJ1158" s="30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4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30"/>
      <c r="AJ1159" s="30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4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30"/>
      <c r="AJ1160" s="30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4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30"/>
      <c r="AJ1161" s="30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4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30"/>
      <c r="AJ1162" s="30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4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30"/>
      <c r="AJ1163" s="30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4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30"/>
      <c r="AJ1164" s="30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4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30"/>
      <c r="AJ1165" s="30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4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30"/>
      <c r="AJ1166" s="30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4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30"/>
      <c r="AJ1167" s="30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4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30"/>
      <c r="AJ1168" s="30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4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30"/>
      <c r="AJ1169" s="30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4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30"/>
      <c r="AJ1170" s="30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4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30"/>
      <c r="AJ1171" s="30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4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30"/>
      <c r="AJ1172" s="30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4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30"/>
      <c r="AJ1173" s="30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4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30"/>
      <c r="AJ1174" s="30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4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30"/>
      <c r="AJ1175" s="30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4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30"/>
      <c r="AJ1176" s="30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4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30"/>
      <c r="AJ1177" s="30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4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30"/>
      <c r="AJ1178" s="30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4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30"/>
      <c r="AJ1179" s="30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4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30"/>
      <c r="AJ1180" s="30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4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30"/>
      <c r="AJ1181" s="30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4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30"/>
      <c r="AJ1182" s="30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4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30"/>
      <c r="AJ1183" s="30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4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30"/>
      <c r="AJ1184" s="30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4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30"/>
      <c r="AJ1185" s="30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4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30"/>
      <c r="AJ1186" s="30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4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30"/>
      <c r="AJ1187" s="30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4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30"/>
      <c r="AJ1188" s="30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4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30"/>
      <c r="AJ1189" s="30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4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30"/>
      <c r="AJ1190" s="30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4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30"/>
      <c r="AJ1191" s="30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4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30"/>
      <c r="AJ1192" s="30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4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30"/>
      <c r="AJ1193" s="30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4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30"/>
      <c r="AJ1194" s="30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4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30"/>
      <c r="AJ1195" s="30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4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30"/>
      <c r="AJ1196" s="30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4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30"/>
      <c r="AJ1197" s="30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4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30"/>
      <c r="AJ1198" s="30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4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30"/>
      <c r="AJ1199" s="30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4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30"/>
      <c r="AJ1200" s="30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4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30"/>
      <c r="AJ1201" s="30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4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30"/>
      <c r="AJ1202" s="30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4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30"/>
      <c r="AJ1203" s="30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4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30"/>
      <c r="AJ1204" s="30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4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30"/>
      <c r="AJ1205" s="30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4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30"/>
      <c r="AJ1206" s="30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4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30"/>
      <c r="AJ1207" s="30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4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30"/>
      <c r="AJ1208" s="30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4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30"/>
      <c r="AJ1209" s="30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4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30"/>
      <c r="AJ1210" s="30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4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30"/>
      <c r="AJ1211" s="30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4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30"/>
      <c r="AJ1212" s="30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4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30"/>
      <c r="AJ1213" s="30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4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30"/>
      <c r="AJ1214" s="30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4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30"/>
      <c r="AJ1215" s="30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4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30"/>
      <c r="AJ1216" s="30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4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30"/>
      <c r="AJ1217" s="30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4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30"/>
      <c r="AJ1218" s="30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4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30"/>
      <c r="AJ1219" s="30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4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30"/>
      <c r="AJ1220" s="30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4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30"/>
      <c r="AJ1221" s="30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4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30"/>
      <c r="AJ1222" s="30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4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30"/>
      <c r="AJ1223" s="30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4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30"/>
      <c r="AJ1224" s="30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4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30"/>
      <c r="AJ1225" s="30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4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30"/>
      <c r="AJ1226" s="30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4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30"/>
      <c r="AJ1227" s="30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4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30"/>
      <c r="AJ1228" s="30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4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30"/>
      <c r="AJ1229" s="30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4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30"/>
      <c r="AJ1230" s="30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4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30"/>
      <c r="AJ1231" s="30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4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30"/>
      <c r="AJ1232" s="30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4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30"/>
      <c r="AJ1233" s="30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4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30"/>
      <c r="AJ1234" s="30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4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30"/>
      <c r="AJ1235" s="30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4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30"/>
      <c r="AJ1236" s="30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4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30"/>
      <c r="AJ1237" s="30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4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30"/>
      <c r="AJ1238" s="30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4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30"/>
      <c r="AJ1239" s="30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4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30"/>
      <c r="AJ1240" s="30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4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30"/>
      <c r="AJ1241" s="30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4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30"/>
      <c r="AJ1242" s="30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4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30"/>
      <c r="AJ1243" s="30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4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30"/>
      <c r="AJ1244" s="30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4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30"/>
      <c r="AJ1245" s="30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4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30"/>
      <c r="AJ1246" s="30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4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30"/>
      <c r="AJ1247" s="30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4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30"/>
      <c r="AJ1248" s="30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4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30"/>
      <c r="AJ1249" s="30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4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30"/>
      <c r="AJ1250" s="30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4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30"/>
      <c r="AJ1251" s="30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4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30"/>
      <c r="AJ1252" s="30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4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30"/>
      <c r="AJ1253" s="30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4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30"/>
      <c r="AJ1254" s="30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4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30"/>
      <c r="AJ1255" s="30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4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30"/>
      <c r="AJ1256" s="30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4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30"/>
      <c r="AJ1257" s="30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4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30"/>
      <c r="AJ1258" s="30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4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30"/>
      <c r="AJ1259" s="30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4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30"/>
      <c r="AJ1260" s="30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4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30"/>
      <c r="AJ1261" s="30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4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30"/>
      <c r="AJ1262" s="30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4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30"/>
      <c r="AJ1263" s="30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4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30"/>
      <c r="AJ1264" s="30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4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30"/>
      <c r="AJ1265" s="30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4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30"/>
      <c r="AJ1266" s="30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4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30"/>
      <c r="AJ1267" s="30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4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30"/>
      <c r="AJ1268" s="30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4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30"/>
      <c r="AJ1269" s="30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4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30"/>
      <c r="AJ1270" s="30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4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30"/>
      <c r="AJ1271" s="30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4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30"/>
      <c r="AJ1272" s="30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4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30"/>
      <c r="AJ1273" s="30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4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30"/>
      <c r="AJ1274" s="30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4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30"/>
      <c r="AJ1275" s="30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4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30"/>
      <c r="AJ1276" s="30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4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30"/>
      <c r="AJ1277" s="30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4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30"/>
      <c r="AJ1278" s="30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4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30"/>
      <c r="AJ1279" s="30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4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30"/>
      <c r="AJ1280" s="30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4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30"/>
      <c r="AJ1281" s="30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4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30"/>
      <c r="AJ1282" s="30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4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30"/>
      <c r="AJ1283" s="30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4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30"/>
      <c r="AJ1284" s="30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4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30"/>
      <c r="AJ1285" s="30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4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30"/>
      <c r="AJ1286" s="30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4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30"/>
      <c r="AJ1287" s="30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4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30"/>
      <c r="AJ1288" s="30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4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30"/>
      <c r="AJ1289" s="30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4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30"/>
      <c r="AJ1290" s="30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4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30"/>
      <c r="AJ1291" s="30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4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30"/>
      <c r="AJ1292" s="30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4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30"/>
      <c r="AJ1293" s="30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4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30"/>
      <c r="AJ1294" s="30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4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30"/>
      <c r="AJ1295" s="30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4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30"/>
      <c r="AJ1296" s="30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4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30"/>
      <c r="AJ1297" s="30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4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30"/>
      <c r="AJ1298" s="30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4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30"/>
      <c r="AJ1299" s="30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4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30"/>
      <c r="AJ1300" s="30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4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30"/>
      <c r="AJ1301" s="30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4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30"/>
      <c r="AJ1302" s="30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4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30"/>
      <c r="AJ1303" s="30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4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30"/>
      <c r="AJ1304" s="30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4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30"/>
      <c r="AJ1305" s="30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4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30"/>
      <c r="AJ1306" s="30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4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30"/>
      <c r="AJ1307" s="30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4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30"/>
      <c r="AJ1308" s="30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4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30"/>
      <c r="AJ1309" s="30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4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30"/>
      <c r="AJ1310" s="30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4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30"/>
      <c r="AJ1311" s="30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4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30"/>
      <c r="AJ1312" s="30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4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30"/>
      <c r="AJ1313" s="30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4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30"/>
      <c r="AJ1314" s="30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4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30"/>
      <c r="AJ1315" s="30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4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30"/>
      <c r="AJ1316" s="30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4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30"/>
      <c r="AJ1317" s="30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4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30"/>
      <c r="AJ1318" s="30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4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30"/>
      <c r="AJ1319" s="30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4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30"/>
      <c r="AJ1320" s="30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4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30"/>
      <c r="AJ1321" s="30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4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30"/>
      <c r="AJ1322" s="30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4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30"/>
      <c r="AJ1323" s="30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4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30"/>
      <c r="AJ1324" s="30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4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30"/>
      <c r="AJ1325" s="30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4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30"/>
      <c r="AJ1326" s="30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4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30"/>
      <c r="AJ1327" s="30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4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30"/>
      <c r="AJ1328" s="30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4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30"/>
      <c r="AJ1329" s="30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4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30"/>
      <c r="AJ1330" s="30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4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30"/>
      <c r="AJ1331" s="30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4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30"/>
      <c r="AJ1332" s="30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4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30"/>
      <c r="AJ1333" s="30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4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30"/>
      <c r="AJ1334" s="30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4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30"/>
      <c r="AJ1335" s="30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4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30"/>
      <c r="AJ1336" s="30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4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30"/>
      <c r="AJ1337" s="30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4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30"/>
      <c r="AJ1338" s="30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4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30"/>
      <c r="AJ1339" s="30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4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30"/>
      <c r="AJ1340" s="30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4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30"/>
      <c r="AJ1341" s="30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4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30"/>
      <c r="AJ1342" s="30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4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30"/>
      <c r="AJ1343" s="30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4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30"/>
      <c r="AJ1344" s="30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4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30"/>
      <c r="AJ1345" s="30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4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30"/>
      <c r="AJ1346" s="30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4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30"/>
      <c r="AJ1347" s="30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4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30"/>
      <c r="AJ1348" s="30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4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30"/>
      <c r="AJ1349" s="30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4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30"/>
      <c r="AJ1350" s="30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4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30"/>
      <c r="AJ1351" s="30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4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30"/>
      <c r="AJ1352" s="30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4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30"/>
      <c r="AJ1353" s="30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4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30"/>
      <c r="AJ1354" s="30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4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30"/>
      <c r="AJ1355" s="30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4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30"/>
      <c r="AJ1356" s="30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4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30"/>
      <c r="AJ1357" s="30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4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30"/>
      <c r="AJ1358" s="30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4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30"/>
      <c r="AJ1359" s="30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4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30"/>
      <c r="AJ1360" s="30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4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30"/>
      <c r="AJ1361" s="30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4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30"/>
      <c r="AJ1362" s="30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4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30"/>
      <c r="AJ1363" s="30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4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30"/>
      <c r="AJ1364" s="30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4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30"/>
      <c r="AJ1365" s="30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4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30"/>
      <c r="AJ1366" s="30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4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30"/>
      <c r="AJ1367" s="30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4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30"/>
      <c r="AJ1368" s="30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4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30"/>
      <c r="AJ1369" s="30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4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30"/>
      <c r="AJ1370" s="30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4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30"/>
      <c r="AJ1371" s="30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4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30"/>
      <c r="AJ1372" s="30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4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30"/>
      <c r="AJ1373" s="30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4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30"/>
      <c r="AJ1374" s="30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4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30"/>
      <c r="AJ1375" s="30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4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30"/>
      <c r="AJ1376" s="30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4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30"/>
      <c r="AJ1377" s="30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4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30"/>
      <c r="AJ1378" s="30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4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30"/>
      <c r="AJ1379" s="30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4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30"/>
      <c r="AJ1380" s="30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4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30"/>
      <c r="AJ1381" s="30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4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30"/>
      <c r="AJ1382" s="30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4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30"/>
      <c r="AJ1383" s="30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4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30"/>
      <c r="AJ1384" s="30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4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30"/>
      <c r="AJ1385" s="30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4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30"/>
      <c r="AJ1386" s="30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4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30"/>
      <c r="AJ1387" s="30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4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30"/>
      <c r="AJ1388" s="30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4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30"/>
      <c r="AJ1389" s="30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4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30"/>
      <c r="AJ1390" s="30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4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30"/>
      <c r="AJ1391" s="30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4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30"/>
      <c r="AJ1392" s="30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4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30"/>
      <c r="AJ1393" s="30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4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30"/>
      <c r="AJ1394" s="30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4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30"/>
      <c r="AJ1395" s="30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4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30"/>
      <c r="AJ1396" s="30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4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30"/>
      <c r="AJ1397" s="30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4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30"/>
      <c r="AJ1398" s="30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4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30"/>
      <c r="AJ1399" s="30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4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30"/>
      <c r="AJ1400" s="30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4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30"/>
      <c r="AJ1401" s="30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4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30"/>
      <c r="AJ1402" s="30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4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30"/>
      <c r="AJ1403" s="30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4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30"/>
      <c r="AJ1404" s="30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4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30"/>
      <c r="AJ1405" s="30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4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30"/>
      <c r="AJ1406" s="30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4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30"/>
      <c r="AJ1407" s="30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4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30"/>
      <c r="AJ1408" s="30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4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30"/>
      <c r="AJ1409" s="30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4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30"/>
      <c r="AJ1410" s="30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4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30"/>
      <c r="AJ1411" s="30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4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30"/>
      <c r="AJ1412" s="30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4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30"/>
      <c r="AJ1413" s="30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4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30"/>
      <c r="AJ1414" s="30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4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30"/>
      <c r="AJ1415" s="30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4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30"/>
      <c r="AJ1416" s="30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4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30"/>
      <c r="AJ1417" s="30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4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30"/>
      <c r="AJ1418" s="30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4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30"/>
      <c r="AJ1419" s="30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4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30"/>
      <c r="AJ1420" s="30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4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30"/>
      <c r="AJ1421" s="30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4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30"/>
      <c r="AJ1422" s="30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4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30"/>
      <c r="AJ1423" s="30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4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30"/>
      <c r="AJ1424" s="30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4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30"/>
      <c r="AJ1425" s="30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4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30"/>
      <c r="AJ1426" s="30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4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30"/>
      <c r="AJ1427" s="30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4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30"/>
      <c r="AJ1428" s="30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4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30"/>
      <c r="AJ1429" s="30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4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30"/>
      <c r="AJ1430" s="30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4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30"/>
      <c r="AJ1431" s="30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4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30"/>
      <c r="AJ1432" s="30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4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30"/>
      <c r="AJ1433" s="30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4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30"/>
      <c r="AJ1434" s="30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4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30"/>
      <c r="AJ1435" s="30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4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30"/>
      <c r="AJ1436" s="30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4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30"/>
      <c r="AJ1437" s="30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4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30"/>
      <c r="AJ1438" s="30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4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30"/>
      <c r="AJ1439" s="30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4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30"/>
      <c r="AJ1440" s="30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4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30"/>
      <c r="AJ1441" s="30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4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30"/>
      <c r="AJ1442" s="30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4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30"/>
      <c r="AJ1443" s="30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4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30"/>
      <c r="AJ1444" s="30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4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30"/>
      <c r="AJ1445" s="30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4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30"/>
      <c r="AJ1446" s="30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4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30"/>
      <c r="AJ1447" s="30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4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30"/>
      <c r="AJ1448" s="30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4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30"/>
      <c r="AJ1449" s="30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4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30"/>
      <c r="AJ1450" s="30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4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30"/>
      <c r="AJ1451" s="30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4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30"/>
      <c r="AJ1452" s="30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4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30"/>
      <c r="AJ1453" s="30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4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30"/>
      <c r="AJ1454" s="30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4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30"/>
      <c r="AJ1455" s="30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4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30"/>
      <c r="AJ1456" s="30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4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30"/>
      <c r="AJ1457" s="30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4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30"/>
      <c r="AJ1458" s="30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4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30"/>
      <c r="AJ1459" s="30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4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30"/>
      <c r="AJ1460" s="30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4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30"/>
      <c r="AJ1461" s="30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4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30"/>
      <c r="AJ1462" s="30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4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30"/>
      <c r="AJ1463" s="30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4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30"/>
      <c r="AJ1464" s="30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4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30"/>
      <c r="AJ1465" s="30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4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30"/>
      <c r="AJ1466" s="30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4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30"/>
      <c r="AJ1467" s="30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4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30"/>
      <c r="AJ1468" s="30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4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30"/>
      <c r="AJ1469" s="30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4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30"/>
      <c r="AJ1470" s="30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4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30"/>
      <c r="AJ1471" s="30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4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30"/>
      <c r="AJ1472" s="30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4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30"/>
      <c r="AJ1473" s="30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4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30"/>
      <c r="AJ1474" s="30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4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30"/>
      <c r="AJ1475" s="30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4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30"/>
      <c r="AJ1476" s="30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4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30"/>
      <c r="AJ1477" s="30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4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30"/>
      <c r="AJ1478" s="30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4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30"/>
      <c r="AJ1479" s="30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4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30"/>
      <c r="AJ1480" s="30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4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30"/>
      <c r="AJ1481" s="30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4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30"/>
      <c r="AJ1482" s="30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4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30"/>
      <c r="AJ1483" s="30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4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30"/>
      <c r="AJ1484" s="30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4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30"/>
      <c r="AJ1485" s="30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4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30"/>
      <c r="AJ1486" s="30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4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30"/>
      <c r="AJ1487" s="30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4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30"/>
      <c r="AJ1488" s="30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4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30"/>
      <c r="AJ1489" s="30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4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30"/>
      <c r="AJ1490" s="30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4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30"/>
      <c r="AJ1491" s="30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4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30"/>
      <c r="AJ1492" s="30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4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30"/>
      <c r="AJ1493" s="30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4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30"/>
      <c r="AJ1494" s="30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4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30"/>
      <c r="AJ1495" s="30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4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30"/>
      <c r="AJ1496" s="30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4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30"/>
      <c r="AJ1497" s="30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4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30"/>
      <c r="AJ1498" s="30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4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30"/>
      <c r="AJ1499" s="30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4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30"/>
      <c r="AJ1500" s="30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4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30"/>
      <c r="AJ1501" s="30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4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30"/>
      <c r="AJ1502" s="30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4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30"/>
      <c r="AJ1503" s="30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4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30"/>
      <c r="AJ1504" s="30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4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30"/>
      <c r="AJ1505" s="30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4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30"/>
      <c r="AJ1506" s="30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4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30"/>
      <c r="AJ1507" s="30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4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30"/>
      <c r="AJ1508" s="30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4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30"/>
      <c r="AJ1509" s="30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4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30"/>
      <c r="AJ1510" s="30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4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30"/>
      <c r="AJ1511" s="30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4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30"/>
      <c r="AJ1512" s="30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4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30"/>
      <c r="AJ1513" s="30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4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30"/>
      <c r="AJ1514" s="30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4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30"/>
      <c r="AJ1515" s="30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4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30"/>
      <c r="AJ1516" s="30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4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30"/>
      <c r="AJ1517" s="30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4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30"/>
      <c r="AJ1518" s="30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4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30"/>
      <c r="AJ1519" s="30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4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30"/>
      <c r="AJ1520" s="30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4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30"/>
      <c r="AJ1521" s="30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4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30"/>
      <c r="AJ1522" s="30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4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30"/>
      <c r="AJ1523" s="30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4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30"/>
      <c r="AJ1524" s="30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4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30"/>
      <c r="AJ1525" s="30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4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30"/>
      <c r="AJ1526" s="30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4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30"/>
      <c r="AJ1527" s="30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4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30"/>
      <c r="AJ1528" s="30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4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30"/>
      <c r="AJ1529" s="30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4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30"/>
      <c r="AJ1530" s="30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4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30"/>
      <c r="AJ1531" s="30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4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30"/>
      <c r="AJ1532" s="30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4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30"/>
      <c r="AJ1533" s="30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4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30"/>
      <c r="AJ1534" s="30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4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30"/>
      <c r="AJ1535" s="30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4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30"/>
      <c r="AJ1536" s="30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4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30"/>
      <c r="AJ1537" s="30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4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30"/>
      <c r="AJ1538" s="30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4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30"/>
      <c r="AJ1539" s="30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4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30"/>
      <c r="AJ1540" s="30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4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30"/>
      <c r="AJ1541" s="30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4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30"/>
      <c r="AJ1542" s="30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4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30"/>
      <c r="AJ1543" s="30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4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30"/>
      <c r="AJ1544" s="30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4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30"/>
      <c r="AJ1545" s="30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4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30"/>
      <c r="AJ1546" s="30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4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30"/>
      <c r="AJ1547" s="30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4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30"/>
      <c r="AJ1548" s="30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4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30"/>
      <c r="AJ1549" s="30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4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30"/>
      <c r="AJ1550" s="30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4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30"/>
      <c r="AJ1551" s="30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4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30"/>
      <c r="AJ1552" s="30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4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30"/>
      <c r="AJ1553" s="30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4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30"/>
      <c r="AJ1554" s="30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4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30"/>
      <c r="AJ1555" s="30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4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30"/>
      <c r="AJ1556" s="30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4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30"/>
      <c r="AJ1557" s="30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4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30"/>
      <c r="AJ1558" s="30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4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30"/>
      <c r="AJ1559" s="30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4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30"/>
      <c r="AJ1560" s="30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4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30"/>
      <c r="AJ1561" s="30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4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30"/>
      <c r="AJ1562" s="30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4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30"/>
      <c r="AJ1563" s="30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4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30"/>
      <c r="AJ1564" s="30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4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30"/>
      <c r="AJ1565" s="30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4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30"/>
      <c r="AJ1566" s="30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4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30"/>
      <c r="AJ1567" s="30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4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30"/>
      <c r="AJ1568" s="30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4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30"/>
      <c r="AJ1569" s="30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4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30"/>
      <c r="AJ1570" s="30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4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30"/>
      <c r="AJ1571" s="30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4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30"/>
      <c r="AJ1572" s="30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4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30"/>
      <c r="AJ1573" s="30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4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30"/>
      <c r="AJ1574" s="30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4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30"/>
      <c r="AJ1575" s="30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4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30"/>
      <c r="AJ1576" s="30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4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30"/>
      <c r="AJ1577" s="30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4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30"/>
      <c r="AJ1578" s="30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4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30"/>
      <c r="AJ1579" s="30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4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30"/>
      <c r="AJ1580" s="30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4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30"/>
      <c r="AJ1581" s="30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4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30"/>
      <c r="AJ1582" s="30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4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30"/>
      <c r="AJ1583" s="30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4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30"/>
      <c r="AJ1584" s="30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4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30"/>
      <c r="AJ1585" s="30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4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30"/>
      <c r="AJ1586" s="30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4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30"/>
      <c r="AJ1587" s="30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4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30"/>
      <c r="AJ1588" s="30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4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30"/>
      <c r="AJ1589" s="30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4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30"/>
      <c r="AJ1590" s="30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4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30"/>
      <c r="AJ1591" s="30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4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30"/>
      <c r="AJ1592" s="30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4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30"/>
      <c r="AJ1593" s="30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4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30"/>
      <c r="AJ1594" s="30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4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30"/>
      <c r="AJ1595" s="30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4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30"/>
      <c r="AJ1596" s="30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4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30"/>
      <c r="AJ1597" s="30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4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30"/>
      <c r="AJ1598" s="30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4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30"/>
      <c r="AJ1599" s="30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4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30"/>
      <c r="AJ1600" s="30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4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30"/>
      <c r="AJ1601" s="30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4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30"/>
      <c r="AJ1602" s="30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4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30"/>
      <c r="AJ1603" s="30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4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30"/>
      <c r="AJ1604" s="30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4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30"/>
      <c r="AJ1605" s="30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4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30"/>
      <c r="AJ1606" s="30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4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30"/>
      <c r="AJ1607" s="30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4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30"/>
      <c r="AJ1608" s="30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4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30"/>
      <c r="AJ1609" s="30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4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30"/>
      <c r="AJ1610" s="30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4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30"/>
      <c r="AJ1611" s="30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4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30"/>
      <c r="AJ1612" s="30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4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30"/>
      <c r="AJ1613" s="30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4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30"/>
      <c r="AJ1614" s="30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4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30"/>
      <c r="AJ1615" s="30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4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30"/>
      <c r="AJ1616" s="30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4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30"/>
      <c r="AJ1617" s="30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4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30"/>
      <c r="AJ1618" s="30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4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30"/>
      <c r="AJ1619" s="30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4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30"/>
      <c r="AJ1620" s="30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4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30"/>
      <c r="AJ1621" s="30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4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30"/>
      <c r="AJ1622" s="30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4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30"/>
      <c r="AJ1623" s="30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4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30"/>
      <c r="AJ1624" s="30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4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30"/>
      <c r="AJ1625" s="30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4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30"/>
      <c r="AJ1626" s="30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4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30"/>
      <c r="AJ1627" s="30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4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30"/>
      <c r="AJ1628" s="30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4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30"/>
      <c r="AJ1629" s="30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4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30"/>
      <c r="AJ1630" s="30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4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30"/>
      <c r="AJ1631" s="30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4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30"/>
      <c r="AJ1632" s="30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4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30"/>
      <c r="AJ1633" s="30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4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30"/>
      <c r="AJ1634" s="30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4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30"/>
      <c r="AJ1635" s="30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4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30"/>
      <c r="AJ1636" s="30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4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30"/>
      <c r="AJ1637" s="30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4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30"/>
      <c r="AJ1638" s="30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4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30"/>
      <c r="AJ1639" s="30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4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30"/>
      <c r="AJ1640" s="30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4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30"/>
      <c r="AJ1641" s="30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4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30"/>
      <c r="AJ1642" s="30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4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30"/>
      <c r="AJ1643" s="30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4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30"/>
      <c r="AJ1644" s="30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4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30"/>
      <c r="AJ1645" s="30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4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30"/>
      <c r="AJ1646" s="30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4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30"/>
      <c r="AJ1647" s="30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4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30"/>
      <c r="AJ1648" s="30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4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30"/>
      <c r="AJ1649" s="30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4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30"/>
      <c r="AJ1650" s="30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4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30"/>
      <c r="AJ1651" s="30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4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30"/>
      <c r="AJ1652" s="30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4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30"/>
      <c r="AJ1653" s="30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0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5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Opp Meta")</f>
        <v>Receita por Opp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1">
        <f>IFERROR(__xludf.DUMMYFUNCTION("""COMPUTED_VALUE"""),679.354838709677)</f>
        <v>679.3548387</v>
      </c>
      <c r="C2" s="11">
        <f>IFERROR(__xludf.DUMMYFUNCTION("""COMPUTED_VALUE"""),747.0)</f>
        <v>747</v>
      </c>
      <c r="D2" s="11">
        <f>IFERROR(__xludf.DUMMYFUNCTION("""COMPUTED_VALUE"""),67.64516129032302)</f>
        <v>67.64516129</v>
      </c>
      <c r="E2" s="10">
        <f>IFERROR(__xludf.DUMMYFUNCTION("""COMPUTED_VALUE"""),0.09957264957265027)</f>
        <v>0.09957264957</v>
      </c>
      <c r="F2" s="10">
        <f>IFERROR(__xludf.DUMMYFUNCTION("""COMPUTED_VALUE"""),0.8603277999463558)</f>
        <v>0.8603277999</v>
      </c>
      <c r="G2" s="10">
        <f>IFERROR(__xludf.DUMMYFUNCTION("""COMPUTED_VALUE"""),0.7697456492637216)</f>
        <v>0.7697456493</v>
      </c>
      <c r="H2" s="36">
        <f>IFERROR(__xludf.DUMMYFUNCTION("""COMPUTED_VALUE"""),-9.05821506826342)</f>
        <v>-9.058215068</v>
      </c>
      <c r="I2" s="11">
        <f>IFERROR(__xludf.DUMMYFUNCTION("""COMPUTED_VALUE"""),584.4678537700078)</f>
        <v>584.4678538</v>
      </c>
      <c r="J2" s="11">
        <f>IFERROR(__xludf.DUMMYFUNCTION("""COMPUTED_VALUE"""),575.0)</f>
        <v>575</v>
      </c>
      <c r="K2" s="11">
        <f>IFERROR(__xludf.DUMMYFUNCTION("""COMPUTED_VALUE"""),-9.467853770007764)</f>
        <v>-9.46785377</v>
      </c>
      <c r="L2" s="10">
        <f>IFERROR(__xludf.DUMMYFUNCTION("""COMPUTED_VALUE"""),-0.016199100958140002)</f>
        <v>-0.01619910096</v>
      </c>
      <c r="M2" s="10">
        <f>IFERROR(__xludf.DUMMYFUNCTION("""COMPUTED_VALUE"""),0.25718518518518546)</f>
        <v>0.2571851852</v>
      </c>
      <c r="N2" s="10">
        <f>IFERROR(__xludf.DUMMYFUNCTION("""COMPUTED_VALUE"""),0.288695652173913)</f>
        <v>0.2886956522</v>
      </c>
      <c r="O2" s="36">
        <f>IFERROR(__xludf.DUMMYFUNCTION("""COMPUTED_VALUE"""),3.151046698872756)</f>
        <v>3.151046699</v>
      </c>
      <c r="P2" s="11">
        <f>IFERROR(__xludf.DUMMYFUNCTION("""COMPUTED_VALUE"""),150.31647320662734)</f>
        <v>150.3164732</v>
      </c>
      <c r="Q2" s="11">
        <f>IFERROR(__xludf.DUMMYFUNCTION("""COMPUTED_VALUE"""),166.0)</f>
        <v>166</v>
      </c>
      <c r="R2" s="11">
        <f>IFERROR(__xludf.DUMMYFUNCTION("""COMPUTED_VALUE"""),15.683526793372664)</f>
        <v>15.68352679</v>
      </c>
      <c r="S2" s="10">
        <f>IFERROR(__xludf.DUMMYFUNCTION("""COMPUTED_VALUE"""),0.10433671346063214)</f>
        <v>0.1043367135</v>
      </c>
      <c r="T2" s="11">
        <f>IFERROR(__xludf.DUMMYFUNCTION("""COMPUTED_VALUE"""),720750.5784225422)</f>
        <v>720750.5784</v>
      </c>
      <c r="U2" s="15">
        <f>IFERROR(__xludf.DUMMYFUNCTION("""COMPUTED_VALUE"""),4940.0)</f>
        <v>4940</v>
      </c>
      <c r="V2" s="15">
        <f>IFERROR(__xludf.DUMMYFUNCTION("""COMPUTED_VALUE"""),-46771.19762383836)</f>
        <v>-46771.19762</v>
      </c>
      <c r="W2" s="10">
        <f>IFERROR(__xludf.DUMMYFUNCTION("""COMPUTED_VALUE"""),-0.06489234837133714)</f>
        <v>-0.06489234837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1">
        <f>IFERROR(__xludf.DUMMYFUNCTION("""COMPUTED_VALUE"""),98.41935483870961)</f>
        <v>98.41935484</v>
      </c>
      <c r="C3" s="11">
        <f>IFERROR(__xludf.DUMMYFUNCTION("""COMPUTED_VALUE"""),101.0)</f>
        <v>101</v>
      </c>
      <c r="D3" s="11">
        <f>IFERROR(__xludf.DUMMYFUNCTION("""COMPUTED_VALUE"""),2.5806451612903913)</f>
        <v>2.580645161</v>
      </c>
      <c r="E3" s="10">
        <f>IFERROR(__xludf.DUMMYFUNCTION("""COMPUTED_VALUE"""),0.026220911176664106)</f>
        <v>0.02622091118</v>
      </c>
      <c r="F3" s="10">
        <f>IFERROR(__xludf.DUMMYFUNCTION("""COMPUTED_VALUE"""),0.7720883770996892)</f>
        <v>0.7720883771</v>
      </c>
      <c r="G3" s="10">
        <f>IFERROR(__xludf.DUMMYFUNCTION("""COMPUTED_VALUE"""),0.8811881188118812)</f>
        <v>0.8811881188</v>
      </c>
      <c r="H3" s="36">
        <f>IFERROR(__xludf.DUMMYFUNCTION("""COMPUTED_VALUE"""),10.909974171219194)</f>
        <v>10.90997417</v>
      </c>
      <c r="I3" s="11">
        <f>IFERROR(__xludf.DUMMYFUNCTION("""COMPUTED_VALUE"""),75.98843995261775)</f>
        <v>75.98843995</v>
      </c>
      <c r="J3" s="11">
        <f>IFERROR(__xludf.DUMMYFUNCTION("""COMPUTED_VALUE"""),89.0)</f>
        <v>89</v>
      </c>
      <c r="K3" s="11">
        <f>IFERROR(__xludf.DUMMYFUNCTION("""COMPUTED_VALUE"""),13.011560047382247)</f>
        <v>13.01156005</v>
      </c>
      <c r="L3" s="10">
        <f>IFERROR(__xludf.DUMMYFUNCTION("""COMPUTED_VALUE"""),0.1712307826755694)</f>
        <v>0.1712307827</v>
      </c>
      <c r="M3" s="10">
        <f>IFERROR(__xludf.DUMMYFUNCTION("""COMPUTED_VALUE"""),0.261777777777778)</f>
        <v>0.2617777778</v>
      </c>
      <c r="N3" s="10">
        <f>IFERROR(__xludf.DUMMYFUNCTION("""COMPUTED_VALUE"""),0.1797752808988764)</f>
        <v>0.1797752809</v>
      </c>
      <c r="O3" s="36">
        <f>IFERROR(__xludf.DUMMYFUNCTION("""COMPUTED_VALUE"""),-8.20024968789016)</f>
        <v>-8.200249688</v>
      </c>
      <c r="P3" s="11">
        <f>IFERROR(__xludf.DUMMYFUNCTION("""COMPUTED_VALUE"""),19.8920849475964)</f>
        <v>19.89208495</v>
      </c>
      <c r="Q3" s="11">
        <f>IFERROR(__xludf.DUMMYFUNCTION("""COMPUTED_VALUE"""),16.0)</f>
        <v>16</v>
      </c>
      <c r="R3" s="11">
        <f>IFERROR(__xludf.DUMMYFUNCTION("""COMPUTED_VALUE"""),-3.8920849475963983)</f>
        <v>-3.892084948</v>
      </c>
      <c r="S3" s="10">
        <f>IFERROR(__xludf.DUMMYFUNCTION("""COMPUTED_VALUE"""),-0.1956599802308147)</f>
        <v>-0.1956599802</v>
      </c>
      <c r="T3" s="11">
        <f>IFERROR(__xludf.DUMMYFUNCTION("""COMPUTED_VALUE"""),106578.80733647935)</f>
        <v>106578.8073</v>
      </c>
      <c r="U3" s="15">
        <f>IFERROR(__xludf.DUMMYFUNCTION("""COMPUTED_VALUE"""),5520.000000000001)</f>
        <v>5520</v>
      </c>
      <c r="V3" s="15">
        <f>IFERROR(__xludf.DUMMYFUNCTION("""COMPUTED_VALUE"""),71823.81146155001)</f>
        <v>71823.81146</v>
      </c>
      <c r="W3" s="10">
        <f>IFERROR(__xludf.DUMMYFUNCTION("""COMPUTED_VALUE"""),0.6739033139561739)</f>
        <v>0.673903314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1">
        <f>IFERROR(__xludf.DUMMYFUNCTION("""COMPUTED_VALUE"""),1917.6967741935473)</f>
        <v>1917.696774</v>
      </c>
      <c r="C4" s="11">
        <f>IFERROR(__xludf.DUMMYFUNCTION("""COMPUTED_VALUE"""),2112.0)</f>
        <v>2112</v>
      </c>
      <c r="D4" s="11">
        <f>IFERROR(__xludf.DUMMYFUNCTION("""COMPUTED_VALUE"""),194.3032258064527)</f>
        <v>194.3032258</v>
      </c>
      <c r="E4" s="10">
        <f>IFERROR(__xludf.DUMMYFUNCTION("""COMPUTED_VALUE"""),0.1013211412884414)</f>
        <v>0.1013211413</v>
      </c>
      <c r="F4" s="10">
        <f>IFERROR(__xludf.DUMMYFUNCTION("""COMPUTED_VALUE"""),0.8334080360633018)</f>
        <v>0.8334080361</v>
      </c>
      <c r="G4" s="10" t="str">
        <f>IFERROR(__xludf.DUMMYFUNCTION("""COMPUTED_VALUE"""),"#REF!")</f>
        <v>#REF!</v>
      </c>
      <c r="H4" s="36" t="str">
        <f>IFERROR(__xludf.DUMMYFUNCTION("""COMPUTED_VALUE"""),"#REF!")</f>
        <v>#REF!</v>
      </c>
      <c r="I4" s="11">
        <f>IFERROR(__xludf.DUMMYFUNCTION("""COMPUTED_VALUE"""),1598.2239023455734)</f>
        <v>1598.223902</v>
      </c>
      <c r="J4" s="11" t="str">
        <f>IFERROR(__xludf.DUMMYFUNCTION("""COMPUTED_VALUE"""),"#REF!")</f>
        <v>#REF!</v>
      </c>
      <c r="K4" s="9" t="str">
        <f>IFERROR(__xludf.DUMMYFUNCTION("""COMPUTED_VALUE"""),"#REF!")</f>
        <v>#REF!</v>
      </c>
      <c r="L4" s="10" t="str">
        <f>IFERROR(__xludf.DUMMYFUNCTION("""COMPUTED_VALUE"""),"#REF!")</f>
        <v>#REF!</v>
      </c>
      <c r="M4" s="10">
        <f>IFERROR(__xludf.DUMMYFUNCTION("""COMPUTED_VALUE"""),0.3056889689296697)</f>
        <v>0.3056889689</v>
      </c>
      <c r="N4" s="10" t="str">
        <f>IFERROR(__xludf.DUMMYFUNCTION("""COMPUTED_VALUE"""),"#REF!")</f>
        <v>#REF!</v>
      </c>
      <c r="O4" s="36" t="str">
        <f>IFERROR(__xludf.DUMMYFUNCTION("""COMPUTED_VALUE"""),"#REF!")</f>
        <v>#REF!</v>
      </c>
      <c r="P4" s="11">
        <f>IFERROR(__xludf.DUMMYFUNCTION("""COMPUTED_VALUE"""),488.55941682677144)</f>
        <v>488.5594168</v>
      </c>
      <c r="Q4" s="11" t="str">
        <f>IFERROR(__xludf.DUMMYFUNCTION("""COMPUTED_VALUE"""),"#REF!")</f>
        <v>#REF!</v>
      </c>
      <c r="R4" s="9" t="str">
        <f>IFERROR(__xludf.DUMMYFUNCTION("""COMPUTED_VALUE"""),"#REF!")</f>
        <v>#REF!</v>
      </c>
      <c r="S4" s="10" t="str">
        <f>IFERROR(__xludf.DUMMYFUNCTION("""COMPUTED_VALUE"""),"#REF!")</f>
        <v>#REF!</v>
      </c>
      <c r="T4" s="11">
        <f>IFERROR(__xludf.DUMMYFUNCTION("""COMPUTED_VALUE"""),2771350.7911419296)</f>
        <v>2771350.791</v>
      </c>
      <c r="U4" s="15">
        <f>IFERROR(__xludf.DUMMYFUNCTION("""COMPUTED_VALUE"""),5844.167295568762)</f>
        <v>5844.167296</v>
      </c>
      <c r="V4" s="15">
        <f>IFERROR(__xludf.DUMMYFUNCTION("""COMPUTED_VALUE"""),972489.7513386722)</f>
        <v>972489.7513</v>
      </c>
      <c r="W4" s="10">
        <f>IFERROR(__xludf.DUMMYFUNCTION("""COMPUTED_VALUE"""),0.3509082121422672)</f>
        <v>0.3509082121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1">
        <f>IFERROR(__xludf.DUMMYFUNCTION("""COMPUTED_VALUE"""),1194.9677419354832)</f>
        <v>1194.967742</v>
      </c>
      <c r="C5" s="11">
        <f>IFERROR(__xludf.DUMMYFUNCTION("""COMPUTED_VALUE"""),1257.0)</f>
        <v>1257</v>
      </c>
      <c r="D5" s="11">
        <f>IFERROR(__xludf.DUMMYFUNCTION("""COMPUTED_VALUE"""),62.03225806451678)</f>
        <v>62.03225806</v>
      </c>
      <c r="E5" s="10">
        <f>IFERROR(__xludf.DUMMYFUNCTION("""COMPUTED_VALUE"""),0.051911240686751466)</f>
        <v>0.05191124069</v>
      </c>
      <c r="F5" s="10">
        <f>IFERROR(__xludf.DUMMYFUNCTION("""COMPUTED_VALUE"""),0.8426624896062616)</f>
        <v>0.8426624896</v>
      </c>
      <c r="G5" s="10">
        <f>IFERROR(__xludf.DUMMYFUNCTION("""COMPUTED_VALUE"""),0.8408910103420844)</f>
        <v>0.8408910103</v>
      </c>
      <c r="H5" s="36">
        <f>IFERROR(__xludf.DUMMYFUNCTION("""COMPUTED_VALUE"""),-0.17714792641772004)</f>
        <v>-0.1771479264</v>
      </c>
      <c r="I5" s="11">
        <f>IFERROR(__xludf.DUMMYFUNCTION("""COMPUTED_VALUE"""),1006.954492418527)</f>
        <v>1006.954492</v>
      </c>
      <c r="J5" s="11">
        <f>IFERROR(__xludf.DUMMYFUNCTION("""COMPUTED_VALUE"""),1057.0)</f>
        <v>1057</v>
      </c>
      <c r="K5" s="11">
        <f>IFERROR(__xludf.DUMMYFUNCTION("""COMPUTED_VALUE"""),50.045507581472975)</f>
        <v>50.04550758</v>
      </c>
      <c r="L5" s="10">
        <f>IFERROR(__xludf.DUMMYFUNCTION("""COMPUTED_VALUE"""),0.04969987021088957)</f>
        <v>0.04969987021</v>
      </c>
      <c r="M5" s="10">
        <f>IFERROR(__xludf.DUMMYFUNCTION("""COMPUTED_VALUE"""),0.31229629629629657)</f>
        <v>0.3122962963</v>
      </c>
      <c r="N5" s="10">
        <f>IFERROR(__xludf.DUMMYFUNCTION("""COMPUTED_VALUE"""),0.31788079470198677)</f>
        <v>0.3178807947</v>
      </c>
      <c r="O5" s="36">
        <f>IFERROR(__xludf.DUMMYFUNCTION("""COMPUTED_VALUE"""),0.5584498405690197)</f>
        <v>0.5584498406</v>
      </c>
      <c r="P5" s="11">
        <f>IFERROR(__xludf.DUMMYFUNCTION("""COMPUTED_VALUE"""),314.46815852122324)</f>
        <v>314.4681585</v>
      </c>
      <c r="Q5" s="11">
        <f>IFERROR(__xludf.DUMMYFUNCTION("""COMPUTED_VALUE"""),336.0)</f>
        <v>336</v>
      </c>
      <c r="R5" s="11">
        <f>IFERROR(__xludf.DUMMYFUNCTION("""COMPUTED_VALUE"""),21.531841478776755)</f>
        <v>21.53184148</v>
      </c>
      <c r="S5" s="10">
        <f>IFERROR(__xludf.DUMMYFUNCTION("""COMPUTED_VALUE"""),0.06847065718840843)</f>
        <v>0.06847065719</v>
      </c>
      <c r="T5" s="11">
        <f>IFERROR(__xludf.DUMMYFUNCTION("""COMPUTED_VALUE"""),1855802.3906971465)</f>
        <v>1855802.391</v>
      </c>
      <c r="U5" s="15">
        <f>IFERROR(__xludf.DUMMYFUNCTION("""COMPUTED_VALUE"""),6080.000000000001)</f>
        <v>6080</v>
      </c>
      <c r="V5" s="15">
        <f>IFERROR(__xludf.DUMMYFUNCTION("""COMPUTED_VALUE"""),304276.6860953557)</f>
        <v>304276.6861</v>
      </c>
      <c r="W5" s="10">
        <f>IFERROR(__xludf.DUMMYFUNCTION("""COMPUTED_VALUE"""),0.1639596368776375)</f>
        <v>0.1639596369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1">
        <f>IFERROR(__xludf.DUMMYFUNCTION("""COMPUTED_VALUE"""),135.0)</f>
        <v>135</v>
      </c>
      <c r="D6" s="9"/>
      <c r="E6" s="9"/>
      <c r="F6" s="9"/>
      <c r="G6" s="10">
        <f>IFERROR(__xludf.DUMMYFUNCTION("""COMPUTED_VALUE"""),0.8814814814814815)</f>
        <v>0.8814814815</v>
      </c>
      <c r="H6" s="9"/>
      <c r="I6" s="9"/>
      <c r="J6" s="11">
        <f>IFERROR(__xludf.DUMMYFUNCTION("""COMPUTED_VALUE"""),119.0)</f>
        <v>119</v>
      </c>
      <c r="K6" s="9"/>
      <c r="L6" s="9"/>
      <c r="M6" s="10">
        <f>IFERROR(__xludf.DUMMYFUNCTION("""COMPUTED_VALUE"""),0.31229629629629657)</f>
        <v>0.3122962963</v>
      </c>
      <c r="N6" s="10">
        <f>IFERROR(__xludf.DUMMYFUNCTION("""COMPUTED_VALUE"""),0.3865546218487395)</f>
        <v>0.3865546218</v>
      </c>
      <c r="O6" s="36">
        <f>IFERROR(__xludf.DUMMYFUNCTION("""COMPUTED_VALUE"""),7.425832555244294)</f>
        <v>7.425832555</v>
      </c>
      <c r="P6" s="9"/>
      <c r="Q6" s="11">
        <f>IFERROR(__xludf.DUMMYFUNCTION("""COMPUTED_VALUE"""),46.0)</f>
        <v>46</v>
      </c>
      <c r="R6" s="9"/>
      <c r="S6" s="9"/>
      <c r="T6" s="9"/>
      <c r="U6" s="9"/>
      <c r="V6" s="9"/>
      <c r="W6" s="9"/>
      <c r="X6" s="9"/>
      <c r="Y6" s="9"/>
      <c r="Z6" s="9"/>
    </row>
    <row r="7">
      <c r="A7" s="9" t="str">
        <f>IFERROR(__xludf.DUMMYFUNCTION("""COMPUTED_VALUE"""),"Pablo Maia")</f>
        <v>Pablo Maia</v>
      </c>
      <c r="B7" s="9"/>
      <c r="C7" s="11">
        <f>IFERROR(__xludf.DUMMYFUNCTION("""COMPUTED_VALUE"""),127.0)</f>
        <v>127</v>
      </c>
      <c r="D7" s="9"/>
      <c r="E7" s="9"/>
      <c r="F7" s="9"/>
      <c r="G7" s="10">
        <f>IFERROR(__xludf.DUMMYFUNCTION("""COMPUTED_VALUE"""),0.8503937007874016)</f>
        <v>0.8503937008</v>
      </c>
      <c r="H7" s="9"/>
      <c r="I7" s="9"/>
      <c r="J7" s="11">
        <f>IFERROR(__xludf.DUMMYFUNCTION("""COMPUTED_VALUE"""),108.0)</f>
        <v>108</v>
      </c>
      <c r="K7" s="9"/>
      <c r="L7" s="9"/>
      <c r="M7" s="10">
        <f>IFERROR(__xludf.DUMMYFUNCTION("""COMPUTED_VALUE"""),0.31229629629629657)</f>
        <v>0.3122962963</v>
      </c>
      <c r="N7" s="10">
        <f>IFERROR(__xludf.DUMMYFUNCTION("""COMPUTED_VALUE"""),0.3425925925925926)</f>
        <v>0.3425925926</v>
      </c>
      <c r="O7" s="36">
        <f>IFERROR(__xludf.DUMMYFUNCTION("""COMPUTED_VALUE"""),3.0296296296296044)</f>
        <v>3.02962963</v>
      </c>
      <c r="P7" s="9"/>
      <c r="Q7" s="11">
        <f>IFERROR(__xludf.DUMMYFUNCTION("""COMPUTED_VALUE"""),37.0)</f>
        <v>37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IFERROR(__xludf.DUMMYFUNCTION("""COMPUTED_VALUE"""),"Luiz Felipe")</f>
        <v>Luiz Felipe</v>
      </c>
      <c r="B8" s="9"/>
      <c r="C8" s="11">
        <f>IFERROR(__xludf.DUMMYFUNCTION("""COMPUTED_VALUE"""),133.0)</f>
        <v>133</v>
      </c>
      <c r="D8" s="9"/>
      <c r="E8" s="9"/>
      <c r="F8" s="9"/>
      <c r="G8" s="10">
        <f>IFERROR(__xludf.DUMMYFUNCTION("""COMPUTED_VALUE"""),0.8120300751879699)</f>
        <v>0.8120300752</v>
      </c>
      <c r="H8" s="9"/>
      <c r="I8" s="9"/>
      <c r="J8" s="11">
        <f>IFERROR(__xludf.DUMMYFUNCTION("""COMPUTED_VALUE"""),108.0)</f>
        <v>108</v>
      </c>
      <c r="K8" s="9"/>
      <c r="L8" s="9"/>
      <c r="M8" s="10">
        <f>IFERROR(__xludf.DUMMYFUNCTION("""COMPUTED_VALUE"""),0.31229629629629657)</f>
        <v>0.3122962963</v>
      </c>
      <c r="N8" s="10">
        <f>IFERROR(__xludf.DUMMYFUNCTION("""COMPUTED_VALUE"""),0.3425925925925926)</f>
        <v>0.3425925926</v>
      </c>
      <c r="O8" s="36">
        <f>IFERROR(__xludf.DUMMYFUNCTION("""COMPUTED_VALUE"""),3.0296296296296044)</f>
        <v>3.02962963</v>
      </c>
      <c r="P8" s="9"/>
      <c r="Q8" s="11">
        <f>IFERROR(__xludf.DUMMYFUNCTION("""COMPUTED_VALUE"""),37.0)</f>
        <v>37</v>
      </c>
      <c r="R8" s="9"/>
      <c r="S8" s="9"/>
      <c r="T8" s="9"/>
      <c r="U8" s="9"/>
      <c r="V8" s="9"/>
      <c r="W8" s="9"/>
      <c r="X8" s="9"/>
      <c r="Y8" s="9"/>
      <c r="Z8" s="9"/>
    </row>
    <row r="9">
      <c r="A9" s="9" t="str">
        <f>IFERROR(__xludf.DUMMYFUNCTION("""COMPUTED_VALUE"""),"Nicolas Miranda")</f>
        <v>Nicolas Miranda</v>
      </c>
      <c r="B9" s="9"/>
      <c r="C9" s="11">
        <f>IFERROR(__xludf.DUMMYFUNCTION("""COMPUTED_VALUE"""),120.0)</f>
        <v>120</v>
      </c>
      <c r="D9" s="9"/>
      <c r="E9" s="9"/>
      <c r="F9" s="9"/>
      <c r="G9" s="10">
        <f>IFERROR(__xludf.DUMMYFUNCTION("""COMPUTED_VALUE"""),0.8666666666666667)</f>
        <v>0.8666666667</v>
      </c>
      <c r="H9" s="9"/>
      <c r="I9" s="9"/>
      <c r="J9" s="11">
        <f>IFERROR(__xludf.DUMMYFUNCTION("""COMPUTED_VALUE"""),104.0)</f>
        <v>104</v>
      </c>
      <c r="K9" s="9"/>
      <c r="L9" s="9"/>
      <c r="M9" s="10">
        <f>IFERROR(__xludf.DUMMYFUNCTION("""COMPUTED_VALUE"""),0.31229629629629657)</f>
        <v>0.3122962963</v>
      </c>
      <c r="N9" s="10">
        <f>IFERROR(__xludf.DUMMYFUNCTION("""COMPUTED_VALUE"""),0.3269230769230769)</f>
        <v>0.3269230769</v>
      </c>
      <c r="O9" s="36">
        <f>IFERROR(__xludf.DUMMYFUNCTION("""COMPUTED_VALUE"""),1.4626780626780356)</f>
        <v>1.462678063</v>
      </c>
      <c r="P9" s="9"/>
      <c r="Q9" s="11">
        <f>IFERROR(__xludf.DUMMYFUNCTION("""COMPUTED_VALUE"""),34.0)</f>
        <v>34</v>
      </c>
      <c r="R9" s="9"/>
      <c r="S9" s="9"/>
      <c r="T9" s="9"/>
      <c r="U9" s="9"/>
      <c r="V9" s="9"/>
      <c r="W9" s="9"/>
      <c r="X9" s="9"/>
      <c r="Y9" s="9"/>
      <c r="Z9" s="9"/>
    </row>
    <row r="10">
      <c r="A10" s="9" t="str">
        <f>IFERROR(__xludf.DUMMYFUNCTION("""COMPUTED_VALUE"""),"Leonardo Alencar")</f>
        <v>Leonardo Alencar</v>
      </c>
      <c r="B10" s="9"/>
      <c r="C10" s="11">
        <f>IFERROR(__xludf.DUMMYFUNCTION("""COMPUTED_VALUE"""),122.0)</f>
        <v>122</v>
      </c>
      <c r="D10" s="9"/>
      <c r="E10" s="9"/>
      <c r="F10" s="9"/>
      <c r="G10" s="10">
        <f>IFERROR(__xludf.DUMMYFUNCTION("""COMPUTED_VALUE"""),0.8770491803278688)</f>
        <v>0.8770491803</v>
      </c>
      <c r="H10" s="9"/>
      <c r="I10" s="9"/>
      <c r="J10" s="11">
        <f>IFERROR(__xludf.DUMMYFUNCTION("""COMPUTED_VALUE"""),107.0)</f>
        <v>107</v>
      </c>
      <c r="K10" s="9"/>
      <c r="L10" s="9"/>
      <c r="M10" s="10">
        <f>IFERROR(__xludf.DUMMYFUNCTION("""COMPUTED_VALUE"""),0.31229629629629657)</f>
        <v>0.3122962963</v>
      </c>
      <c r="N10" s="10">
        <f>IFERROR(__xludf.DUMMYFUNCTION("""COMPUTED_VALUE"""),0.3177570093457944)</f>
        <v>0.3177570093</v>
      </c>
      <c r="O10" s="36">
        <f>IFERROR(__xludf.DUMMYFUNCTION("""COMPUTED_VALUE"""),0.5460713049497801)</f>
        <v>0.5460713049</v>
      </c>
      <c r="P10" s="9"/>
      <c r="Q10" s="11">
        <f>IFERROR(__xludf.DUMMYFUNCTION("""COMPUTED_VALUE"""),34.0)</f>
        <v>34</v>
      </c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1">
        <f>IFERROR(__xludf.DUMMYFUNCTION("""COMPUTED_VALUE"""),128.0)</f>
        <v>128</v>
      </c>
      <c r="D11" s="9"/>
      <c r="E11" s="9"/>
      <c r="F11" s="9"/>
      <c r="G11" s="10">
        <f>IFERROR(__xludf.DUMMYFUNCTION("""COMPUTED_VALUE"""),0.8046875)</f>
        <v>0.8046875</v>
      </c>
      <c r="H11" s="9"/>
      <c r="I11" s="9"/>
      <c r="J11" s="11">
        <f>IFERROR(__xludf.DUMMYFUNCTION("""COMPUTED_VALUE"""),103.0)</f>
        <v>103</v>
      </c>
      <c r="K11" s="9"/>
      <c r="L11" s="9"/>
      <c r="M11" s="10">
        <f>IFERROR(__xludf.DUMMYFUNCTION("""COMPUTED_VALUE"""),0.31229629629629657)</f>
        <v>0.3122962963</v>
      </c>
      <c r="N11" s="10">
        <f>IFERROR(__xludf.DUMMYFUNCTION("""COMPUTED_VALUE"""),0.32038834951456313)</f>
        <v>0.3203883495</v>
      </c>
      <c r="O11" s="36">
        <f>IFERROR(__xludf.DUMMYFUNCTION("""COMPUTED_VALUE"""),0.8092053218266559)</f>
        <v>0.8092053218</v>
      </c>
      <c r="P11" s="9"/>
      <c r="Q11" s="11">
        <f>IFERROR(__xludf.DUMMYFUNCTION("""COMPUTED_VALUE"""),33.0)</f>
        <v>33</v>
      </c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1">
        <f>IFERROR(__xludf.DUMMYFUNCTION("""COMPUTED_VALUE"""),101.0)</f>
        <v>101</v>
      </c>
      <c r="D12" s="9"/>
      <c r="E12" s="9"/>
      <c r="F12" s="9"/>
      <c r="G12" s="10">
        <f>IFERROR(__xludf.DUMMYFUNCTION("""COMPUTED_VALUE"""),0.8811881188118812)</f>
        <v>0.8811881188</v>
      </c>
      <c r="H12" s="9"/>
      <c r="I12" s="9"/>
      <c r="J12" s="11">
        <f>IFERROR(__xludf.DUMMYFUNCTION("""COMPUTED_VALUE"""),89.0)</f>
        <v>89</v>
      </c>
      <c r="K12" s="9"/>
      <c r="L12" s="9"/>
      <c r="M12" s="10">
        <f>IFERROR(__xludf.DUMMYFUNCTION("""COMPUTED_VALUE"""),0.31229629629629657)</f>
        <v>0.3122962963</v>
      </c>
      <c r="N12" s="10">
        <f>IFERROR(__xludf.DUMMYFUNCTION("""COMPUTED_VALUE"""),0.24719101123595505)</f>
        <v>0.2471910112</v>
      </c>
      <c r="O12" s="36">
        <f>IFERROR(__xludf.DUMMYFUNCTION("""COMPUTED_VALUE"""),-6.510528506034152)</f>
        <v>-6.510528506</v>
      </c>
      <c r="P12" s="9"/>
      <c r="Q12" s="11">
        <f>IFERROR(__xludf.DUMMYFUNCTION("""COMPUTED_VALUE"""),22.0)</f>
        <v>22</v>
      </c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IFERROR(__xludf.DUMMYFUNCTION("""COMPUTED_VALUE"""),"Nathan Nascimento")</f>
        <v>Nathan Nascimento</v>
      </c>
      <c r="B13" s="9"/>
      <c r="C13" s="11">
        <f>IFERROR(__xludf.DUMMYFUNCTION("""COMPUTED_VALUE"""),124.0)</f>
        <v>124</v>
      </c>
      <c r="D13" s="9"/>
      <c r="E13" s="9"/>
      <c r="F13" s="9"/>
      <c r="G13" s="10">
        <f>IFERROR(__xludf.DUMMYFUNCTION("""COMPUTED_VALUE"""),0.8145161290322581)</f>
        <v>0.814516129</v>
      </c>
      <c r="H13" s="9"/>
      <c r="I13" s="9"/>
      <c r="J13" s="11">
        <f>IFERROR(__xludf.DUMMYFUNCTION("""COMPUTED_VALUE"""),101.0)</f>
        <v>101</v>
      </c>
      <c r="K13" s="9"/>
      <c r="L13" s="9"/>
      <c r="M13" s="10">
        <f>IFERROR(__xludf.DUMMYFUNCTION("""COMPUTED_VALUE"""),0.31229629629629657)</f>
        <v>0.3122962963</v>
      </c>
      <c r="N13" s="10">
        <f>IFERROR(__xludf.DUMMYFUNCTION("""COMPUTED_VALUE"""),0.2079207920792079)</f>
        <v>0.2079207921</v>
      </c>
      <c r="O13" s="36">
        <f>IFERROR(__xludf.DUMMYFUNCTION("""COMPUTED_VALUE"""),-10.437550421708867)</f>
        <v>-10.43755042</v>
      </c>
      <c r="P13" s="9"/>
      <c r="Q13" s="11">
        <f>IFERROR(__xludf.DUMMYFUNCTION("""COMPUTED_VALUE"""),21.0)</f>
        <v>21</v>
      </c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IFERROR(__xludf.DUMMYFUNCTION("""COMPUTED_VALUE"""),"João Vitor Nascimento")</f>
        <v>João Vitor Nascimento</v>
      </c>
      <c r="B14" s="9"/>
      <c r="C14" s="11">
        <f>IFERROR(__xludf.DUMMYFUNCTION("""COMPUTED_VALUE"""),75.0)</f>
        <v>75</v>
      </c>
      <c r="D14" s="9"/>
      <c r="E14" s="9"/>
      <c r="F14" s="9"/>
      <c r="G14" s="10">
        <f>IFERROR(__xludf.DUMMYFUNCTION("""COMPUTED_VALUE"""),0.84)</f>
        <v>0.84</v>
      </c>
      <c r="H14" s="9"/>
      <c r="I14" s="9"/>
      <c r="J14" s="11">
        <f>IFERROR(__xludf.DUMMYFUNCTION("""COMPUTED_VALUE"""),63.0)</f>
        <v>63</v>
      </c>
      <c r="K14" s="9"/>
      <c r="L14" s="9"/>
      <c r="M14" s="10">
        <f>IFERROR(__xludf.DUMMYFUNCTION("""COMPUTED_VALUE"""),0.31229629629629657)</f>
        <v>0.3122962963</v>
      </c>
      <c r="N14" s="10">
        <f>IFERROR(__xludf.DUMMYFUNCTION("""COMPUTED_VALUE"""),0.31746031746031744)</f>
        <v>0.3174603175</v>
      </c>
      <c r="O14" s="36">
        <f>IFERROR(__xludf.DUMMYFUNCTION("""COMPUTED_VALUE"""),0.5164021164020871)</f>
        <v>0.5164021164</v>
      </c>
      <c r="P14" s="9"/>
      <c r="Q14" s="11">
        <f>IFERROR(__xludf.DUMMYFUNCTION("""COMPUTED_VALUE"""),20.0)</f>
        <v>20</v>
      </c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IFERROR(__xludf.DUMMYFUNCTION("""COMPUTED_VALUE"""),"Bruno Xavier")</f>
        <v>Bruno Xavier</v>
      </c>
      <c r="B15" s="9"/>
      <c r="C15" s="11">
        <f>IFERROR(__xludf.DUMMYFUNCTION("""COMPUTED_VALUE"""),113.0)</f>
        <v>113</v>
      </c>
      <c r="D15" s="9"/>
      <c r="E15" s="9"/>
      <c r="F15" s="9"/>
      <c r="G15" s="10">
        <f>IFERROR(__xludf.DUMMYFUNCTION("""COMPUTED_VALUE"""),0.6991150442477876)</f>
        <v>0.6991150442</v>
      </c>
      <c r="H15" s="9"/>
      <c r="I15" s="9"/>
      <c r="J15" s="11">
        <f>IFERROR(__xludf.DUMMYFUNCTION("""COMPUTED_VALUE"""),79.0)</f>
        <v>79</v>
      </c>
      <c r="K15" s="9"/>
      <c r="L15" s="9"/>
      <c r="M15" s="10">
        <f>IFERROR(__xludf.DUMMYFUNCTION("""COMPUTED_VALUE"""),0.31229629629629657)</f>
        <v>0.3122962963</v>
      </c>
      <c r="N15" s="10">
        <f>IFERROR(__xludf.DUMMYFUNCTION("""COMPUTED_VALUE"""),0.21518987341772153)</f>
        <v>0.2151898734</v>
      </c>
      <c r="O15" s="36">
        <f>IFERROR(__xludf.DUMMYFUNCTION("""COMPUTED_VALUE"""),-9.710642287857505)</f>
        <v>-9.710642288</v>
      </c>
      <c r="P15" s="9"/>
      <c r="Q15" s="11">
        <f>IFERROR(__xludf.DUMMYFUNCTION("""COMPUTED_VALUE"""),17.0)</f>
        <v>17</v>
      </c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tr">
        <f>IFERROR(__xludf.DUMMYFUNCTION("""COMPUTED_VALUE"""),"Gustavo Pereira")</f>
        <v>Gustavo Pereira</v>
      </c>
      <c r="B16" s="9"/>
      <c r="C16" s="11">
        <f>IFERROR(__xludf.DUMMYFUNCTION("""COMPUTED_VALUE"""),8.0)</f>
        <v>8</v>
      </c>
      <c r="D16" s="9"/>
      <c r="E16" s="9"/>
      <c r="F16" s="9"/>
      <c r="G16" s="10">
        <f>IFERROR(__xludf.DUMMYFUNCTION("""COMPUTED_VALUE"""),1.125)</f>
        <v>1.125</v>
      </c>
      <c r="H16" s="9"/>
      <c r="I16" s="9"/>
      <c r="J16" s="11">
        <f>IFERROR(__xludf.DUMMYFUNCTION("""COMPUTED_VALUE"""),9.0)</f>
        <v>9</v>
      </c>
      <c r="K16" s="9"/>
      <c r="L16" s="9"/>
      <c r="M16" s="10">
        <f>IFERROR(__xludf.DUMMYFUNCTION("""COMPUTED_VALUE"""),0.31229629629629657)</f>
        <v>0.3122962963</v>
      </c>
      <c r="N16" s="10">
        <f>IFERROR(__xludf.DUMMYFUNCTION("""COMPUTED_VALUE"""),0.8888888888888888)</f>
        <v>0.8888888889</v>
      </c>
      <c r="O16" s="36">
        <f>IFERROR(__xludf.DUMMYFUNCTION("""COMPUTED_VALUE"""),57.65925925925923)</f>
        <v>57.65925926</v>
      </c>
      <c r="P16" s="9"/>
      <c r="Q16" s="11">
        <f>IFERROR(__xludf.DUMMYFUNCTION("""COMPUTED_VALUE"""),8.0)</f>
        <v>8</v>
      </c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tr">
        <f>IFERROR(__xludf.DUMMYFUNCTION("""COMPUTED_VALUE"""),"Jefferson Da Silva Santos")</f>
        <v>Jefferson Da Silva Santos</v>
      </c>
      <c r="B17" s="9"/>
      <c r="C17" s="11">
        <f>IFERROR(__xludf.DUMMYFUNCTION("""COMPUTED_VALUE"""),46.0)</f>
        <v>46</v>
      </c>
      <c r="D17" s="9"/>
      <c r="E17" s="9"/>
      <c r="F17" s="9"/>
      <c r="G17" s="10">
        <f>IFERROR(__xludf.DUMMYFUNCTION("""COMPUTED_VALUE"""),0.8043478260869565)</f>
        <v>0.8043478261</v>
      </c>
      <c r="H17" s="9"/>
      <c r="I17" s="9"/>
      <c r="J17" s="11">
        <f>IFERROR(__xludf.DUMMYFUNCTION("""COMPUTED_VALUE"""),37.0)</f>
        <v>37</v>
      </c>
      <c r="K17" s="9"/>
      <c r="L17" s="9"/>
      <c r="M17" s="10">
        <f>IFERROR(__xludf.DUMMYFUNCTION("""COMPUTED_VALUE"""),0.31229629629629657)</f>
        <v>0.3122962963</v>
      </c>
      <c r="N17" s="10">
        <f>IFERROR(__xludf.DUMMYFUNCTION("""COMPUTED_VALUE"""),0.21621621621621623)</f>
        <v>0.2162162162</v>
      </c>
      <c r="O17" s="36">
        <f>IFERROR(__xludf.DUMMYFUNCTION("""COMPUTED_VALUE"""),-9.608008008008035)</f>
        <v>-9.608008008</v>
      </c>
      <c r="P17" s="9"/>
      <c r="Q17" s="11">
        <f>IFERROR(__xludf.DUMMYFUNCTION("""COMPUTED_VALUE"""),8.0)</f>
        <v>8</v>
      </c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1">
        <f>IFERROR(__xludf.DUMMYFUNCTION("""COMPUTED_VALUE"""),9.0)</f>
        <v>9</v>
      </c>
      <c r="D18" s="9"/>
      <c r="E18" s="9"/>
      <c r="F18" s="9"/>
      <c r="G18" s="10">
        <f>IFERROR(__xludf.DUMMYFUNCTION("""COMPUTED_VALUE"""),1.0)</f>
        <v>1</v>
      </c>
      <c r="H18" s="9"/>
      <c r="I18" s="9"/>
      <c r="J18" s="11">
        <f>IFERROR(__xludf.DUMMYFUNCTION("""COMPUTED_VALUE"""),9.0)</f>
        <v>9</v>
      </c>
      <c r="K18" s="9"/>
      <c r="L18" s="9"/>
      <c r="M18" s="10">
        <f>IFERROR(__xludf.DUMMYFUNCTION("""COMPUTED_VALUE"""),0.31229629629629657)</f>
        <v>0.3122962963</v>
      </c>
      <c r="N18" s="10">
        <f>IFERROR(__xludf.DUMMYFUNCTION("""COMPUTED_VALUE"""),0.6666666666666666)</f>
        <v>0.6666666667</v>
      </c>
      <c r="O18" s="36">
        <f>IFERROR(__xludf.DUMMYFUNCTION("""COMPUTED_VALUE"""),35.43703703703701)</f>
        <v>35.43703704</v>
      </c>
      <c r="P18" s="9"/>
      <c r="Q18" s="11">
        <f>IFERROR(__xludf.DUMMYFUNCTION("""COMPUTED_VALUE"""),6.0)</f>
        <v>6</v>
      </c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1">
        <f>IFERROR(__xludf.DUMMYFUNCTION("""COMPUTED_VALUE"""),9.0)</f>
        <v>9</v>
      </c>
      <c r="D19" s="9"/>
      <c r="E19" s="9"/>
      <c r="F19" s="9"/>
      <c r="G19" s="10">
        <f>IFERROR(__xludf.DUMMYFUNCTION("""COMPUTED_VALUE"""),1.0)</f>
        <v>1</v>
      </c>
      <c r="H19" s="9"/>
      <c r="I19" s="9"/>
      <c r="J19" s="11">
        <f>IFERROR(__xludf.DUMMYFUNCTION("""COMPUTED_VALUE"""),9.0)</f>
        <v>9</v>
      </c>
      <c r="K19" s="9"/>
      <c r="L19" s="9"/>
      <c r="M19" s="10">
        <f>IFERROR(__xludf.DUMMYFUNCTION("""COMPUTED_VALUE"""),0.31229629629629657)</f>
        <v>0.3122962963</v>
      </c>
      <c r="N19" s="10">
        <f>IFERROR(__xludf.DUMMYFUNCTION("""COMPUTED_VALUE"""),0.5555555555555556)</f>
        <v>0.5555555556</v>
      </c>
      <c r="O19" s="36">
        <f>IFERROR(__xludf.DUMMYFUNCTION("""COMPUTED_VALUE"""),24.3259259259259)</f>
        <v>24.32592593</v>
      </c>
      <c r="P19" s="9"/>
      <c r="Q19" s="11">
        <f>IFERROR(__xludf.DUMMYFUNCTION("""COMPUTED_VALUE"""),5.0)</f>
        <v>5</v>
      </c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1">
        <f>IFERROR(__xludf.DUMMYFUNCTION("""COMPUTED_VALUE"""),1.0)</f>
        <v>1</v>
      </c>
      <c r="D20" s="9"/>
      <c r="E20" s="9"/>
      <c r="F20" s="9"/>
      <c r="G20" s="10">
        <f>IFERROR(__xludf.DUMMYFUNCTION("""COMPUTED_VALUE"""),1.0)</f>
        <v>1</v>
      </c>
      <c r="H20" s="9"/>
      <c r="I20" s="9"/>
      <c r="J20" s="11">
        <f>IFERROR(__xludf.DUMMYFUNCTION("""COMPUTED_VALUE"""),1.0)</f>
        <v>1</v>
      </c>
      <c r="K20" s="9"/>
      <c r="L20" s="9"/>
      <c r="M20" s="10">
        <f>IFERROR(__xludf.DUMMYFUNCTION("""COMPUTED_VALUE"""),0.31229629629629657)</f>
        <v>0.3122962963</v>
      </c>
      <c r="N20" s="10">
        <f>IFERROR(__xludf.DUMMYFUNCTION("""COMPUTED_VALUE"""),1.0)</f>
        <v>1</v>
      </c>
      <c r="O20" s="36">
        <f>IFERROR(__xludf.DUMMYFUNCTION("""COMPUTED_VALUE"""),68.77037037037034)</f>
        <v>68.77037037</v>
      </c>
      <c r="P20" s="9"/>
      <c r="Q20" s="11">
        <f>IFERROR(__xludf.DUMMYFUNCTION("""COMPUTED_VALUE"""),1.0)</f>
        <v>1</v>
      </c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1">
        <f>IFERROR(__xludf.DUMMYFUNCTION("""COMPUTED_VALUE"""),1.0)</f>
        <v>1</v>
      </c>
      <c r="D21" s="9"/>
      <c r="E21" s="9"/>
      <c r="F21" s="9"/>
      <c r="G21" s="10">
        <f>IFERROR(__xludf.DUMMYFUNCTION("""COMPUTED_VALUE"""),1.0)</f>
        <v>1</v>
      </c>
      <c r="H21" s="9"/>
      <c r="I21" s="9"/>
      <c r="J21" s="11">
        <f>IFERROR(__xludf.DUMMYFUNCTION("""COMPUTED_VALUE"""),1.0)</f>
        <v>1</v>
      </c>
      <c r="K21" s="9"/>
      <c r="L21" s="9"/>
      <c r="M21" s="10">
        <f>IFERROR(__xludf.DUMMYFUNCTION("""COMPUTED_VALUE"""),0.31229629629629657)</f>
        <v>0.3122962963</v>
      </c>
      <c r="N21" s="10">
        <f>IFERROR(__xludf.DUMMYFUNCTION("""COMPUTED_VALUE"""),1.0)</f>
        <v>1</v>
      </c>
      <c r="O21" s="36">
        <f>IFERROR(__xludf.DUMMYFUNCTION("""COMPUTED_VALUE"""),68.77037037037034)</f>
        <v>68.77037037</v>
      </c>
      <c r="P21" s="9"/>
      <c r="Q21" s="11">
        <f>IFERROR(__xludf.DUMMYFUNCTION("""COMPUTED_VALUE"""),1.0)</f>
        <v>1</v>
      </c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1">
        <f>IFERROR(__xludf.DUMMYFUNCTION("""COMPUTED_VALUE"""),1.0)</f>
        <v>1</v>
      </c>
      <c r="D22" s="9"/>
      <c r="E22" s="9"/>
      <c r="F22" s="9"/>
      <c r="G22" s="10">
        <f>IFERROR(__xludf.DUMMYFUNCTION("""COMPUTED_VALUE"""),0.0)</f>
        <v>0</v>
      </c>
      <c r="H22" s="9"/>
      <c r="I22" s="9"/>
      <c r="J22" s="11">
        <f>IFERROR(__xludf.DUMMYFUNCTION("""COMPUTED_VALUE"""),0.0)</f>
        <v>0</v>
      </c>
      <c r="K22" s="9"/>
      <c r="L22" s="9"/>
      <c r="M22" s="10">
        <f>IFERROR(__xludf.DUMMYFUNCTION("""COMPUTED_VALUE"""),0.31229629629629657)</f>
        <v>0.3122962963</v>
      </c>
      <c r="N22" s="10">
        <f>IFERROR(__xludf.DUMMYFUNCTION("""COMPUTED_VALUE"""),0.0)</f>
        <v>0</v>
      </c>
      <c r="O22" s="36">
        <f>IFERROR(__xludf.DUMMYFUNCTION("""COMPUTED_VALUE"""),-31.229629629629656)</f>
        <v>-31.22962963</v>
      </c>
      <c r="P22" s="9"/>
      <c r="Q22" s="11">
        <f>IFERROR(__xludf.DUMMYFUNCTION("""COMPUTED_VALUE"""),0.0)</f>
        <v>0</v>
      </c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tr">
        <f>IFERROR(__xludf.DUMMYFUNCTION("""COMPUTED_VALUE"""),"Cauã Andrade")</f>
        <v>Cauã Andrade</v>
      </c>
      <c r="B23" s="9"/>
      <c r="C23" s="11">
        <f>IFERROR(__xludf.DUMMYFUNCTION("""COMPUTED_VALUE"""),1.0)</f>
        <v>1</v>
      </c>
      <c r="D23" s="9"/>
      <c r="E23" s="9"/>
      <c r="F23" s="9"/>
      <c r="G23" s="10">
        <f>IFERROR(__xludf.DUMMYFUNCTION("""COMPUTED_VALUE"""),1.0)</f>
        <v>1</v>
      </c>
      <c r="H23" s="9"/>
      <c r="I23" s="9"/>
      <c r="J23" s="11">
        <f>IFERROR(__xludf.DUMMYFUNCTION("""COMPUTED_VALUE"""),1.0)</f>
        <v>1</v>
      </c>
      <c r="K23" s="9"/>
      <c r="L23" s="9"/>
      <c r="M23" s="10">
        <f>IFERROR(__xludf.DUMMYFUNCTION("""COMPUTED_VALUE"""),0.31229629629629657)</f>
        <v>0.3122962963</v>
      </c>
      <c r="N23" s="10">
        <f>IFERROR(__xludf.DUMMYFUNCTION("""COMPUTED_VALUE"""),0.0)</f>
        <v>0</v>
      </c>
      <c r="O23" s="36">
        <f>IFERROR(__xludf.DUMMYFUNCTION("""COMPUTED_VALUE"""),-31.229629629629656)</f>
        <v>-31.22962963</v>
      </c>
      <c r="P23" s="9"/>
      <c r="Q23" s="11">
        <f>IFERROR(__xludf.DUMMYFUNCTION("""COMPUTED_VALUE"""),0.0)</f>
        <v>0</v>
      </c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tr">
        <f>IFERROR(__xludf.DUMMYFUNCTION("""COMPUTED_VALUE"""),"Form G4 Instagram Outros")</f>
        <v>Form G4 Instagram Outros</v>
      </c>
      <c r="B24" s="11">
        <f>IFERROR(__xludf.DUMMYFUNCTION("""COMPUTED_VALUE"""),348.3870967741933)</f>
        <v>348.3870968</v>
      </c>
      <c r="C24" s="11">
        <f>IFERROR(__xludf.DUMMYFUNCTION("""COMPUTED_VALUE"""),377.0)</f>
        <v>377</v>
      </c>
      <c r="D24" s="11">
        <f>IFERROR(__xludf.DUMMYFUNCTION("""COMPUTED_VALUE"""),28.61290322580669)</f>
        <v>28.61290323</v>
      </c>
      <c r="E24" s="10">
        <f>IFERROR(__xludf.DUMMYFUNCTION("""COMPUTED_VALUE"""),0.08212962962963037)</f>
        <v>0.08212962963</v>
      </c>
      <c r="F24" s="10">
        <f>IFERROR(__xludf.DUMMYFUNCTION("""COMPUTED_VALUE"""),0.8206988049963662)</f>
        <v>0.820698805</v>
      </c>
      <c r="G24" s="10">
        <f>IFERROR(__xludf.DUMMYFUNCTION("""COMPUTED_VALUE"""),0.870026525198939)</f>
        <v>0.8700265252</v>
      </c>
      <c r="H24" s="36">
        <f>IFERROR(__xludf.DUMMYFUNCTION("""COMPUTED_VALUE"""),4.932772020257281)</f>
        <v>4.93277202</v>
      </c>
      <c r="I24" s="11">
        <f>IFERROR(__xludf.DUMMYFUNCTION("""COMPUTED_VALUE"""),285.92087399873384)</f>
        <v>285.920874</v>
      </c>
      <c r="J24" s="11">
        <f>IFERROR(__xludf.DUMMYFUNCTION("""COMPUTED_VALUE"""),328.0)</f>
        <v>328</v>
      </c>
      <c r="K24" s="11">
        <f>IFERROR(__xludf.DUMMYFUNCTION("""COMPUTED_VALUE"""),42.07912600126616)</f>
        <v>42.079126</v>
      </c>
      <c r="L24" s="10">
        <f>IFERROR(__xludf.DUMMYFUNCTION("""COMPUTED_VALUE"""),0.14717052803025674)</f>
        <v>0.147170528</v>
      </c>
      <c r="M24" s="10">
        <f>IFERROR(__xludf.DUMMYFUNCTION("""COMPUTED_VALUE"""),0.28474074074074096)</f>
        <v>0.2847407407</v>
      </c>
      <c r="N24" s="10">
        <f>IFERROR(__xludf.DUMMYFUNCTION("""COMPUTED_VALUE"""),0.3170731707317073)</f>
        <v>0.3170731707</v>
      </c>
      <c r="O24" s="36">
        <f>IFERROR(__xludf.DUMMYFUNCTION("""COMPUTED_VALUE"""),3.2332429990966363)</f>
        <v>3.233242999</v>
      </c>
      <c r="P24" s="11">
        <f>IFERROR(__xludf.DUMMYFUNCTION("""COMPUTED_VALUE"""),81.41332145563953)</f>
        <v>81.41332146</v>
      </c>
      <c r="Q24" s="11">
        <f>IFERROR(__xludf.DUMMYFUNCTION("""COMPUTED_VALUE"""),104.0)</f>
        <v>104</v>
      </c>
      <c r="R24" s="11">
        <f>IFERROR(__xludf.DUMMYFUNCTION("""COMPUTED_VALUE"""),22.586678544360467)</f>
        <v>22.58667854</v>
      </c>
      <c r="S24" s="10">
        <f>IFERROR(__xludf.DUMMYFUNCTION("""COMPUTED_VALUE"""),0.2774322204341889)</f>
        <v>0.2774322204</v>
      </c>
      <c r="T24" s="11">
        <f>IFERROR(__xludf.DUMMYFUNCTION("""COMPUTED_VALUE"""),483613.44744382624)</f>
        <v>483613.4474</v>
      </c>
      <c r="U24" s="15">
        <f>IFERROR(__xludf.DUMMYFUNCTION("""COMPUTED_VALUE"""),6120.000000000001)</f>
        <v>6120</v>
      </c>
      <c r="V24" s="15">
        <f>IFERROR(__xludf.DUMMYFUNCTION("""COMPUTED_VALUE"""),257524.25112774895)</f>
        <v>257524.2511</v>
      </c>
      <c r="W24" s="10">
        <f>IFERROR(__xludf.DUMMYFUNCTION("""COMPUTED_VALUE"""),0.5325001868515277)</f>
        <v>0.5325001869</v>
      </c>
      <c r="X24" s="9"/>
      <c r="Y24" s="9"/>
      <c r="Z24" s="9"/>
    </row>
    <row r="25">
      <c r="A25" s="9" t="str">
        <f>IFERROR(__xludf.DUMMYFUNCTION("""COMPUTED_VALUE"""),"Luiz Felipe")</f>
        <v>Luiz Felipe</v>
      </c>
      <c r="B25" s="9"/>
      <c r="C25" s="11">
        <f>IFERROR(__xludf.DUMMYFUNCTION("""COMPUTED_VALUE"""),47.0)</f>
        <v>47</v>
      </c>
      <c r="D25" s="9"/>
      <c r="E25" s="9"/>
      <c r="F25" s="9"/>
      <c r="G25" s="10">
        <f>IFERROR(__xludf.DUMMYFUNCTION("""COMPUTED_VALUE"""),0.7659574468085106)</f>
        <v>0.7659574468</v>
      </c>
      <c r="H25" s="9"/>
      <c r="I25" s="9"/>
      <c r="J25" s="11">
        <f>IFERROR(__xludf.DUMMYFUNCTION("""COMPUTED_VALUE"""),36.0)</f>
        <v>36</v>
      </c>
      <c r="K25" s="9"/>
      <c r="L25" s="9"/>
      <c r="M25" s="9"/>
      <c r="N25" s="10">
        <f>IFERROR(__xludf.DUMMYFUNCTION("""COMPUTED_VALUE"""),0.4166666666666667)</f>
        <v>0.4166666667</v>
      </c>
      <c r="O25" s="9"/>
      <c r="P25" s="9"/>
      <c r="Q25" s="11">
        <f>IFERROR(__xludf.DUMMYFUNCTION("""COMPUTED_VALUE"""),15.0)</f>
        <v>15</v>
      </c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tr">
        <f>IFERROR(__xludf.DUMMYFUNCTION("""COMPUTED_VALUE"""),"Pablo Maia")</f>
        <v>Pablo Maia</v>
      </c>
      <c r="B26" s="9"/>
      <c r="C26" s="11">
        <f>IFERROR(__xludf.DUMMYFUNCTION("""COMPUTED_VALUE"""),45.0)</f>
        <v>45</v>
      </c>
      <c r="D26" s="9"/>
      <c r="E26" s="9"/>
      <c r="F26" s="9"/>
      <c r="G26" s="10">
        <f>IFERROR(__xludf.DUMMYFUNCTION("""COMPUTED_VALUE"""),0.8222222222222222)</f>
        <v>0.8222222222</v>
      </c>
      <c r="H26" s="9"/>
      <c r="I26" s="9"/>
      <c r="J26" s="11">
        <f>IFERROR(__xludf.DUMMYFUNCTION("""COMPUTED_VALUE"""),37.0)</f>
        <v>37</v>
      </c>
      <c r="K26" s="9"/>
      <c r="L26" s="9"/>
      <c r="M26" s="9"/>
      <c r="N26" s="10">
        <f>IFERROR(__xludf.DUMMYFUNCTION("""COMPUTED_VALUE"""),0.3783783783783784)</f>
        <v>0.3783783784</v>
      </c>
      <c r="O26" s="9"/>
      <c r="P26" s="9"/>
      <c r="Q26" s="11">
        <f>IFERROR(__xludf.DUMMYFUNCTION("""COMPUTED_VALUE"""),14.0)</f>
        <v>14</v>
      </c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tr">
        <f>IFERROR(__xludf.DUMMYFUNCTION("""COMPUTED_VALUE"""),"Christian Lopes")</f>
        <v>Christian Lopes</v>
      </c>
      <c r="B27" s="9"/>
      <c r="C27" s="11">
        <f>IFERROR(__xludf.DUMMYFUNCTION("""COMPUTED_VALUE"""),46.0)</f>
        <v>46</v>
      </c>
      <c r="D27" s="9"/>
      <c r="E27" s="9"/>
      <c r="F27" s="9"/>
      <c r="G27" s="10">
        <f>IFERROR(__xludf.DUMMYFUNCTION("""COMPUTED_VALUE"""),0.8478260869565217)</f>
        <v>0.847826087</v>
      </c>
      <c r="H27" s="9"/>
      <c r="I27" s="9"/>
      <c r="J27" s="11">
        <f>IFERROR(__xludf.DUMMYFUNCTION("""COMPUTED_VALUE"""),39.0)</f>
        <v>39</v>
      </c>
      <c r="K27" s="9"/>
      <c r="L27" s="9"/>
      <c r="M27" s="9"/>
      <c r="N27" s="10">
        <f>IFERROR(__xludf.DUMMYFUNCTION("""COMPUTED_VALUE"""),0.3333333333333333)</f>
        <v>0.3333333333</v>
      </c>
      <c r="O27" s="9"/>
      <c r="P27" s="9"/>
      <c r="Q27" s="11">
        <f>IFERROR(__xludf.DUMMYFUNCTION("""COMPUTED_VALUE"""),13.0)</f>
        <v>13</v>
      </c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tr">
        <f>IFERROR(__xludf.DUMMYFUNCTION("""COMPUTED_VALUE"""),"Lucca Giovanni")</f>
        <v>Lucca Giovanni</v>
      </c>
      <c r="B28" s="9"/>
      <c r="C28" s="11">
        <f>IFERROR(__xludf.DUMMYFUNCTION("""COMPUTED_VALUE"""),30.0)</f>
        <v>30</v>
      </c>
      <c r="D28" s="9"/>
      <c r="E28" s="9"/>
      <c r="F28" s="9"/>
      <c r="G28" s="10">
        <f>IFERROR(__xludf.DUMMYFUNCTION("""COMPUTED_VALUE"""),0.9333333333333333)</f>
        <v>0.9333333333</v>
      </c>
      <c r="H28" s="9"/>
      <c r="I28" s="9"/>
      <c r="J28" s="11">
        <f>IFERROR(__xludf.DUMMYFUNCTION("""COMPUTED_VALUE"""),28.0)</f>
        <v>28</v>
      </c>
      <c r="K28" s="9"/>
      <c r="L28" s="9"/>
      <c r="M28" s="9"/>
      <c r="N28" s="10">
        <f>IFERROR(__xludf.DUMMYFUNCTION("""COMPUTED_VALUE"""),0.42857142857142855)</f>
        <v>0.4285714286</v>
      </c>
      <c r="O28" s="9"/>
      <c r="P28" s="9"/>
      <c r="Q28" s="11">
        <f>IFERROR(__xludf.DUMMYFUNCTION("""COMPUTED_VALUE"""),12.0)</f>
        <v>12</v>
      </c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tr">
        <f>IFERROR(__xludf.DUMMYFUNCTION("""COMPUTED_VALUE"""),"Matheus Mariano")</f>
        <v>Matheus Mariano</v>
      </c>
      <c r="B29" s="9"/>
      <c r="C29" s="11">
        <f>IFERROR(__xludf.DUMMYFUNCTION("""COMPUTED_VALUE"""),34.0)</f>
        <v>34</v>
      </c>
      <c r="D29" s="9"/>
      <c r="E29" s="9"/>
      <c r="F29" s="9"/>
      <c r="G29" s="10">
        <f>IFERROR(__xludf.DUMMYFUNCTION("""COMPUTED_VALUE"""),0.8235294117647058)</f>
        <v>0.8235294118</v>
      </c>
      <c r="H29" s="9"/>
      <c r="I29" s="9"/>
      <c r="J29" s="11">
        <f>IFERROR(__xludf.DUMMYFUNCTION("""COMPUTED_VALUE"""),28.0)</f>
        <v>28</v>
      </c>
      <c r="K29" s="9"/>
      <c r="L29" s="9"/>
      <c r="M29" s="9"/>
      <c r="N29" s="10">
        <f>IFERROR(__xludf.DUMMYFUNCTION("""COMPUTED_VALUE"""),0.35714285714285715)</f>
        <v>0.3571428571</v>
      </c>
      <c r="O29" s="9"/>
      <c r="P29" s="9"/>
      <c r="Q29" s="11">
        <f>IFERROR(__xludf.DUMMYFUNCTION("""COMPUTED_VALUE"""),10.0)</f>
        <v>10</v>
      </c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tr">
        <f>IFERROR(__xludf.DUMMYFUNCTION("""COMPUTED_VALUE"""),"Nicolas Miranda")</f>
        <v>Nicolas Miranda</v>
      </c>
      <c r="B30" s="9"/>
      <c r="C30" s="11">
        <f>IFERROR(__xludf.DUMMYFUNCTION("""COMPUTED_VALUE"""),37.0)</f>
        <v>37</v>
      </c>
      <c r="D30" s="9"/>
      <c r="E30" s="9"/>
      <c r="F30" s="9"/>
      <c r="G30" s="10">
        <f>IFERROR(__xludf.DUMMYFUNCTION("""COMPUTED_VALUE"""),0.7837837837837838)</f>
        <v>0.7837837838</v>
      </c>
      <c r="H30" s="9"/>
      <c r="I30" s="9"/>
      <c r="J30" s="11">
        <f>IFERROR(__xludf.DUMMYFUNCTION("""COMPUTED_VALUE"""),29.0)</f>
        <v>29</v>
      </c>
      <c r="K30" s="9"/>
      <c r="L30" s="9"/>
      <c r="M30" s="9"/>
      <c r="N30" s="10">
        <f>IFERROR(__xludf.DUMMYFUNCTION("""COMPUTED_VALUE"""),0.27586206896551724)</f>
        <v>0.275862069</v>
      </c>
      <c r="O30" s="9"/>
      <c r="P30" s="9"/>
      <c r="Q30" s="11">
        <f>IFERROR(__xludf.DUMMYFUNCTION("""COMPUTED_VALUE"""),8.0)</f>
        <v>8</v>
      </c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1">
        <f>IFERROR(__xludf.DUMMYFUNCTION("""COMPUTED_VALUE"""),40.0)</f>
        <v>40</v>
      </c>
      <c r="D31" s="9"/>
      <c r="E31" s="9"/>
      <c r="F31" s="9"/>
      <c r="G31" s="10">
        <f>IFERROR(__xludf.DUMMYFUNCTION("""COMPUTED_VALUE"""),0.925)</f>
        <v>0.925</v>
      </c>
      <c r="H31" s="9"/>
      <c r="I31" s="9"/>
      <c r="J31" s="11">
        <f>IFERROR(__xludf.DUMMYFUNCTION("""COMPUTED_VALUE"""),37.0)</f>
        <v>37</v>
      </c>
      <c r="K31" s="9"/>
      <c r="L31" s="9"/>
      <c r="M31" s="9"/>
      <c r="N31" s="10">
        <f>IFERROR(__xludf.DUMMYFUNCTION("""COMPUTED_VALUE"""),0.21621621621621623)</f>
        <v>0.2162162162</v>
      </c>
      <c r="O31" s="9"/>
      <c r="P31" s="9"/>
      <c r="Q31" s="11">
        <f>IFERROR(__xludf.DUMMYFUNCTION("""COMPUTED_VALUE"""),8.0)</f>
        <v>8</v>
      </c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tr">
        <f>IFERROR(__xludf.DUMMYFUNCTION("""COMPUTED_VALUE"""),"Nathan Nascimento")</f>
        <v>Nathan Nascimento</v>
      </c>
      <c r="B32" s="9"/>
      <c r="C32" s="11">
        <f>IFERROR(__xludf.DUMMYFUNCTION("""COMPUTED_VALUE"""),30.0)</f>
        <v>30</v>
      </c>
      <c r="D32" s="9"/>
      <c r="E32" s="9"/>
      <c r="F32" s="9"/>
      <c r="G32" s="10">
        <f>IFERROR(__xludf.DUMMYFUNCTION("""COMPUTED_VALUE"""),0.9666666666666667)</f>
        <v>0.9666666667</v>
      </c>
      <c r="H32" s="9"/>
      <c r="I32" s="9"/>
      <c r="J32" s="11">
        <f>IFERROR(__xludf.DUMMYFUNCTION("""COMPUTED_VALUE"""),29.0)</f>
        <v>29</v>
      </c>
      <c r="K32" s="9"/>
      <c r="L32" s="9"/>
      <c r="M32" s="9"/>
      <c r="N32" s="10">
        <f>IFERROR(__xludf.DUMMYFUNCTION("""COMPUTED_VALUE"""),0.2413793103448276)</f>
        <v>0.2413793103</v>
      </c>
      <c r="O32" s="9"/>
      <c r="P32" s="9"/>
      <c r="Q32" s="11">
        <f>IFERROR(__xludf.DUMMYFUNCTION("""COMPUTED_VALUE"""),7.0)</f>
        <v>7</v>
      </c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tr">
        <f>IFERROR(__xludf.DUMMYFUNCTION("""COMPUTED_VALUE"""),"Bruno Xavier")</f>
        <v>Bruno Xavier</v>
      </c>
      <c r="B33" s="9"/>
      <c r="C33" s="11">
        <f>IFERROR(__xludf.DUMMYFUNCTION("""COMPUTED_VALUE"""),35.0)</f>
        <v>35</v>
      </c>
      <c r="D33" s="9"/>
      <c r="E33" s="9"/>
      <c r="F33" s="9"/>
      <c r="G33" s="10">
        <f>IFERROR(__xludf.DUMMYFUNCTION("""COMPUTED_VALUE"""),0.7714285714285715)</f>
        <v>0.7714285714</v>
      </c>
      <c r="H33" s="9"/>
      <c r="I33" s="9"/>
      <c r="J33" s="11">
        <f>IFERROR(__xludf.DUMMYFUNCTION("""COMPUTED_VALUE"""),27.0)</f>
        <v>27</v>
      </c>
      <c r="K33" s="9"/>
      <c r="L33" s="9"/>
      <c r="M33" s="9"/>
      <c r="N33" s="10">
        <f>IFERROR(__xludf.DUMMYFUNCTION("""COMPUTED_VALUE"""),0.2222222222222222)</f>
        <v>0.2222222222</v>
      </c>
      <c r="O33" s="9"/>
      <c r="P33" s="9"/>
      <c r="Q33" s="11">
        <f>IFERROR(__xludf.DUMMYFUNCTION("""COMPUTED_VALUE"""),6.0)</f>
        <v>6</v>
      </c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tr">
        <f>IFERROR(__xludf.DUMMYFUNCTION("""COMPUTED_VALUE"""),"Jefferson Da Silva Santos")</f>
        <v>Jefferson Da Silva Santos</v>
      </c>
      <c r="B34" s="9"/>
      <c r="C34" s="11">
        <f>IFERROR(__xludf.DUMMYFUNCTION("""COMPUTED_VALUE"""),6.0)</f>
        <v>6</v>
      </c>
      <c r="D34" s="9"/>
      <c r="E34" s="9"/>
      <c r="F34" s="9"/>
      <c r="G34" s="10">
        <f>IFERROR(__xludf.DUMMYFUNCTION("""COMPUTED_VALUE"""),1.0)</f>
        <v>1</v>
      </c>
      <c r="H34" s="9"/>
      <c r="I34" s="9"/>
      <c r="J34" s="11">
        <f>IFERROR(__xludf.DUMMYFUNCTION("""COMPUTED_VALUE"""),6.0)</f>
        <v>6</v>
      </c>
      <c r="K34" s="9"/>
      <c r="L34" s="9"/>
      <c r="M34" s="9"/>
      <c r="N34" s="10">
        <f>IFERROR(__xludf.DUMMYFUNCTION("""COMPUTED_VALUE"""),0.5)</f>
        <v>0.5</v>
      </c>
      <c r="O34" s="9"/>
      <c r="P34" s="9"/>
      <c r="Q34" s="11">
        <f>IFERROR(__xludf.DUMMYFUNCTION("""COMPUTED_VALUE"""),3.0)</f>
        <v>3</v>
      </c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tr">
        <f>IFERROR(__xludf.DUMMYFUNCTION("""COMPUTED_VALUE"""),"Ilson Costa Lima")</f>
        <v>Ilson Costa Lima</v>
      </c>
      <c r="B35" s="9"/>
      <c r="C35" s="11">
        <f>IFERROR(__xludf.DUMMYFUNCTION("""COMPUTED_VALUE"""),3.0)</f>
        <v>3</v>
      </c>
      <c r="D35" s="9"/>
      <c r="E35" s="9"/>
      <c r="F35" s="9"/>
      <c r="G35" s="10">
        <f>IFERROR(__xludf.DUMMYFUNCTION("""COMPUTED_VALUE"""),1.3333333333333333)</f>
        <v>1.333333333</v>
      </c>
      <c r="H35" s="9"/>
      <c r="I35" s="9"/>
      <c r="J35" s="11">
        <f>IFERROR(__xludf.DUMMYFUNCTION("""COMPUTED_VALUE"""),4.0)</f>
        <v>4</v>
      </c>
      <c r="K35" s="9"/>
      <c r="L35" s="9"/>
      <c r="M35" s="9"/>
      <c r="N35" s="10">
        <f>IFERROR(__xludf.DUMMYFUNCTION("""COMPUTED_VALUE"""),0.5)</f>
        <v>0.5</v>
      </c>
      <c r="O35" s="9"/>
      <c r="P35" s="9"/>
      <c r="Q35" s="11">
        <f>IFERROR(__xludf.DUMMYFUNCTION("""COMPUTED_VALUE"""),2.0)</f>
        <v>2</v>
      </c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1">
        <f>IFERROR(__xludf.DUMMYFUNCTION("""COMPUTED_VALUE"""),24.0)</f>
        <v>24</v>
      </c>
      <c r="D36" s="9"/>
      <c r="E36" s="9"/>
      <c r="F36" s="9"/>
      <c r="G36" s="10">
        <f>IFERROR(__xludf.DUMMYFUNCTION("""COMPUTED_VALUE"""),0.625)</f>
        <v>0.625</v>
      </c>
      <c r="H36" s="9"/>
      <c r="I36" s="9"/>
      <c r="J36" s="11">
        <f>IFERROR(__xludf.DUMMYFUNCTION("""COMPUTED_VALUE"""),15.0)</f>
        <v>15</v>
      </c>
      <c r="K36" s="9"/>
      <c r="L36" s="9"/>
      <c r="M36" s="9"/>
      <c r="N36" s="10">
        <f>IFERROR(__xludf.DUMMYFUNCTION("""COMPUTED_VALUE"""),0.0)</f>
        <v>0</v>
      </c>
      <c r="O36" s="9"/>
      <c r="P36" s="9"/>
      <c r="Q36" s="11">
        <f>IFERROR(__xludf.DUMMYFUNCTION("""COMPUTED_VALUE"""),0.0)</f>
        <v>0</v>
      </c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tr">
        <f>IFERROR(__xludf.DUMMYFUNCTION("""COMPUTED_VALUE"""),"Form G4 Instagram Tallis")</f>
        <v>Form G4 Instagram Tallis</v>
      </c>
      <c r="B37" s="11">
        <f>IFERROR(__xludf.DUMMYFUNCTION("""COMPUTED_VALUE"""),304.83870967741916)</f>
        <v>304.8387097</v>
      </c>
      <c r="C37" s="11">
        <f>IFERROR(__xludf.DUMMYFUNCTION("""COMPUTED_VALUE"""),403.0)</f>
        <v>403</v>
      </c>
      <c r="D37" s="11">
        <f>IFERROR(__xludf.DUMMYFUNCTION("""COMPUTED_VALUE"""),98.16129032258084)</f>
        <v>98.16129032</v>
      </c>
      <c r="E37" s="10">
        <f>IFERROR(__xludf.DUMMYFUNCTION("""COMPUTED_VALUE"""),0.32201058201058286)</f>
        <v>0.322010582</v>
      </c>
      <c r="F37" s="10">
        <f>IFERROR(__xludf.DUMMYFUNCTION("""COMPUTED_VALUE"""),0.8420724459024018)</f>
        <v>0.8420724459</v>
      </c>
      <c r="G37" s="10">
        <f>IFERROR(__xludf.DUMMYFUNCTION("""COMPUTED_VALUE"""),0.8411910669975186)</f>
        <v>0.841191067</v>
      </c>
      <c r="H37" s="36">
        <f>IFERROR(__xludf.DUMMYFUNCTION("""COMPUTED_VALUE"""),-0.08813789048832676)</f>
        <v>-0.08813789049</v>
      </c>
      <c r="I37" s="11">
        <f>IFERROR(__xludf.DUMMYFUNCTION("""COMPUTED_VALUE"""),256.6962778637965)</f>
        <v>256.6962779</v>
      </c>
      <c r="J37" s="11">
        <f>IFERROR(__xludf.DUMMYFUNCTION("""COMPUTED_VALUE"""),339.0)</f>
        <v>339</v>
      </c>
      <c r="K37" s="11">
        <f>IFERROR(__xludf.DUMMYFUNCTION("""COMPUTED_VALUE"""),82.30372213620348)</f>
        <v>82.30372214</v>
      </c>
      <c r="L37" s="10">
        <f>IFERROR(__xludf.DUMMYFUNCTION("""COMPUTED_VALUE"""),0.32062686230251447)</f>
        <v>0.3206268623</v>
      </c>
      <c r="M37" s="10">
        <f>IFERROR(__xludf.DUMMYFUNCTION("""COMPUTED_VALUE"""),0.31229629629629657)</f>
        <v>0.3122962963</v>
      </c>
      <c r="N37" s="10">
        <f>IFERROR(__xludf.DUMMYFUNCTION("""COMPUTED_VALUE"""),0.4365781710914454)</f>
        <v>0.4365781711</v>
      </c>
      <c r="O37" s="36">
        <f>IFERROR(__xludf.DUMMYFUNCTION("""COMPUTED_VALUE"""),12.428187479514886)</f>
        <v>12.42818748</v>
      </c>
      <c r="P37" s="11">
        <f>IFERROR(__xludf.DUMMYFUNCTION("""COMPUTED_VALUE"""),80.16529684990867)</f>
        <v>80.16529685</v>
      </c>
      <c r="Q37" s="11">
        <f>IFERROR(__xludf.DUMMYFUNCTION("""COMPUTED_VALUE"""),148.0)</f>
        <v>148</v>
      </c>
      <c r="R37" s="11">
        <f>IFERROR(__xludf.DUMMYFUNCTION("""COMPUTED_VALUE"""),67.83470315009133)</f>
        <v>67.83470315</v>
      </c>
      <c r="S37" s="10">
        <f>IFERROR(__xludf.DUMMYFUNCTION("""COMPUTED_VALUE"""),0.8461853921291705)</f>
        <v>0.8461853921</v>
      </c>
      <c r="T37" s="11">
        <f>IFERROR(__xludf.DUMMYFUNCTION("""COMPUTED_VALUE"""),329916.27092095657)</f>
        <v>329916.2709</v>
      </c>
      <c r="U37" s="15">
        <f>IFERROR(__xludf.DUMMYFUNCTION("""COMPUTED_VALUE"""),4240.0)</f>
        <v>4240</v>
      </c>
      <c r="V37" s="15">
        <f>IFERROR(__xludf.DUMMYFUNCTION("""COMPUTED_VALUE"""),348967.78185750276)</f>
        <v>348967.7819</v>
      </c>
      <c r="W37" s="10">
        <f>IFERROR(__xludf.DUMMYFUNCTION("""COMPUTED_VALUE"""),1.0577465030244315)</f>
        <v>1.057746503</v>
      </c>
      <c r="X37" s="9"/>
      <c r="Y37" s="9"/>
      <c r="Z37" s="9"/>
    </row>
    <row r="38">
      <c r="A38" s="9" t="str">
        <f>IFERROR(__xludf.DUMMYFUNCTION("""COMPUTED_VALUE"""),"#REF!")</f>
        <v>#REF!</v>
      </c>
      <c r="B38" s="9"/>
      <c r="C38" s="11" t="str">
        <f>IFERROR(__xludf.DUMMYFUNCTION("""COMPUTED_VALUE"""),"#REF!")</f>
        <v>#REF!</v>
      </c>
      <c r="D38" s="9"/>
      <c r="E38" s="9"/>
      <c r="F38" s="9"/>
      <c r="G38" s="10" t="str">
        <f>IFERROR(__xludf.DUMMYFUNCTION("""COMPUTED_VALUE"""),"#REF!")</f>
        <v>#REF!</v>
      </c>
      <c r="H38" s="9"/>
      <c r="I38" s="9"/>
      <c r="J38" s="11" t="str">
        <f>IFERROR(__xludf.DUMMYFUNCTION("""COMPUTED_VALUE"""),"#REF!")</f>
        <v>#REF!</v>
      </c>
      <c r="K38" s="9"/>
      <c r="L38" s="9"/>
      <c r="M38" s="9"/>
      <c r="N38" s="10" t="str">
        <f>IFERROR(__xludf.DUMMYFUNCTION("""COMPUTED_VALUE"""),"#REF!")</f>
        <v>#REF!</v>
      </c>
      <c r="O38" s="9"/>
      <c r="P38" s="9"/>
      <c r="Q38" s="11" t="str">
        <f>IFERROR(__xludf.DUMMYFUNCTION("""COMPUTED_VALUE"""),"#REF!")</f>
        <v>#REF!</v>
      </c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tr">
        <f>IFERROR(__xludf.DUMMYFUNCTION("""COMPUTED_VALUE"""),"[CM] Form G4 - Instagram")</f>
        <v>[CM] Form G4 - Instagram</v>
      </c>
      <c r="B49" s="11">
        <f>IFERROR(__xludf.DUMMYFUNCTION("""COMPUTED_VALUE"""),69.50322580645157)</f>
        <v>69.50322581</v>
      </c>
      <c r="C49" s="11">
        <f>IFERROR(__xludf.DUMMYFUNCTION("""COMPUTED_VALUE"""),75.0)</f>
        <v>75</v>
      </c>
      <c r="D49" s="11">
        <f>IFERROR(__xludf.DUMMYFUNCTION("""COMPUTED_VALUE"""),5.496774193548433)</f>
        <v>5.496774194</v>
      </c>
      <c r="E49" s="10">
        <f>IFERROR(__xludf.DUMMYFUNCTION("""COMPUTED_VALUE"""),0.07908660540239558)</f>
        <v>0.0790866054</v>
      </c>
      <c r="F49" s="10">
        <f>IFERROR(__xludf.DUMMYFUNCTION("""COMPUTED_VALUE"""),0.6999999999999998)</f>
        <v>0.7</v>
      </c>
      <c r="G49" s="10">
        <f>IFERROR(__xludf.DUMMYFUNCTION("""COMPUTED_VALUE"""),0.7466666666666667)</f>
        <v>0.7466666667</v>
      </c>
      <c r="H49" s="36">
        <f>IFERROR(__xludf.DUMMYFUNCTION("""COMPUTED_VALUE"""),4.666666666666686)</f>
        <v>4.666666667</v>
      </c>
      <c r="I49" s="11">
        <f>IFERROR(__xludf.DUMMYFUNCTION("""COMPUTED_VALUE"""),48.65225806451609)</f>
        <v>48.65225806</v>
      </c>
      <c r="J49" s="11">
        <f>IFERROR(__xludf.DUMMYFUNCTION("""COMPUTED_VALUE"""),56.0)</f>
        <v>56</v>
      </c>
      <c r="K49" s="11">
        <f>IFERROR(__xludf.DUMMYFUNCTION("""COMPUTED_VALUE"""),7.34774193548391)</f>
        <v>7.347741935</v>
      </c>
      <c r="L49" s="10">
        <f>IFERROR(__xludf.DUMMYFUNCTION("""COMPUTED_VALUE"""),0.15102571242922214)</f>
        <v>0.1510257124</v>
      </c>
      <c r="M49" s="10">
        <f>IFERROR(__xludf.DUMMYFUNCTION("""COMPUTED_VALUE"""),0.2571851851851854)</f>
        <v>0.2571851852</v>
      </c>
      <c r="N49" s="10">
        <f>IFERROR(__xludf.DUMMYFUNCTION("""COMPUTED_VALUE"""),0.17857142857142858)</f>
        <v>0.1785714286</v>
      </c>
      <c r="O49" s="36">
        <f>IFERROR(__xludf.DUMMYFUNCTION("""COMPUTED_VALUE"""),-7.861375661375683)</f>
        <v>-7.861375661</v>
      </c>
      <c r="P49" s="11">
        <f>IFERROR(__xludf.DUMMYFUNCTION("""COMPUTED_VALUE"""),12.512640000000001)</f>
        <v>12.51264</v>
      </c>
      <c r="Q49" s="11">
        <f>IFERROR(__xludf.DUMMYFUNCTION("""COMPUTED_VALUE"""),10.0)</f>
        <v>10</v>
      </c>
      <c r="R49" s="11">
        <f>IFERROR(__xludf.DUMMYFUNCTION("""COMPUTED_VALUE"""),-2.512640000000001)</f>
        <v>-2.51264</v>
      </c>
      <c r="S49" s="10">
        <f>IFERROR(__xludf.DUMMYFUNCTION("""COMPUTED_VALUE"""),-0.20080814280599465)</f>
        <v>-0.2008081428</v>
      </c>
      <c r="T49" s="11">
        <f>IFERROR(__xludf.DUMMYFUNCTION("""COMPUTED_VALUE"""),102018.68208)</f>
        <v>102018.6821</v>
      </c>
      <c r="U49" s="15">
        <f>IFERROR(__xludf.DUMMYFUNCTION("""COMPUTED_VALUE"""),8400.0)</f>
        <v>8400</v>
      </c>
      <c r="V49" s="15">
        <f>IFERROR(__xludf.DUMMYFUNCTION("""COMPUTED_VALUE"""),61721.03225806484)</f>
        <v>61721.03226</v>
      </c>
      <c r="W49" s="10">
        <f>IFERROR(__xludf.DUMMYFUNCTION("""COMPUTED_VALUE"""),0.604997349501781)</f>
        <v>0.6049973495</v>
      </c>
      <c r="X49" s="9"/>
      <c r="Y49" s="9"/>
      <c r="Z49" s="9"/>
    </row>
    <row r="50">
      <c r="A50" s="9" t="str">
        <f>IFERROR(__xludf.DUMMYFUNCTION("""COMPUTED_VALUE"""),"Matheus Mariano")</f>
        <v>Matheus Mariano</v>
      </c>
      <c r="B50" s="9"/>
      <c r="C50" s="11">
        <f>IFERROR(__xludf.DUMMYFUNCTION("""COMPUTED_VALUE"""),7.0)</f>
        <v>7</v>
      </c>
      <c r="D50" s="9"/>
      <c r="E50" s="9"/>
      <c r="F50" s="9"/>
      <c r="G50" s="10">
        <f>IFERROR(__xludf.DUMMYFUNCTION("""COMPUTED_VALUE"""),0.5714285714285714)</f>
        <v>0.5714285714</v>
      </c>
      <c r="H50" s="9"/>
      <c r="I50" s="9"/>
      <c r="J50" s="11">
        <f>IFERROR(__xludf.DUMMYFUNCTION("""COMPUTED_VALUE"""),4.0)</f>
        <v>4</v>
      </c>
      <c r="K50" s="9"/>
      <c r="L50" s="9"/>
      <c r="M50" s="9"/>
      <c r="N50" s="10">
        <f>IFERROR(__xludf.DUMMYFUNCTION("""COMPUTED_VALUE"""),0.5)</f>
        <v>0.5</v>
      </c>
      <c r="O50" s="9"/>
      <c r="P50" s="9"/>
      <c r="Q50" s="11">
        <f>IFERROR(__xludf.DUMMYFUNCTION("""COMPUTED_VALUE"""),2.0)</f>
        <v>2</v>
      </c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tr">
        <f>IFERROR(__xludf.DUMMYFUNCTION("""COMPUTED_VALUE"""),"Pablo Maia")</f>
        <v>Pablo Maia</v>
      </c>
      <c r="B51" s="9"/>
      <c r="C51" s="11">
        <f>IFERROR(__xludf.DUMMYFUNCTION("""COMPUTED_VALUE"""),9.0)</f>
        <v>9</v>
      </c>
      <c r="D51" s="9"/>
      <c r="E51" s="9"/>
      <c r="F51" s="9"/>
      <c r="G51" s="10">
        <f>IFERROR(__xludf.DUMMYFUNCTION("""COMPUTED_VALUE"""),0.7777777777777778)</f>
        <v>0.7777777778</v>
      </c>
      <c r="H51" s="9"/>
      <c r="I51" s="9"/>
      <c r="J51" s="11">
        <f>IFERROR(__xludf.DUMMYFUNCTION("""COMPUTED_VALUE"""),7.0)</f>
        <v>7</v>
      </c>
      <c r="K51" s="9"/>
      <c r="L51" s="9"/>
      <c r="M51" s="9"/>
      <c r="N51" s="10">
        <f>IFERROR(__xludf.DUMMYFUNCTION("""COMPUTED_VALUE"""),0.2857142857142857)</f>
        <v>0.2857142857</v>
      </c>
      <c r="O51" s="9"/>
      <c r="P51" s="9"/>
      <c r="Q51" s="11">
        <f>IFERROR(__xludf.DUMMYFUNCTION("""COMPUTED_VALUE"""),2.0)</f>
        <v>2</v>
      </c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tr">
        <f>IFERROR(__xludf.DUMMYFUNCTION("""COMPUTED_VALUE"""),"Gustavo Pereira")</f>
        <v>Gustavo Pereira</v>
      </c>
      <c r="B52" s="9"/>
      <c r="C52" s="11">
        <f>IFERROR(__xludf.DUMMYFUNCTION("""COMPUTED_VALUE"""),1.0)</f>
        <v>1</v>
      </c>
      <c r="D52" s="9"/>
      <c r="E52" s="9"/>
      <c r="F52" s="9"/>
      <c r="G52" s="10">
        <f>IFERROR(__xludf.DUMMYFUNCTION("""COMPUTED_VALUE"""),1.0)</f>
        <v>1</v>
      </c>
      <c r="H52" s="9"/>
      <c r="I52" s="9"/>
      <c r="J52" s="11">
        <f>IFERROR(__xludf.DUMMYFUNCTION("""COMPUTED_VALUE"""),1.0)</f>
        <v>1</v>
      </c>
      <c r="K52" s="9"/>
      <c r="L52" s="9"/>
      <c r="M52" s="9"/>
      <c r="N52" s="10">
        <f>IFERROR(__xludf.DUMMYFUNCTION("""COMPUTED_VALUE"""),1.0)</f>
        <v>1</v>
      </c>
      <c r="O52" s="9"/>
      <c r="P52" s="9"/>
      <c r="Q52" s="11">
        <f>IFERROR(__xludf.DUMMYFUNCTION("""COMPUTED_VALUE"""),1.0)</f>
        <v>1</v>
      </c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tr">
        <f>IFERROR(__xludf.DUMMYFUNCTION("""COMPUTED_VALUE"""),"Christian Lopes")</f>
        <v>Christian Lopes</v>
      </c>
      <c r="B53" s="9"/>
      <c r="C53" s="11">
        <f>IFERROR(__xludf.DUMMYFUNCTION("""COMPUTED_VALUE"""),10.0)</f>
        <v>10</v>
      </c>
      <c r="D53" s="9"/>
      <c r="E53" s="9"/>
      <c r="F53" s="9"/>
      <c r="G53" s="10">
        <f>IFERROR(__xludf.DUMMYFUNCTION("""COMPUTED_VALUE"""),0.5)</f>
        <v>0.5</v>
      </c>
      <c r="H53" s="9"/>
      <c r="I53" s="9"/>
      <c r="J53" s="11">
        <f>IFERROR(__xludf.DUMMYFUNCTION("""COMPUTED_VALUE"""),5.0)</f>
        <v>5</v>
      </c>
      <c r="K53" s="9"/>
      <c r="L53" s="9"/>
      <c r="M53" s="9"/>
      <c r="N53" s="10">
        <f>IFERROR(__xludf.DUMMYFUNCTION("""COMPUTED_VALUE"""),0.2)</f>
        <v>0.2</v>
      </c>
      <c r="O53" s="9"/>
      <c r="P53" s="9"/>
      <c r="Q53" s="11">
        <f>IFERROR(__xludf.DUMMYFUNCTION("""COMPUTED_VALUE"""),1.0)</f>
        <v>1</v>
      </c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tr">
        <f>IFERROR(__xludf.DUMMYFUNCTION("""COMPUTED_VALUE"""),"Nathan Nascimento")</f>
        <v>Nathan Nascimento</v>
      </c>
      <c r="B54" s="9"/>
      <c r="C54" s="11">
        <f>IFERROR(__xludf.DUMMYFUNCTION("""COMPUTED_VALUE"""),8.0)</f>
        <v>8</v>
      </c>
      <c r="D54" s="9"/>
      <c r="E54" s="9"/>
      <c r="F54" s="9"/>
      <c r="G54" s="10">
        <f>IFERROR(__xludf.DUMMYFUNCTION("""COMPUTED_VALUE"""),0.75)</f>
        <v>0.75</v>
      </c>
      <c r="H54" s="9"/>
      <c r="I54" s="9"/>
      <c r="J54" s="11">
        <f>IFERROR(__xludf.DUMMYFUNCTION("""COMPUTED_VALUE"""),6.0)</f>
        <v>6</v>
      </c>
      <c r="K54" s="9"/>
      <c r="L54" s="9"/>
      <c r="M54" s="9"/>
      <c r="N54" s="10">
        <f>IFERROR(__xludf.DUMMYFUNCTION("""COMPUTED_VALUE"""),0.16666666666666666)</f>
        <v>0.1666666667</v>
      </c>
      <c r="O54" s="9"/>
      <c r="P54" s="9"/>
      <c r="Q54" s="11">
        <f>IFERROR(__xludf.DUMMYFUNCTION("""COMPUTED_VALUE"""),1.0)</f>
        <v>1</v>
      </c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tr">
        <f>IFERROR(__xludf.DUMMYFUNCTION("""COMPUTED_VALUE"""),"Leonardo Alencar")</f>
        <v>Leonardo Alencar</v>
      </c>
      <c r="B55" s="9"/>
      <c r="C55" s="11">
        <f>IFERROR(__xludf.DUMMYFUNCTION("""COMPUTED_VALUE"""),6.0)</f>
        <v>6</v>
      </c>
      <c r="D55" s="9"/>
      <c r="E55" s="9"/>
      <c r="F55" s="9"/>
      <c r="G55" s="10">
        <f>IFERROR(__xludf.DUMMYFUNCTION("""COMPUTED_VALUE"""),1.0)</f>
        <v>1</v>
      </c>
      <c r="H55" s="9"/>
      <c r="I55" s="9"/>
      <c r="J55" s="11">
        <f>IFERROR(__xludf.DUMMYFUNCTION("""COMPUTED_VALUE"""),6.0)</f>
        <v>6</v>
      </c>
      <c r="K55" s="9"/>
      <c r="L55" s="9"/>
      <c r="M55" s="9"/>
      <c r="N55" s="10">
        <f>IFERROR(__xludf.DUMMYFUNCTION("""COMPUTED_VALUE"""),0.16666666666666666)</f>
        <v>0.1666666667</v>
      </c>
      <c r="O55" s="9"/>
      <c r="P55" s="9"/>
      <c r="Q55" s="11">
        <f>IFERROR(__xludf.DUMMYFUNCTION("""COMPUTED_VALUE"""),1.0)</f>
        <v>1</v>
      </c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tr">
        <f>IFERROR(__xludf.DUMMYFUNCTION("""COMPUTED_VALUE"""),"João Vitor Nascimento")</f>
        <v>João Vitor Nascimento</v>
      </c>
      <c r="B56" s="9"/>
      <c r="C56" s="11">
        <f>IFERROR(__xludf.DUMMYFUNCTION("""COMPUTED_VALUE"""),6.0)</f>
        <v>6</v>
      </c>
      <c r="D56" s="9"/>
      <c r="E56" s="9"/>
      <c r="F56" s="9"/>
      <c r="G56" s="10">
        <f>IFERROR(__xludf.DUMMYFUNCTION("""COMPUTED_VALUE"""),1.0)</f>
        <v>1</v>
      </c>
      <c r="H56" s="9"/>
      <c r="I56" s="9"/>
      <c r="J56" s="11">
        <f>IFERROR(__xludf.DUMMYFUNCTION("""COMPUTED_VALUE"""),6.0)</f>
        <v>6</v>
      </c>
      <c r="K56" s="9"/>
      <c r="L56" s="9"/>
      <c r="M56" s="9"/>
      <c r="N56" s="10">
        <f>IFERROR(__xludf.DUMMYFUNCTION("""COMPUTED_VALUE"""),0.16666666666666666)</f>
        <v>0.1666666667</v>
      </c>
      <c r="O56" s="9"/>
      <c r="P56" s="9"/>
      <c r="Q56" s="11">
        <f>IFERROR(__xludf.DUMMYFUNCTION("""COMPUTED_VALUE"""),1.0)</f>
        <v>1</v>
      </c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tr">
        <f>IFERROR(__xludf.DUMMYFUNCTION("""COMPUTED_VALUE"""),"Bruno Xavier")</f>
        <v>Bruno Xavier</v>
      </c>
      <c r="B57" s="9"/>
      <c r="C57" s="11">
        <f>IFERROR(__xludf.DUMMYFUNCTION("""COMPUTED_VALUE"""),7.0)</f>
        <v>7</v>
      </c>
      <c r="D57" s="9"/>
      <c r="E57" s="9"/>
      <c r="F57" s="9"/>
      <c r="G57" s="10">
        <f>IFERROR(__xludf.DUMMYFUNCTION("""COMPUTED_VALUE"""),1.0)</f>
        <v>1</v>
      </c>
      <c r="H57" s="9"/>
      <c r="I57" s="9"/>
      <c r="J57" s="11">
        <f>IFERROR(__xludf.DUMMYFUNCTION("""COMPUTED_VALUE"""),7.0)</f>
        <v>7</v>
      </c>
      <c r="K57" s="9"/>
      <c r="L57" s="9"/>
      <c r="M57" s="9"/>
      <c r="N57" s="10">
        <f>IFERROR(__xludf.DUMMYFUNCTION("""COMPUTED_VALUE"""),0.14285714285714285)</f>
        <v>0.1428571429</v>
      </c>
      <c r="O57" s="9"/>
      <c r="P57" s="9"/>
      <c r="Q57" s="11">
        <f>IFERROR(__xludf.DUMMYFUNCTION("""COMPUTED_VALUE"""),1.0)</f>
        <v>1</v>
      </c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tr">
        <f>IFERROR(__xludf.DUMMYFUNCTION("""COMPUTED_VALUE"""),"Nicolas Miranda")</f>
        <v>Nicolas Miranda</v>
      </c>
      <c r="B58" s="9"/>
      <c r="C58" s="11">
        <f>IFERROR(__xludf.DUMMYFUNCTION("""COMPUTED_VALUE"""),7.0)</f>
        <v>7</v>
      </c>
      <c r="D58" s="9"/>
      <c r="E58" s="9"/>
      <c r="F58" s="9"/>
      <c r="G58" s="10">
        <f>IFERROR(__xludf.DUMMYFUNCTION("""COMPUTED_VALUE"""),0.7142857142857143)</f>
        <v>0.7142857143</v>
      </c>
      <c r="H58" s="9"/>
      <c r="I58" s="9"/>
      <c r="J58" s="11">
        <f>IFERROR(__xludf.DUMMYFUNCTION("""COMPUTED_VALUE"""),5.0)</f>
        <v>5</v>
      </c>
      <c r="K58" s="9"/>
      <c r="L58" s="9"/>
      <c r="M58" s="9"/>
      <c r="N58" s="10">
        <f>IFERROR(__xludf.DUMMYFUNCTION("""COMPUTED_VALUE"""),0.0)</f>
        <v>0</v>
      </c>
      <c r="O58" s="9"/>
      <c r="P58" s="9"/>
      <c r="Q58" s="11">
        <f>IFERROR(__xludf.DUMMYFUNCTION("""COMPUTED_VALUE"""),0.0)</f>
        <v>0</v>
      </c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tr">
        <f>IFERROR(__xludf.DUMMYFUNCTION("""COMPUTED_VALUE"""),"Luiz Felipe")</f>
        <v>Luiz Felipe</v>
      </c>
      <c r="B59" s="9"/>
      <c r="C59" s="11">
        <f>IFERROR(__xludf.DUMMYFUNCTION("""COMPUTED_VALUE"""),5.0)</f>
        <v>5</v>
      </c>
      <c r="D59" s="9"/>
      <c r="E59" s="9"/>
      <c r="F59" s="9"/>
      <c r="G59" s="10">
        <f>IFERROR(__xludf.DUMMYFUNCTION("""COMPUTED_VALUE"""),0.4)</f>
        <v>0.4</v>
      </c>
      <c r="H59" s="9"/>
      <c r="I59" s="9"/>
      <c r="J59" s="11">
        <f>IFERROR(__xludf.DUMMYFUNCTION("""COMPUTED_VALUE"""),2.0)</f>
        <v>2</v>
      </c>
      <c r="K59" s="9"/>
      <c r="L59" s="9"/>
      <c r="M59" s="9"/>
      <c r="N59" s="10">
        <f>IFERROR(__xludf.DUMMYFUNCTION("""COMPUTED_VALUE"""),0.0)</f>
        <v>0</v>
      </c>
      <c r="O59" s="9"/>
      <c r="P59" s="9"/>
      <c r="Q59" s="11">
        <f>IFERROR(__xludf.DUMMYFUNCTION("""COMPUTED_VALUE"""),0.0)</f>
        <v>0</v>
      </c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tr">
        <f>IFERROR(__xludf.DUMMYFUNCTION("""COMPUTED_VALUE"""),"Outros")</f>
        <v>Outros</v>
      </c>
      <c r="B60" s="11">
        <f>IFERROR(__xludf.DUMMYFUNCTION("""COMPUTED_VALUE"""),1321.4322580645155)</f>
        <v>1321.432258</v>
      </c>
      <c r="C60" s="11">
        <f>IFERROR(__xludf.DUMMYFUNCTION("""COMPUTED_VALUE"""),2966.0)</f>
        <v>2966</v>
      </c>
      <c r="D60" s="11">
        <f>IFERROR(__xludf.DUMMYFUNCTION("""COMPUTED_VALUE"""),1644.5677419354845)</f>
        <v>1644.567742</v>
      </c>
      <c r="E60" s="10">
        <f>IFERROR(__xludf.DUMMYFUNCTION("""COMPUTED_VALUE"""),1.244534278544298)</f>
        <v>1.244534279</v>
      </c>
      <c r="F60" s="10">
        <f>IFERROR(__xludf.DUMMYFUNCTION("""COMPUTED_VALUE"""),0.7391240265256913)</f>
        <v>0.7391240265</v>
      </c>
      <c r="G60" s="10">
        <f>IFERROR(__xludf.DUMMYFUNCTION("""COMPUTED_VALUE"""),0.7056641942009441)</f>
        <v>0.7056641942</v>
      </c>
      <c r="H60" s="36">
        <f>IFERROR(__xludf.DUMMYFUNCTION("""COMPUTED_VALUE"""),-3.345983232474725)</f>
        <v>-3.345983232</v>
      </c>
      <c r="I60" s="11">
        <f>IFERROR(__xludf.DUMMYFUNCTION("""COMPUTED_VALUE"""),976.7023313615811)</f>
        <v>976.7023314</v>
      </c>
      <c r="J60" s="11">
        <f>IFERROR(__xludf.DUMMYFUNCTION("""COMPUTED_VALUE"""),2093.0)</f>
        <v>2093</v>
      </c>
      <c r="K60" s="11">
        <f>IFERROR(__xludf.DUMMYFUNCTION("""COMPUTED_VALUE"""),1116.297668638419)</f>
        <v>1116.297669</v>
      </c>
      <c r="L60" s="10">
        <f>IFERROR(__xludf.DUMMYFUNCTION("""COMPUTED_VALUE"""),1.1429251603016384)</f>
        <v>1.14292516</v>
      </c>
      <c r="M60" s="10">
        <f>IFERROR(__xludf.DUMMYFUNCTION("""COMPUTED_VALUE"""),0.3183233397865727)</f>
        <v>0.3183233398</v>
      </c>
      <c r="N60" s="10">
        <f>IFERROR(__xludf.DUMMYFUNCTION("""COMPUTED_VALUE"""),0.3822264691829909)</f>
        <v>0.3822264692</v>
      </c>
      <c r="O60" s="36">
        <f>IFERROR(__xludf.DUMMYFUNCTION("""COMPUTED_VALUE"""),6.390312939641824)</f>
        <v>6.39031294</v>
      </c>
      <c r="P60" s="11">
        <f>IFERROR(__xludf.DUMMYFUNCTION("""COMPUTED_VALUE"""),310.9071480963503)</f>
        <v>310.9071481</v>
      </c>
      <c r="Q60" s="11">
        <f>IFERROR(__xludf.DUMMYFUNCTION("""COMPUTED_VALUE"""),800.0)</f>
        <v>800</v>
      </c>
      <c r="R60" s="11">
        <f>IFERROR(__xludf.DUMMYFUNCTION("""COMPUTED_VALUE"""),489.0928519036497)</f>
        <v>489.0928519</v>
      </c>
      <c r="S60" s="10">
        <f>IFERROR(__xludf.DUMMYFUNCTION("""COMPUTED_VALUE"""),1.573115494121993)</f>
        <v>1.573115494</v>
      </c>
      <c r="T60" s="11">
        <f>IFERROR(__xludf.DUMMYFUNCTION("""COMPUTED_VALUE"""),1766673.644788584)</f>
        <v>1766673.645</v>
      </c>
      <c r="U60" s="15">
        <f>IFERROR(__xludf.DUMMYFUNCTION("""COMPUTED_VALUE"""),5854.288896925282)</f>
        <v>5854.288897</v>
      </c>
      <c r="V60" s="15">
        <f>IFERROR(__xludf.DUMMYFUNCTION("""COMPUTED_VALUE"""),380171.1866030309)</f>
        <v>380171.1866</v>
      </c>
      <c r="W60" s="10">
        <f>IFERROR(__xludf.DUMMYFUNCTION("""COMPUTED_VALUE"""),0.215190387723549)</f>
        <v>0.2151903877</v>
      </c>
      <c r="X60" s="9"/>
      <c r="Y60" s="9"/>
      <c r="Z60" s="9"/>
    </row>
    <row r="61">
      <c r="A61" s="9" t="str">
        <f>IFERROR(__xludf.DUMMYFUNCTION("""COMPUTED_VALUE"""),"[IM] Form Facebook Ads")</f>
        <v>[IM] Form Facebook Ads</v>
      </c>
      <c r="B61" s="11">
        <f>IFERROR(__xludf.DUMMYFUNCTION("""COMPUTED_VALUE"""),402.3870967741933)</f>
        <v>402.3870968</v>
      </c>
      <c r="C61" s="11">
        <f>IFERROR(__xludf.DUMMYFUNCTION("""COMPUTED_VALUE"""),391.0)</f>
        <v>391</v>
      </c>
      <c r="D61" s="11">
        <f>IFERROR(__xludf.DUMMYFUNCTION("""COMPUTED_VALUE"""),-11.38709677419331)</f>
        <v>-11.38709677</v>
      </c>
      <c r="E61" s="10">
        <f>IFERROR(__xludf.DUMMYFUNCTION("""COMPUTED_VALUE"""),-0.02829886163219439)</f>
        <v>-0.02829886163</v>
      </c>
      <c r="F61" s="10">
        <f>IFERROR(__xludf.DUMMYFUNCTION("""COMPUTED_VALUE"""),0.8681746999803266)</f>
        <v>0.8681747</v>
      </c>
      <c r="G61" s="10">
        <f>IFERROR(__xludf.DUMMYFUNCTION("""COMPUTED_VALUE"""),0.7186700767263428)</f>
        <v>0.7186700767</v>
      </c>
      <c r="H61" s="36">
        <f>IFERROR(__xludf.DUMMYFUNCTION("""COMPUTED_VALUE"""),-14.950462325398384)</f>
        <v>-14.95046233</v>
      </c>
      <c r="I61" s="11">
        <f>IFERROR(__xludf.DUMMYFUNCTION("""COMPUTED_VALUE"""),349.3422970178899)</f>
        <v>349.342297</v>
      </c>
      <c r="J61" s="11">
        <f>IFERROR(__xludf.DUMMYFUNCTION("""COMPUTED_VALUE"""),281.0)</f>
        <v>281</v>
      </c>
      <c r="K61" s="11">
        <f>IFERROR(__xludf.DUMMYFUNCTION("""COMPUTED_VALUE"""),-68.3422970178899)</f>
        <v>-68.34229702</v>
      </c>
      <c r="L61" s="10">
        <f>IFERROR(__xludf.DUMMYFUNCTION("""COMPUTED_VALUE"""),-0.1956313266423335)</f>
        <v>-0.1956313266</v>
      </c>
      <c r="M61" s="10">
        <f>IFERROR(__xludf.DUMMYFUNCTION("""COMPUTED_VALUE"""),0.29392592592592615)</f>
        <v>0.2939259259</v>
      </c>
      <c r="N61" s="10">
        <f>IFERROR(__xludf.DUMMYFUNCTION("""COMPUTED_VALUE"""),0.41637010676156583)</f>
        <v>0.4163701068</v>
      </c>
      <c r="O61" s="36">
        <f>IFERROR(__xludf.DUMMYFUNCTION("""COMPUTED_VALUE"""),12.244418083563968)</f>
        <v>12.24441808</v>
      </c>
      <c r="P61" s="11">
        <f>IFERROR(__xludf.DUMMYFUNCTION("""COMPUTED_VALUE"""),102.6807581160732)</f>
        <v>102.6807581</v>
      </c>
      <c r="Q61" s="11">
        <f>IFERROR(__xludf.DUMMYFUNCTION("""COMPUTED_VALUE"""),117.0)</f>
        <v>117</v>
      </c>
      <c r="R61" s="11">
        <f>IFERROR(__xludf.DUMMYFUNCTION("""COMPUTED_VALUE"""),14.319241883926793)</f>
        <v>14.31924188</v>
      </c>
      <c r="S61" s="10">
        <f>IFERROR(__xludf.DUMMYFUNCTION("""COMPUTED_VALUE"""),0.1394539945618625)</f>
        <v>0.1394539946</v>
      </c>
      <c r="T61" s="11">
        <f>IFERROR(__xludf.DUMMYFUNCTION("""COMPUTED_VALUE"""),505797.3925455486)</f>
        <v>505797.3925</v>
      </c>
      <c r="U61" s="15">
        <f>IFERROR(__xludf.DUMMYFUNCTION("""COMPUTED_VALUE"""),5074.999999999999)</f>
        <v>5075</v>
      </c>
      <c r="V61" s="15">
        <f>IFERROR(__xludf.DUMMYFUNCTION("""COMPUTED_VALUE"""),-346837.1573657912)</f>
        <v>-346837.1574</v>
      </c>
      <c r="W61" s="10">
        <f>IFERROR(__xludf.DUMMYFUNCTION("""COMPUTED_VALUE"""),-0.6857234981387482)</f>
        <v>-0.6857234981</v>
      </c>
      <c r="X61" s="9"/>
      <c r="Y61" s="9"/>
      <c r="Z61" s="9"/>
    </row>
    <row r="62">
      <c r="A62" s="9" t="str">
        <f>IFERROR(__xludf.DUMMYFUNCTION("""COMPUTED_VALUE"""),"Mariana Jovenato")</f>
        <v>Mariana Jovenato</v>
      </c>
      <c r="B62" s="9"/>
      <c r="C62" s="11">
        <f>IFERROR(__xludf.DUMMYFUNCTION("""COMPUTED_VALUE"""),43.0)</f>
        <v>43</v>
      </c>
      <c r="D62" s="9"/>
      <c r="E62" s="9"/>
      <c r="F62" s="9"/>
      <c r="G62" s="10">
        <f>IFERROR(__xludf.DUMMYFUNCTION("""COMPUTED_VALUE"""),0.8372093023255814)</f>
        <v>0.8372093023</v>
      </c>
      <c r="H62" s="9"/>
      <c r="I62" s="9"/>
      <c r="J62" s="11">
        <f>IFERROR(__xludf.DUMMYFUNCTION("""COMPUTED_VALUE"""),36.0)</f>
        <v>36</v>
      </c>
      <c r="K62" s="9"/>
      <c r="L62" s="9"/>
      <c r="M62" s="9"/>
      <c r="N62" s="10">
        <f>IFERROR(__xludf.DUMMYFUNCTION("""COMPUTED_VALUE"""),0.4444444444444444)</f>
        <v>0.4444444444</v>
      </c>
      <c r="O62" s="9"/>
      <c r="P62" s="9"/>
      <c r="Q62" s="11">
        <f>IFERROR(__xludf.DUMMYFUNCTION("""COMPUTED_VALUE"""),16.0)</f>
        <v>16</v>
      </c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tr">
        <f>IFERROR(__xludf.DUMMYFUNCTION("""COMPUTED_VALUE"""),"Cauã Andrade")</f>
        <v>Cauã Andrade</v>
      </c>
      <c r="B63" s="9"/>
      <c r="C63" s="11">
        <f>IFERROR(__xludf.DUMMYFUNCTION("""COMPUTED_VALUE"""),44.0)</f>
        <v>44</v>
      </c>
      <c r="D63" s="9"/>
      <c r="E63" s="9"/>
      <c r="F63" s="9"/>
      <c r="G63" s="10">
        <f>IFERROR(__xludf.DUMMYFUNCTION("""COMPUTED_VALUE"""),0.75)</f>
        <v>0.75</v>
      </c>
      <c r="H63" s="9"/>
      <c r="I63" s="9"/>
      <c r="J63" s="11">
        <f>IFERROR(__xludf.DUMMYFUNCTION("""COMPUTED_VALUE"""),33.0)</f>
        <v>33</v>
      </c>
      <c r="K63" s="9"/>
      <c r="L63" s="9"/>
      <c r="M63" s="9"/>
      <c r="N63" s="10">
        <f>IFERROR(__xludf.DUMMYFUNCTION("""COMPUTED_VALUE"""),0.42424242424242425)</f>
        <v>0.4242424242</v>
      </c>
      <c r="O63" s="9"/>
      <c r="P63" s="9"/>
      <c r="Q63" s="11">
        <f>IFERROR(__xludf.DUMMYFUNCTION("""COMPUTED_VALUE"""),14.0)</f>
        <v>14</v>
      </c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tr">
        <f>IFERROR(__xludf.DUMMYFUNCTION("""COMPUTED_VALUE"""),"Thalita Lopes")</f>
        <v>Thalita Lopes</v>
      </c>
      <c r="B64" s="9"/>
      <c r="C64" s="11">
        <f>IFERROR(__xludf.DUMMYFUNCTION("""COMPUTED_VALUE"""),44.0)</f>
        <v>44</v>
      </c>
      <c r="D64" s="9"/>
      <c r="E64" s="9"/>
      <c r="F64" s="9"/>
      <c r="G64" s="10">
        <f>IFERROR(__xludf.DUMMYFUNCTION("""COMPUTED_VALUE"""),0.6136363636363636)</f>
        <v>0.6136363636</v>
      </c>
      <c r="H64" s="9"/>
      <c r="I64" s="9"/>
      <c r="J64" s="11">
        <f>IFERROR(__xludf.DUMMYFUNCTION("""COMPUTED_VALUE"""),27.0)</f>
        <v>27</v>
      </c>
      <c r="K64" s="9"/>
      <c r="L64" s="9"/>
      <c r="M64" s="9"/>
      <c r="N64" s="10">
        <f>IFERROR(__xludf.DUMMYFUNCTION("""COMPUTED_VALUE"""),0.48148148148148145)</f>
        <v>0.4814814815</v>
      </c>
      <c r="O64" s="9"/>
      <c r="P64" s="9"/>
      <c r="Q64" s="11">
        <f>IFERROR(__xludf.DUMMYFUNCTION("""COMPUTED_VALUE"""),13.0)</f>
        <v>13</v>
      </c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tr">
        <f>IFERROR(__xludf.DUMMYFUNCTION("""COMPUTED_VALUE"""),"Marcio Lucas")</f>
        <v>Marcio Lucas</v>
      </c>
      <c r="B65" s="9"/>
      <c r="C65" s="11">
        <f>IFERROR(__xludf.DUMMYFUNCTION("""COMPUTED_VALUE"""),51.0)</f>
        <v>51</v>
      </c>
      <c r="D65" s="9"/>
      <c r="E65" s="9"/>
      <c r="F65" s="9"/>
      <c r="G65" s="10">
        <f>IFERROR(__xludf.DUMMYFUNCTION("""COMPUTED_VALUE"""),0.803921568627451)</f>
        <v>0.8039215686</v>
      </c>
      <c r="H65" s="9"/>
      <c r="I65" s="9"/>
      <c r="J65" s="11">
        <f>IFERROR(__xludf.DUMMYFUNCTION("""COMPUTED_VALUE"""),41.0)</f>
        <v>41</v>
      </c>
      <c r="K65" s="9"/>
      <c r="L65" s="9"/>
      <c r="M65" s="9"/>
      <c r="N65" s="10">
        <f>IFERROR(__xludf.DUMMYFUNCTION("""COMPUTED_VALUE"""),0.3170731707317073)</f>
        <v>0.3170731707</v>
      </c>
      <c r="O65" s="9"/>
      <c r="P65" s="9"/>
      <c r="Q65" s="11">
        <f>IFERROR(__xludf.DUMMYFUNCTION("""COMPUTED_VALUE"""),13.0)</f>
        <v>13</v>
      </c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tr">
        <f>IFERROR(__xludf.DUMMYFUNCTION("""COMPUTED_VALUE"""),"Ilson Costa Lima")</f>
        <v>Ilson Costa Lima</v>
      </c>
      <c r="B66" s="9"/>
      <c r="C66" s="11">
        <f>IFERROR(__xludf.DUMMYFUNCTION("""COMPUTED_VALUE"""),45.0)</f>
        <v>45</v>
      </c>
      <c r="D66" s="9"/>
      <c r="E66" s="9"/>
      <c r="F66" s="9"/>
      <c r="G66" s="10">
        <f>IFERROR(__xludf.DUMMYFUNCTION("""COMPUTED_VALUE"""),0.6444444444444445)</f>
        <v>0.6444444444</v>
      </c>
      <c r="H66" s="9"/>
      <c r="I66" s="9"/>
      <c r="J66" s="11">
        <f>IFERROR(__xludf.DUMMYFUNCTION("""COMPUTED_VALUE"""),29.0)</f>
        <v>29</v>
      </c>
      <c r="K66" s="9"/>
      <c r="L66" s="9"/>
      <c r="M66" s="9"/>
      <c r="N66" s="10">
        <f>IFERROR(__xludf.DUMMYFUNCTION("""COMPUTED_VALUE"""),0.3793103448275862)</f>
        <v>0.3793103448</v>
      </c>
      <c r="O66" s="9"/>
      <c r="P66" s="9"/>
      <c r="Q66" s="11">
        <f>IFERROR(__xludf.DUMMYFUNCTION("""COMPUTED_VALUE"""),11.0)</f>
        <v>11</v>
      </c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tr">
        <f>IFERROR(__xludf.DUMMYFUNCTION("""COMPUTED_VALUE"""),"João Rios")</f>
        <v>João Rios</v>
      </c>
      <c r="B67" s="9"/>
      <c r="C67" s="11">
        <f>IFERROR(__xludf.DUMMYFUNCTION("""COMPUTED_VALUE"""),43.0)</f>
        <v>43</v>
      </c>
      <c r="D67" s="9"/>
      <c r="E67" s="9"/>
      <c r="F67" s="9"/>
      <c r="G67" s="10">
        <f>IFERROR(__xludf.DUMMYFUNCTION("""COMPUTED_VALUE"""),0.627906976744186)</f>
        <v>0.6279069767</v>
      </c>
      <c r="H67" s="9"/>
      <c r="I67" s="9"/>
      <c r="J67" s="11">
        <f>IFERROR(__xludf.DUMMYFUNCTION("""COMPUTED_VALUE"""),27.0)</f>
        <v>27</v>
      </c>
      <c r="K67" s="9"/>
      <c r="L67" s="9"/>
      <c r="M67" s="9"/>
      <c r="N67" s="10">
        <f>IFERROR(__xludf.DUMMYFUNCTION("""COMPUTED_VALUE"""),0.37037037037037035)</f>
        <v>0.3703703704</v>
      </c>
      <c r="O67" s="9"/>
      <c r="P67" s="9"/>
      <c r="Q67" s="11">
        <f>IFERROR(__xludf.DUMMYFUNCTION("""COMPUTED_VALUE"""),10.0)</f>
        <v>10</v>
      </c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tr">
        <f>IFERROR(__xludf.DUMMYFUNCTION("""COMPUTED_VALUE"""),"Felipe Maximo")</f>
        <v>Felipe Maximo</v>
      </c>
      <c r="B68" s="9"/>
      <c r="C68" s="11">
        <f>IFERROR(__xludf.DUMMYFUNCTION("""COMPUTED_VALUE"""),36.0)</f>
        <v>36</v>
      </c>
      <c r="D68" s="9"/>
      <c r="E68" s="9"/>
      <c r="F68" s="9"/>
      <c r="G68" s="10">
        <f>IFERROR(__xludf.DUMMYFUNCTION("""COMPUTED_VALUE"""),0.75)</f>
        <v>0.75</v>
      </c>
      <c r="H68" s="9"/>
      <c r="I68" s="9"/>
      <c r="J68" s="11">
        <f>IFERROR(__xludf.DUMMYFUNCTION("""COMPUTED_VALUE"""),27.0)</f>
        <v>27</v>
      </c>
      <c r="K68" s="9"/>
      <c r="L68" s="9"/>
      <c r="M68" s="9"/>
      <c r="N68" s="10">
        <f>IFERROR(__xludf.DUMMYFUNCTION("""COMPUTED_VALUE"""),0.37037037037037035)</f>
        <v>0.3703703704</v>
      </c>
      <c r="O68" s="9"/>
      <c r="P68" s="9"/>
      <c r="Q68" s="11">
        <f>IFERROR(__xludf.DUMMYFUNCTION("""COMPUTED_VALUE"""),10.0)</f>
        <v>10</v>
      </c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tr">
        <f>IFERROR(__xludf.DUMMYFUNCTION("""COMPUTED_VALUE"""),"Mylena Reis")</f>
        <v>Mylena Reis</v>
      </c>
      <c r="B69" s="9"/>
      <c r="C69" s="11">
        <f>IFERROR(__xludf.DUMMYFUNCTION("""COMPUTED_VALUE"""),36.0)</f>
        <v>36</v>
      </c>
      <c r="D69" s="9"/>
      <c r="E69" s="9"/>
      <c r="F69" s="9"/>
      <c r="G69" s="10">
        <f>IFERROR(__xludf.DUMMYFUNCTION("""COMPUTED_VALUE"""),0.7777777777777778)</f>
        <v>0.7777777778</v>
      </c>
      <c r="H69" s="9"/>
      <c r="I69" s="9"/>
      <c r="J69" s="11">
        <f>IFERROR(__xludf.DUMMYFUNCTION("""COMPUTED_VALUE"""),28.0)</f>
        <v>28</v>
      </c>
      <c r="K69" s="9"/>
      <c r="L69" s="9"/>
      <c r="M69" s="9"/>
      <c r="N69" s="10">
        <f>IFERROR(__xludf.DUMMYFUNCTION("""COMPUTED_VALUE"""),0.35714285714285715)</f>
        <v>0.3571428571</v>
      </c>
      <c r="O69" s="9"/>
      <c r="P69" s="9"/>
      <c r="Q69" s="11">
        <f>IFERROR(__xludf.DUMMYFUNCTION("""COMPUTED_VALUE"""),10.0)</f>
        <v>10</v>
      </c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tr">
        <f>IFERROR(__xludf.DUMMYFUNCTION("""COMPUTED_VALUE"""),"Gustavo Pereira")</f>
        <v>Gustavo Pereira</v>
      </c>
      <c r="B70" s="9"/>
      <c r="C70" s="11">
        <f>IFERROR(__xludf.DUMMYFUNCTION("""COMPUTED_VALUE"""),43.0)</f>
        <v>43</v>
      </c>
      <c r="D70" s="9"/>
      <c r="E70" s="9"/>
      <c r="F70" s="9"/>
      <c r="G70" s="10">
        <f>IFERROR(__xludf.DUMMYFUNCTION("""COMPUTED_VALUE"""),0.6511627906976745)</f>
        <v>0.6511627907</v>
      </c>
      <c r="H70" s="9"/>
      <c r="I70" s="9"/>
      <c r="J70" s="11">
        <f>IFERROR(__xludf.DUMMYFUNCTION("""COMPUTED_VALUE"""),28.0)</f>
        <v>28</v>
      </c>
      <c r="K70" s="9"/>
      <c r="L70" s="9"/>
      <c r="M70" s="9"/>
      <c r="N70" s="10">
        <f>IFERROR(__xludf.DUMMYFUNCTION("""COMPUTED_VALUE"""),0.35714285714285715)</f>
        <v>0.3571428571</v>
      </c>
      <c r="O70" s="9"/>
      <c r="P70" s="9"/>
      <c r="Q70" s="11">
        <f>IFERROR(__xludf.DUMMYFUNCTION("""COMPUTED_VALUE"""),10.0)</f>
        <v>10</v>
      </c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tr">
        <f>IFERROR(__xludf.DUMMYFUNCTION("""COMPUTED_VALUE"""),"João Vitor Nascimento")</f>
        <v>João Vitor Nascimento</v>
      </c>
      <c r="B71" s="9"/>
      <c r="C71" s="11">
        <f>IFERROR(__xludf.DUMMYFUNCTION("""COMPUTED_VALUE"""),6.0)</f>
        <v>6</v>
      </c>
      <c r="D71" s="9"/>
      <c r="E71" s="9"/>
      <c r="F71" s="9"/>
      <c r="G71" s="10">
        <f>IFERROR(__xludf.DUMMYFUNCTION("""COMPUTED_VALUE"""),0.8333333333333334)</f>
        <v>0.8333333333</v>
      </c>
      <c r="H71" s="9"/>
      <c r="I71" s="9"/>
      <c r="J71" s="11">
        <f>IFERROR(__xludf.DUMMYFUNCTION("""COMPUTED_VALUE"""),5.0)</f>
        <v>5</v>
      </c>
      <c r="K71" s="9"/>
      <c r="L71" s="9"/>
      <c r="M71" s="9"/>
      <c r="N71" s="10">
        <f>IFERROR(__xludf.DUMMYFUNCTION("""COMPUTED_VALUE"""),1.2)</f>
        <v>1.2</v>
      </c>
      <c r="O71" s="9"/>
      <c r="P71" s="9"/>
      <c r="Q71" s="11">
        <f>IFERROR(__xludf.DUMMYFUNCTION("""COMPUTED_VALUE"""),6.0)</f>
        <v>6</v>
      </c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tr">
        <f>IFERROR(__xludf.DUMMYFUNCTION("""COMPUTED_VALUE"""),"Form G4 Facebook")</f>
        <v>Form G4 Facebook</v>
      </c>
      <c r="B72" s="11">
        <f>IFERROR(__xludf.DUMMYFUNCTION("""COMPUTED_VALUE"""),156.774193548387)</f>
        <v>156.7741935</v>
      </c>
      <c r="C72" s="11">
        <f>IFERROR(__xludf.DUMMYFUNCTION("""COMPUTED_VALUE"""),235.0)</f>
        <v>235</v>
      </c>
      <c r="D72" s="11">
        <f>IFERROR(__xludf.DUMMYFUNCTION("""COMPUTED_VALUE"""),78.22580645161301)</f>
        <v>78.22580645</v>
      </c>
      <c r="E72" s="10">
        <f>IFERROR(__xludf.DUMMYFUNCTION("""COMPUTED_VALUE"""),0.4989711934156389)</f>
        <v>0.4989711934</v>
      </c>
      <c r="F72" s="10">
        <f>IFERROR(__xludf.DUMMYFUNCTION("""COMPUTED_VALUE"""),0.7488125590778879)</f>
        <v>0.7488125591</v>
      </c>
      <c r="G72" s="10">
        <f>IFERROR(__xludf.DUMMYFUNCTION("""COMPUTED_VALUE"""),0.7148936170212766)</f>
        <v>0.714893617</v>
      </c>
      <c r="H72" s="36">
        <f>IFERROR(__xludf.DUMMYFUNCTION("""COMPUTED_VALUE"""),-3.391894205661128)</f>
        <v>-3.391894206</v>
      </c>
      <c r="I72" s="11">
        <f>IFERROR(__xludf.DUMMYFUNCTION("""COMPUTED_VALUE"""),117.39448506833976)</f>
        <v>117.3944851</v>
      </c>
      <c r="J72" s="11">
        <f>IFERROR(__xludf.DUMMYFUNCTION("""COMPUTED_VALUE"""),168.0)</f>
        <v>168</v>
      </c>
      <c r="K72" s="11">
        <f>IFERROR(__xludf.DUMMYFUNCTION("""COMPUTED_VALUE"""),50.60551493166024)</f>
        <v>50.60551493</v>
      </c>
      <c r="L72" s="10">
        <f>IFERROR(__xludf.DUMMYFUNCTION("""COMPUTED_VALUE"""),0.43107233616809904)</f>
        <v>0.4310723362</v>
      </c>
      <c r="M72" s="10">
        <f>IFERROR(__xludf.DUMMYFUNCTION("""COMPUTED_VALUE"""),0.24800000000000025)</f>
        <v>0.248</v>
      </c>
      <c r="N72" s="10">
        <f>IFERROR(__xludf.DUMMYFUNCTION("""COMPUTED_VALUE"""),0.22023809523809523)</f>
        <v>0.2202380952</v>
      </c>
      <c r="O72" s="36">
        <f>IFERROR(__xludf.DUMMYFUNCTION("""COMPUTED_VALUE"""),-2.7761904761905014)</f>
        <v>-2.776190476</v>
      </c>
      <c r="P72" s="11">
        <f>IFERROR(__xludf.DUMMYFUNCTION("""COMPUTED_VALUE"""),29.11383229694829)</f>
        <v>29.1138323</v>
      </c>
      <c r="Q72" s="11">
        <f>IFERROR(__xludf.DUMMYFUNCTION("""COMPUTED_VALUE"""),37.0)</f>
        <v>37</v>
      </c>
      <c r="R72" s="11">
        <f>IFERROR(__xludf.DUMMYFUNCTION("""COMPUTED_VALUE"""),7.886167703051711)</f>
        <v>7.886167703</v>
      </c>
      <c r="S72" s="10">
        <f>IFERROR(__xludf.DUMMYFUNCTION("""COMPUTED_VALUE"""),0.270873570425778)</f>
        <v>0.2708735704</v>
      </c>
      <c r="T72" s="11">
        <f>IFERROR(__xludf.DUMMYFUNCTION("""COMPUTED_VALUE"""),90992.73538378588)</f>
        <v>90992.73538</v>
      </c>
      <c r="U72" s="15">
        <f>IFERROR(__xludf.DUMMYFUNCTION("""COMPUTED_VALUE"""),3220.0)</f>
        <v>3220</v>
      </c>
      <c r="V72" s="15">
        <f>IFERROR(__xludf.DUMMYFUNCTION("""COMPUTED_VALUE"""),162949.75807994595)</f>
        <v>162949.7581</v>
      </c>
      <c r="W72" s="10">
        <f>IFERROR(__xludf.DUMMYFUNCTION("""COMPUTED_VALUE"""),1.790799643429361)</f>
        <v>1.790799643</v>
      </c>
      <c r="X72" s="9"/>
      <c r="Y72" s="9"/>
      <c r="Z72" s="9"/>
    </row>
    <row r="73">
      <c r="A73" s="9" t="str">
        <f>IFERROR(__xludf.DUMMYFUNCTION("""COMPUTED_VALUE"""),"Thalita Lopes")</f>
        <v>Thalita Lopes</v>
      </c>
      <c r="B73" s="9"/>
      <c r="C73" s="11">
        <f>IFERROR(__xludf.DUMMYFUNCTION("""COMPUTED_VALUE"""),30.0)</f>
        <v>30</v>
      </c>
      <c r="D73" s="9"/>
      <c r="E73" s="9"/>
      <c r="F73" s="9"/>
      <c r="G73" s="10">
        <f>IFERROR(__xludf.DUMMYFUNCTION("""COMPUTED_VALUE"""),0.7333333333333333)</f>
        <v>0.7333333333</v>
      </c>
      <c r="H73" s="9"/>
      <c r="I73" s="9"/>
      <c r="J73" s="11">
        <f>IFERROR(__xludf.DUMMYFUNCTION("""COMPUTED_VALUE"""),22.0)</f>
        <v>22</v>
      </c>
      <c r="K73" s="9"/>
      <c r="L73" s="9"/>
      <c r="M73" s="9"/>
      <c r="N73" s="10">
        <f>IFERROR(__xludf.DUMMYFUNCTION("""COMPUTED_VALUE"""),0.4090909090909091)</f>
        <v>0.4090909091</v>
      </c>
      <c r="O73" s="9"/>
      <c r="P73" s="9"/>
      <c r="Q73" s="11">
        <f>IFERROR(__xludf.DUMMYFUNCTION("""COMPUTED_VALUE"""),9.0)</f>
        <v>9</v>
      </c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tr">
        <f>IFERROR(__xludf.DUMMYFUNCTION("""COMPUTED_VALUE"""),"Mariana Jovenato")</f>
        <v>Mariana Jovenato</v>
      </c>
      <c r="B74" s="9"/>
      <c r="C74" s="11">
        <f>IFERROR(__xludf.DUMMYFUNCTION("""COMPUTED_VALUE"""),29.0)</f>
        <v>29</v>
      </c>
      <c r="D74" s="9"/>
      <c r="E74" s="9"/>
      <c r="F74" s="9"/>
      <c r="G74" s="10">
        <f>IFERROR(__xludf.DUMMYFUNCTION("""COMPUTED_VALUE"""),0.6896551724137931)</f>
        <v>0.6896551724</v>
      </c>
      <c r="H74" s="9"/>
      <c r="I74" s="9"/>
      <c r="J74" s="11">
        <f>IFERROR(__xludf.DUMMYFUNCTION("""COMPUTED_VALUE"""),20.0)</f>
        <v>20</v>
      </c>
      <c r="K74" s="9"/>
      <c r="L74" s="9"/>
      <c r="M74" s="9"/>
      <c r="N74" s="10">
        <f>IFERROR(__xludf.DUMMYFUNCTION("""COMPUTED_VALUE"""),0.35)</f>
        <v>0.35</v>
      </c>
      <c r="O74" s="9"/>
      <c r="P74" s="9"/>
      <c r="Q74" s="11">
        <f>IFERROR(__xludf.DUMMYFUNCTION("""COMPUTED_VALUE"""),7.0)</f>
        <v>7</v>
      </c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tr">
        <f>IFERROR(__xludf.DUMMYFUNCTION("""COMPUTED_VALUE"""),"Gustavo Pereira")</f>
        <v>Gustavo Pereira</v>
      </c>
      <c r="B75" s="9"/>
      <c r="C75" s="11">
        <f>IFERROR(__xludf.DUMMYFUNCTION("""COMPUTED_VALUE"""),30.0)</f>
        <v>30</v>
      </c>
      <c r="D75" s="9"/>
      <c r="E75" s="9"/>
      <c r="F75" s="9"/>
      <c r="G75" s="10">
        <f>IFERROR(__xludf.DUMMYFUNCTION("""COMPUTED_VALUE"""),0.7666666666666667)</f>
        <v>0.7666666667</v>
      </c>
      <c r="H75" s="9"/>
      <c r="I75" s="9"/>
      <c r="J75" s="11">
        <f>IFERROR(__xludf.DUMMYFUNCTION("""COMPUTED_VALUE"""),23.0)</f>
        <v>23</v>
      </c>
      <c r="K75" s="9"/>
      <c r="L75" s="9"/>
      <c r="M75" s="9"/>
      <c r="N75" s="10">
        <f>IFERROR(__xludf.DUMMYFUNCTION("""COMPUTED_VALUE"""),0.30434782608695654)</f>
        <v>0.3043478261</v>
      </c>
      <c r="O75" s="9"/>
      <c r="P75" s="9"/>
      <c r="Q75" s="11">
        <f>IFERROR(__xludf.DUMMYFUNCTION("""COMPUTED_VALUE"""),7.0)</f>
        <v>7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IFERROR(__xludf.DUMMYFUNCTION("""COMPUTED_VALUE"""),"João Rios")</f>
        <v>João Rios</v>
      </c>
      <c r="B76" s="9"/>
      <c r="C76" s="11">
        <f>IFERROR(__xludf.DUMMYFUNCTION("""COMPUTED_VALUE"""),26.0)</f>
        <v>26</v>
      </c>
      <c r="D76" s="9"/>
      <c r="E76" s="9"/>
      <c r="F76" s="9"/>
      <c r="G76" s="10">
        <f>IFERROR(__xludf.DUMMYFUNCTION("""COMPUTED_VALUE"""),0.6538461538461539)</f>
        <v>0.6538461538</v>
      </c>
      <c r="H76" s="9"/>
      <c r="I76" s="9"/>
      <c r="J76" s="11">
        <f>IFERROR(__xludf.DUMMYFUNCTION("""COMPUTED_VALUE"""),17.0)</f>
        <v>17</v>
      </c>
      <c r="K76" s="9"/>
      <c r="L76" s="9"/>
      <c r="M76" s="9"/>
      <c r="N76" s="10">
        <f>IFERROR(__xludf.DUMMYFUNCTION("""COMPUTED_VALUE"""),0.23529411764705882)</f>
        <v>0.2352941176</v>
      </c>
      <c r="O76" s="9"/>
      <c r="P76" s="9"/>
      <c r="Q76" s="11">
        <f>IFERROR(__xludf.DUMMYFUNCTION("""COMPUTED_VALUE"""),4.0)</f>
        <v>4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IFERROR(__xludf.DUMMYFUNCTION("""COMPUTED_VALUE"""),"Ilson Costa Lima")</f>
        <v>Ilson Costa Lima</v>
      </c>
      <c r="B77" s="9"/>
      <c r="C77" s="11">
        <f>IFERROR(__xludf.DUMMYFUNCTION("""COMPUTED_VALUE"""),30.0)</f>
        <v>30</v>
      </c>
      <c r="D77" s="9"/>
      <c r="E77" s="9"/>
      <c r="F77" s="9"/>
      <c r="G77" s="10">
        <f>IFERROR(__xludf.DUMMYFUNCTION("""COMPUTED_VALUE"""),0.6)</f>
        <v>0.6</v>
      </c>
      <c r="H77" s="9"/>
      <c r="I77" s="9"/>
      <c r="J77" s="11">
        <f>IFERROR(__xludf.DUMMYFUNCTION("""COMPUTED_VALUE"""),18.0)</f>
        <v>18</v>
      </c>
      <c r="K77" s="9"/>
      <c r="L77" s="9"/>
      <c r="M77" s="9"/>
      <c r="N77" s="10">
        <f>IFERROR(__xludf.DUMMYFUNCTION("""COMPUTED_VALUE"""),0.16666666666666666)</f>
        <v>0.1666666667</v>
      </c>
      <c r="O77" s="9"/>
      <c r="P77" s="9"/>
      <c r="Q77" s="11">
        <f>IFERROR(__xludf.DUMMYFUNCTION("""COMPUTED_VALUE"""),3.0)</f>
        <v>3</v>
      </c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tr">
        <f>IFERROR(__xludf.DUMMYFUNCTION("""COMPUTED_VALUE"""),"Marcio Lucas")</f>
        <v>Marcio Lucas</v>
      </c>
      <c r="B78" s="9"/>
      <c r="C78" s="11">
        <f>IFERROR(__xludf.DUMMYFUNCTION("""COMPUTED_VALUE"""),28.0)</f>
        <v>28</v>
      </c>
      <c r="D78" s="9"/>
      <c r="E78" s="9"/>
      <c r="F78" s="9"/>
      <c r="G78" s="10">
        <f>IFERROR(__xludf.DUMMYFUNCTION("""COMPUTED_VALUE"""),0.7142857142857143)</f>
        <v>0.7142857143</v>
      </c>
      <c r="H78" s="9"/>
      <c r="I78" s="9"/>
      <c r="J78" s="11">
        <f>IFERROR(__xludf.DUMMYFUNCTION("""COMPUTED_VALUE"""),20.0)</f>
        <v>20</v>
      </c>
      <c r="K78" s="9"/>
      <c r="L78" s="9"/>
      <c r="M78" s="9"/>
      <c r="N78" s="10">
        <f>IFERROR(__xludf.DUMMYFUNCTION("""COMPUTED_VALUE"""),0.15)</f>
        <v>0.15</v>
      </c>
      <c r="O78" s="9"/>
      <c r="P78" s="9"/>
      <c r="Q78" s="11">
        <f>IFERROR(__xludf.DUMMYFUNCTION("""COMPUTED_VALUE"""),3.0)</f>
        <v>3</v>
      </c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tr">
        <f>IFERROR(__xludf.DUMMYFUNCTION("""COMPUTED_VALUE"""),"Cauã Andrade")</f>
        <v>Cauã Andrade</v>
      </c>
      <c r="B79" s="9"/>
      <c r="C79" s="11">
        <f>IFERROR(__xludf.DUMMYFUNCTION("""COMPUTED_VALUE"""),29.0)</f>
        <v>29</v>
      </c>
      <c r="D79" s="9"/>
      <c r="E79" s="9"/>
      <c r="F79" s="9"/>
      <c r="G79" s="10">
        <f>IFERROR(__xludf.DUMMYFUNCTION("""COMPUTED_VALUE"""),0.8275862068965517)</f>
        <v>0.8275862069</v>
      </c>
      <c r="H79" s="9"/>
      <c r="I79" s="9"/>
      <c r="J79" s="11">
        <f>IFERROR(__xludf.DUMMYFUNCTION("""COMPUTED_VALUE"""),24.0)</f>
        <v>24</v>
      </c>
      <c r="K79" s="9"/>
      <c r="L79" s="9"/>
      <c r="M79" s="9"/>
      <c r="N79" s="10">
        <f>IFERROR(__xludf.DUMMYFUNCTION("""COMPUTED_VALUE"""),0.08333333333333333)</f>
        <v>0.08333333333</v>
      </c>
      <c r="O79" s="9"/>
      <c r="P79" s="9"/>
      <c r="Q79" s="11">
        <f>IFERROR(__xludf.DUMMYFUNCTION("""COMPUTED_VALUE"""),2.0)</f>
        <v>2</v>
      </c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tr">
        <f>IFERROR(__xludf.DUMMYFUNCTION("""COMPUTED_VALUE"""),"João Vitor Nascimento")</f>
        <v>João Vitor Nascimento</v>
      </c>
      <c r="B80" s="9"/>
      <c r="C80" s="11">
        <f>IFERROR(__xludf.DUMMYFUNCTION("""COMPUTED_VALUE"""),1.0)</f>
        <v>1</v>
      </c>
      <c r="D80" s="9"/>
      <c r="E80" s="9"/>
      <c r="F80" s="9"/>
      <c r="G80" s="10">
        <f>IFERROR(__xludf.DUMMYFUNCTION("""COMPUTED_VALUE"""),1.0)</f>
        <v>1</v>
      </c>
      <c r="H80" s="9"/>
      <c r="I80" s="9"/>
      <c r="J80" s="11">
        <f>IFERROR(__xludf.DUMMYFUNCTION("""COMPUTED_VALUE"""),1.0)</f>
        <v>1</v>
      </c>
      <c r="K80" s="9"/>
      <c r="L80" s="9"/>
      <c r="M80" s="9"/>
      <c r="N80" s="10">
        <f>IFERROR(__xludf.DUMMYFUNCTION("""COMPUTED_VALUE"""),1.0)</f>
        <v>1</v>
      </c>
      <c r="O80" s="9"/>
      <c r="P80" s="9"/>
      <c r="Q80" s="11">
        <f>IFERROR(__xludf.DUMMYFUNCTION("""COMPUTED_VALUE"""),1.0)</f>
        <v>1</v>
      </c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tr">
        <f>IFERROR(__xludf.DUMMYFUNCTION("""COMPUTED_VALUE"""),"Mylena Reis")</f>
        <v>Mylena Reis</v>
      </c>
      <c r="B81" s="9"/>
      <c r="C81" s="11">
        <f>IFERROR(__xludf.DUMMYFUNCTION("""COMPUTED_VALUE"""),7.0)</f>
        <v>7</v>
      </c>
      <c r="D81" s="9"/>
      <c r="E81" s="9"/>
      <c r="F81" s="9"/>
      <c r="G81" s="10">
        <f>IFERROR(__xludf.DUMMYFUNCTION("""COMPUTED_VALUE"""),0.8571428571428571)</f>
        <v>0.8571428571</v>
      </c>
      <c r="H81" s="9"/>
      <c r="I81" s="9"/>
      <c r="J81" s="11">
        <f>IFERROR(__xludf.DUMMYFUNCTION("""COMPUTED_VALUE"""),6.0)</f>
        <v>6</v>
      </c>
      <c r="K81" s="9"/>
      <c r="L81" s="9"/>
      <c r="M81" s="9"/>
      <c r="N81" s="10">
        <f>IFERROR(__xludf.DUMMYFUNCTION("""COMPUTED_VALUE"""),0.16666666666666666)</f>
        <v>0.1666666667</v>
      </c>
      <c r="O81" s="9"/>
      <c r="P81" s="9"/>
      <c r="Q81" s="11">
        <f>IFERROR(__xludf.DUMMYFUNCTION("""COMPUTED_VALUE"""),1.0)</f>
        <v>1</v>
      </c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tr">
        <f>IFERROR(__xludf.DUMMYFUNCTION("""COMPUTED_VALUE"""),"Nicolas Miranda")</f>
        <v>Nicolas Miranda</v>
      </c>
      <c r="B82" s="9"/>
      <c r="C82" s="11">
        <f>IFERROR(__xludf.DUMMYFUNCTION("""COMPUTED_VALUE"""),1.0)</f>
        <v>1</v>
      </c>
      <c r="D82" s="9"/>
      <c r="E82" s="9"/>
      <c r="F82" s="9"/>
      <c r="G82" s="10">
        <f>IFERROR(__xludf.DUMMYFUNCTION("""COMPUTED_VALUE"""),1.0)</f>
        <v>1</v>
      </c>
      <c r="H82" s="9"/>
      <c r="I82" s="9"/>
      <c r="J82" s="11">
        <f>IFERROR(__xludf.DUMMYFUNCTION("""COMPUTED_VALUE"""),1.0)</f>
        <v>1</v>
      </c>
      <c r="K82" s="9"/>
      <c r="L82" s="9"/>
      <c r="M82" s="9"/>
      <c r="N82" s="10">
        <f>IFERROR(__xludf.DUMMYFUNCTION("""COMPUTED_VALUE"""),0.0)</f>
        <v>0</v>
      </c>
      <c r="O82" s="9"/>
      <c r="P82" s="9"/>
      <c r="Q82" s="11">
        <f>IFERROR(__xludf.DUMMYFUNCTION("""COMPUTED_VALUE"""),0.0)</f>
        <v>0</v>
      </c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tr">
        <f>IFERROR(__xludf.DUMMYFUNCTION("""COMPUTED_VALUE"""),"Felipe Maximo")</f>
        <v>Felipe Maximo</v>
      </c>
      <c r="B83" s="9"/>
      <c r="C83" s="11">
        <f>IFERROR(__xludf.DUMMYFUNCTION("""COMPUTED_VALUE"""),23.0)</f>
        <v>23</v>
      </c>
      <c r="D83" s="9"/>
      <c r="E83" s="9"/>
      <c r="F83" s="9"/>
      <c r="G83" s="10">
        <f>IFERROR(__xludf.DUMMYFUNCTION("""COMPUTED_VALUE"""),0.6956521739130435)</f>
        <v>0.6956521739</v>
      </c>
      <c r="H83" s="9"/>
      <c r="I83" s="9"/>
      <c r="J83" s="11">
        <f>IFERROR(__xludf.DUMMYFUNCTION("""COMPUTED_VALUE"""),16.0)</f>
        <v>16</v>
      </c>
      <c r="K83" s="9"/>
      <c r="L83" s="9"/>
      <c r="M83" s="9"/>
      <c r="N83" s="10">
        <f>IFERROR(__xludf.DUMMYFUNCTION("""COMPUTED_VALUE"""),0.0)</f>
        <v>0</v>
      </c>
      <c r="O83" s="9"/>
      <c r="P83" s="9"/>
      <c r="Q83" s="11">
        <f>IFERROR(__xludf.DUMMYFUNCTION("""COMPUTED_VALUE"""),0.0)</f>
        <v>0</v>
      </c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tr">
        <f>IFERROR(__xludf.DUMMYFUNCTION("""COMPUTED_VALUE"""),"Form G4 Google")</f>
        <v>Form G4 Google</v>
      </c>
      <c r="B84" s="11">
        <f>IFERROR(__xludf.DUMMYFUNCTION("""COMPUTED_VALUE"""),126.29032258064508)</f>
        <v>126.2903226</v>
      </c>
      <c r="C84" s="11">
        <f>IFERROR(__xludf.DUMMYFUNCTION("""COMPUTED_VALUE"""),261.0)</f>
        <v>261</v>
      </c>
      <c r="D84" s="11">
        <f>IFERROR(__xludf.DUMMYFUNCTION("""COMPUTED_VALUE"""),134.70967741935493)</f>
        <v>134.7096774</v>
      </c>
      <c r="E84" s="10">
        <f>IFERROR(__xludf.DUMMYFUNCTION("""COMPUTED_VALUE"""),1.066666666666668)</f>
        <v>1.066666667</v>
      </c>
      <c r="F84" s="10">
        <f>IFERROR(__xludf.DUMMYFUNCTION("""COMPUTED_VALUE"""),0.5893855762154737)</f>
        <v>0.5893855762</v>
      </c>
      <c r="G84" s="10">
        <f>IFERROR(__xludf.DUMMYFUNCTION("""COMPUTED_VALUE"""),0.7969348659003831)</f>
        <v>0.7969348659</v>
      </c>
      <c r="H84" s="36">
        <f>IFERROR(__xludf.DUMMYFUNCTION("""COMPUTED_VALUE"""),20.754928968490937)</f>
        <v>20.75492897</v>
      </c>
      <c r="I84" s="11">
        <f>IFERROR(__xludf.DUMMYFUNCTION("""COMPUTED_VALUE"""),74.43369454463155)</f>
        <v>74.43369454</v>
      </c>
      <c r="J84" s="11">
        <f>IFERROR(__xludf.DUMMYFUNCTION("""COMPUTED_VALUE"""),208.0)</f>
        <v>208</v>
      </c>
      <c r="K84" s="11">
        <f>IFERROR(__xludf.DUMMYFUNCTION("""COMPUTED_VALUE"""),133.56630545536845)</f>
        <v>133.5663055</v>
      </c>
      <c r="L84" s="10">
        <f>IFERROR(__xludf.DUMMYFUNCTION("""COMPUTED_VALUE"""),1.7944333715059664)</f>
        <v>1.794433372</v>
      </c>
      <c r="M84" s="10">
        <f>IFERROR(__xludf.DUMMYFUNCTION("""COMPUTED_VALUE"""),0.3398518518518521)</f>
        <v>0.3398518519</v>
      </c>
      <c r="N84" s="10">
        <f>IFERROR(__xludf.DUMMYFUNCTION("""COMPUTED_VALUE"""),0.40865384615384615)</f>
        <v>0.4086538462</v>
      </c>
      <c r="O84" s="36">
        <f>IFERROR(__xludf.DUMMYFUNCTION("""COMPUTED_VALUE"""),6.880199430199402)</f>
        <v>6.88019943</v>
      </c>
      <c r="P84" s="11">
        <f>IFERROR(__xludf.DUMMYFUNCTION("""COMPUTED_VALUE"""),25.296428931168137)</f>
        <v>25.29642893</v>
      </c>
      <c r="Q84" s="11">
        <f>IFERROR(__xludf.DUMMYFUNCTION("""COMPUTED_VALUE"""),85.0)</f>
        <v>85</v>
      </c>
      <c r="R84" s="11">
        <f>IFERROR(__xludf.DUMMYFUNCTION("""COMPUTED_VALUE"""),59.70357106883186)</f>
        <v>59.70357107</v>
      </c>
      <c r="S84" s="10">
        <f>IFERROR(__xludf.DUMMYFUNCTION("""COMPUTED_VALUE"""),2.360158077303557)</f>
        <v>2.360158077</v>
      </c>
      <c r="T84" s="11">
        <f>IFERROR(__xludf.DUMMYFUNCTION("""COMPUTED_VALUE"""),135534.47174885919)</f>
        <v>135534.4717</v>
      </c>
      <c r="U84" s="15">
        <f>IFERROR(__xludf.DUMMYFUNCTION("""COMPUTED_VALUE"""),5520.0)</f>
        <v>5520</v>
      </c>
      <c r="V84" s="15">
        <f>IFERROR(__xludf.DUMMYFUNCTION("""COMPUTED_VALUE"""),737286.0061136339)</f>
        <v>737286.0061</v>
      </c>
      <c r="W84" s="10">
        <f>IFERROR(__xludf.DUMMYFUNCTION("""COMPUTED_VALUE"""),5.439841219728956)</f>
        <v>5.43984122</v>
      </c>
      <c r="X84" s="9"/>
      <c r="Y84" s="9"/>
      <c r="Z84" s="9"/>
    </row>
    <row r="85">
      <c r="A85" s="9" t="str">
        <f>IFERROR(__xludf.DUMMYFUNCTION("""COMPUTED_VALUE"""),"Thalita Lopes")</f>
        <v>Thalita Lopes</v>
      </c>
      <c r="B85" s="9"/>
      <c r="C85" s="11">
        <f>IFERROR(__xludf.DUMMYFUNCTION("""COMPUTED_VALUE"""),36.0)</f>
        <v>36</v>
      </c>
      <c r="D85" s="9"/>
      <c r="E85" s="9"/>
      <c r="F85" s="9"/>
      <c r="G85" s="10">
        <f>IFERROR(__xludf.DUMMYFUNCTION("""COMPUTED_VALUE"""),0.6944444444444444)</f>
        <v>0.6944444444</v>
      </c>
      <c r="H85" s="9"/>
      <c r="I85" s="9"/>
      <c r="J85" s="11">
        <f>IFERROR(__xludf.DUMMYFUNCTION("""COMPUTED_VALUE"""),25.0)</f>
        <v>25</v>
      </c>
      <c r="K85" s="9"/>
      <c r="L85" s="9"/>
      <c r="M85" s="9"/>
      <c r="N85" s="10">
        <f>IFERROR(__xludf.DUMMYFUNCTION("""COMPUTED_VALUE"""),0.52)</f>
        <v>0.52</v>
      </c>
      <c r="O85" s="9"/>
      <c r="P85" s="9"/>
      <c r="Q85" s="11">
        <f>IFERROR(__xludf.DUMMYFUNCTION("""COMPUTED_VALUE"""),13.0)</f>
        <v>13</v>
      </c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tr">
        <f>IFERROR(__xludf.DUMMYFUNCTION("""COMPUTED_VALUE"""),"Mariana Jovenato")</f>
        <v>Mariana Jovenato</v>
      </c>
      <c r="B86" s="9"/>
      <c r="C86" s="11">
        <f>IFERROR(__xludf.DUMMYFUNCTION("""COMPUTED_VALUE"""),19.0)</f>
        <v>19</v>
      </c>
      <c r="D86" s="9"/>
      <c r="E86" s="9"/>
      <c r="F86" s="9"/>
      <c r="G86" s="10">
        <f>IFERROR(__xludf.DUMMYFUNCTION("""COMPUTED_VALUE"""),0.8947368421052632)</f>
        <v>0.8947368421</v>
      </c>
      <c r="H86" s="9"/>
      <c r="I86" s="9"/>
      <c r="J86" s="11">
        <f>IFERROR(__xludf.DUMMYFUNCTION("""COMPUTED_VALUE"""),17.0)</f>
        <v>17</v>
      </c>
      <c r="K86" s="9"/>
      <c r="L86" s="9"/>
      <c r="M86" s="9"/>
      <c r="N86" s="10">
        <f>IFERROR(__xludf.DUMMYFUNCTION("""COMPUTED_VALUE"""),0.6470588235294118)</f>
        <v>0.6470588235</v>
      </c>
      <c r="O86" s="9"/>
      <c r="P86" s="9"/>
      <c r="Q86" s="11">
        <f>IFERROR(__xludf.DUMMYFUNCTION("""COMPUTED_VALUE"""),11.0)</f>
        <v>11</v>
      </c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tr">
        <f>IFERROR(__xludf.DUMMYFUNCTION("""COMPUTED_VALUE"""),"João Rios")</f>
        <v>João Rios</v>
      </c>
      <c r="B87" s="9"/>
      <c r="C87" s="11">
        <f>IFERROR(__xludf.DUMMYFUNCTION("""COMPUTED_VALUE"""),19.0)</f>
        <v>19</v>
      </c>
      <c r="D87" s="9"/>
      <c r="E87" s="9"/>
      <c r="F87" s="9"/>
      <c r="G87" s="10">
        <f>IFERROR(__xludf.DUMMYFUNCTION("""COMPUTED_VALUE"""),0.8421052631578947)</f>
        <v>0.8421052632</v>
      </c>
      <c r="H87" s="9"/>
      <c r="I87" s="9"/>
      <c r="J87" s="11">
        <f>IFERROR(__xludf.DUMMYFUNCTION("""COMPUTED_VALUE"""),16.0)</f>
        <v>16</v>
      </c>
      <c r="K87" s="9"/>
      <c r="L87" s="9"/>
      <c r="M87" s="9"/>
      <c r="N87" s="10">
        <f>IFERROR(__xludf.DUMMYFUNCTION("""COMPUTED_VALUE"""),0.5625)</f>
        <v>0.5625</v>
      </c>
      <c r="O87" s="9"/>
      <c r="P87" s="9"/>
      <c r="Q87" s="11">
        <f>IFERROR(__xludf.DUMMYFUNCTION("""COMPUTED_VALUE"""),9.0)</f>
        <v>9</v>
      </c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tr">
        <f>IFERROR(__xludf.DUMMYFUNCTION("""COMPUTED_VALUE"""),"Marcio Lucas")</f>
        <v>Marcio Lucas</v>
      </c>
      <c r="B88" s="9"/>
      <c r="C88" s="11">
        <f>IFERROR(__xludf.DUMMYFUNCTION("""COMPUTED_VALUE"""),33.0)</f>
        <v>33</v>
      </c>
      <c r="D88" s="9"/>
      <c r="E88" s="9"/>
      <c r="F88" s="9"/>
      <c r="G88" s="10">
        <f>IFERROR(__xludf.DUMMYFUNCTION("""COMPUTED_VALUE"""),0.7272727272727273)</f>
        <v>0.7272727273</v>
      </c>
      <c r="H88" s="9"/>
      <c r="I88" s="9"/>
      <c r="J88" s="11">
        <f>IFERROR(__xludf.DUMMYFUNCTION("""COMPUTED_VALUE"""),24.0)</f>
        <v>24</v>
      </c>
      <c r="K88" s="9"/>
      <c r="L88" s="9"/>
      <c r="M88" s="9"/>
      <c r="N88" s="10">
        <f>IFERROR(__xludf.DUMMYFUNCTION("""COMPUTED_VALUE"""),0.375)</f>
        <v>0.375</v>
      </c>
      <c r="O88" s="9"/>
      <c r="P88" s="9"/>
      <c r="Q88" s="11">
        <f>IFERROR(__xludf.DUMMYFUNCTION("""COMPUTED_VALUE"""),9.0)</f>
        <v>9</v>
      </c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tr">
        <f>IFERROR(__xludf.DUMMYFUNCTION("""COMPUTED_VALUE"""),"Gustavo Pereira")</f>
        <v>Gustavo Pereira</v>
      </c>
      <c r="B89" s="9"/>
      <c r="C89" s="11">
        <f>IFERROR(__xludf.DUMMYFUNCTION("""COMPUTED_VALUE"""),44.0)</f>
        <v>44</v>
      </c>
      <c r="D89" s="9"/>
      <c r="E89" s="9"/>
      <c r="F89" s="9"/>
      <c r="G89" s="10">
        <f>IFERROR(__xludf.DUMMYFUNCTION("""COMPUTED_VALUE"""),0.7727272727272727)</f>
        <v>0.7727272727</v>
      </c>
      <c r="H89" s="9"/>
      <c r="I89" s="9"/>
      <c r="J89" s="11">
        <f>IFERROR(__xludf.DUMMYFUNCTION("""COMPUTED_VALUE"""),34.0)</f>
        <v>34</v>
      </c>
      <c r="K89" s="9"/>
      <c r="L89" s="9"/>
      <c r="M89" s="9"/>
      <c r="N89" s="10">
        <f>IFERROR(__xludf.DUMMYFUNCTION("""COMPUTED_VALUE"""),0.2647058823529412)</f>
        <v>0.2647058824</v>
      </c>
      <c r="O89" s="9"/>
      <c r="P89" s="9"/>
      <c r="Q89" s="11">
        <f>IFERROR(__xludf.DUMMYFUNCTION("""COMPUTED_VALUE"""),9.0)</f>
        <v>9</v>
      </c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tr">
        <f>IFERROR(__xludf.DUMMYFUNCTION("""COMPUTED_VALUE"""),"Ilson Costa Lima")</f>
        <v>Ilson Costa Lima</v>
      </c>
      <c r="B90" s="9"/>
      <c r="C90" s="11">
        <f>IFERROR(__xludf.DUMMYFUNCTION("""COMPUTED_VALUE"""),26.0)</f>
        <v>26</v>
      </c>
      <c r="D90" s="9"/>
      <c r="E90" s="9"/>
      <c r="F90" s="9"/>
      <c r="G90" s="10">
        <f>IFERROR(__xludf.DUMMYFUNCTION("""COMPUTED_VALUE"""),0.6538461538461539)</f>
        <v>0.6538461538</v>
      </c>
      <c r="H90" s="9"/>
      <c r="I90" s="9"/>
      <c r="J90" s="11">
        <f>IFERROR(__xludf.DUMMYFUNCTION("""COMPUTED_VALUE"""),17.0)</f>
        <v>17</v>
      </c>
      <c r="K90" s="9"/>
      <c r="L90" s="9"/>
      <c r="M90" s="9"/>
      <c r="N90" s="10">
        <f>IFERROR(__xludf.DUMMYFUNCTION("""COMPUTED_VALUE"""),0.47058823529411764)</f>
        <v>0.4705882353</v>
      </c>
      <c r="O90" s="9"/>
      <c r="P90" s="9"/>
      <c r="Q90" s="11">
        <f>IFERROR(__xludf.DUMMYFUNCTION("""COMPUTED_VALUE"""),8.0)</f>
        <v>8</v>
      </c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tr">
        <f>IFERROR(__xludf.DUMMYFUNCTION("""COMPUTED_VALUE"""),"Mylena Reis")</f>
        <v>Mylena Reis</v>
      </c>
      <c r="B91" s="9"/>
      <c r="C91" s="11">
        <f>IFERROR(__xludf.DUMMYFUNCTION("""COMPUTED_VALUE"""),27.0)</f>
        <v>27</v>
      </c>
      <c r="D91" s="9"/>
      <c r="E91" s="9"/>
      <c r="F91" s="9"/>
      <c r="G91" s="10">
        <f>IFERROR(__xludf.DUMMYFUNCTION("""COMPUTED_VALUE"""),0.9629629629629629)</f>
        <v>0.962962963</v>
      </c>
      <c r="H91" s="9"/>
      <c r="I91" s="9"/>
      <c r="J91" s="11">
        <f>IFERROR(__xludf.DUMMYFUNCTION("""COMPUTED_VALUE"""),26.0)</f>
        <v>26</v>
      </c>
      <c r="K91" s="9"/>
      <c r="L91" s="9"/>
      <c r="M91" s="9"/>
      <c r="N91" s="10">
        <f>IFERROR(__xludf.DUMMYFUNCTION("""COMPUTED_VALUE"""),0.2692307692307692)</f>
        <v>0.2692307692</v>
      </c>
      <c r="O91" s="9"/>
      <c r="P91" s="9"/>
      <c r="Q91" s="11">
        <f>IFERROR(__xludf.DUMMYFUNCTION("""COMPUTED_VALUE"""),7.0)</f>
        <v>7</v>
      </c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tr">
        <f>IFERROR(__xludf.DUMMYFUNCTION("""COMPUTED_VALUE"""),"Cauã Andrade")</f>
        <v>Cauã Andrade</v>
      </c>
      <c r="B92" s="9"/>
      <c r="C92" s="11">
        <f>IFERROR(__xludf.DUMMYFUNCTION("""COMPUTED_VALUE"""),20.0)</f>
        <v>20</v>
      </c>
      <c r="D92" s="9"/>
      <c r="E92" s="9"/>
      <c r="F92" s="9"/>
      <c r="G92" s="10">
        <f>IFERROR(__xludf.DUMMYFUNCTION("""COMPUTED_VALUE"""),0.9)</f>
        <v>0.9</v>
      </c>
      <c r="H92" s="9"/>
      <c r="I92" s="9"/>
      <c r="J92" s="11">
        <f>IFERROR(__xludf.DUMMYFUNCTION("""COMPUTED_VALUE"""),18.0)</f>
        <v>18</v>
      </c>
      <c r="K92" s="9"/>
      <c r="L92" s="9"/>
      <c r="M92" s="9"/>
      <c r="N92" s="10">
        <f>IFERROR(__xludf.DUMMYFUNCTION("""COMPUTED_VALUE"""),0.3333333333333333)</f>
        <v>0.3333333333</v>
      </c>
      <c r="O92" s="9"/>
      <c r="P92" s="9"/>
      <c r="Q92" s="11">
        <f>IFERROR(__xludf.DUMMYFUNCTION("""COMPUTED_VALUE"""),6.0)</f>
        <v>6</v>
      </c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tr">
        <f>IFERROR(__xludf.DUMMYFUNCTION("""COMPUTED_VALUE"""),"Felipe Maximo")</f>
        <v>Felipe Maximo</v>
      </c>
      <c r="B93" s="9"/>
      <c r="C93" s="11">
        <f>IFERROR(__xludf.DUMMYFUNCTION("""COMPUTED_VALUE"""),24.0)</f>
        <v>24</v>
      </c>
      <c r="D93" s="9"/>
      <c r="E93" s="9"/>
      <c r="F93" s="9"/>
      <c r="G93" s="10">
        <f>IFERROR(__xludf.DUMMYFUNCTION("""COMPUTED_VALUE"""),0.7916666666666666)</f>
        <v>0.7916666667</v>
      </c>
      <c r="H93" s="9"/>
      <c r="I93" s="9"/>
      <c r="J93" s="11">
        <f>IFERROR(__xludf.DUMMYFUNCTION("""COMPUTED_VALUE"""),19.0)</f>
        <v>19</v>
      </c>
      <c r="K93" s="9"/>
      <c r="L93" s="9"/>
      <c r="M93" s="9"/>
      <c r="N93" s="10">
        <f>IFERROR(__xludf.DUMMYFUNCTION("""COMPUTED_VALUE"""),0.3157894736842105)</f>
        <v>0.3157894737</v>
      </c>
      <c r="O93" s="9"/>
      <c r="P93" s="9"/>
      <c r="Q93" s="11">
        <f>IFERROR(__xludf.DUMMYFUNCTION("""COMPUTED_VALUE"""),6.0)</f>
        <v>6</v>
      </c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tr">
        <f>IFERROR(__xludf.DUMMYFUNCTION("""COMPUTED_VALUE"""),"Izabelle Lopes")</f>
        <v>Izabelle Lopes</v>
      </c>
      <c r="B94" s="9"/>
      <c r="C94" s="11">
        <f>IFERROR(__xludf.DUMMYFUNCTION("""COMPUTED_VALUE"""),2.0)</f>
        <v>2</v>
      </c>
      <c r="D94" s="9"/>
      <c r="E94" s="9"/>
      <c r="F94" s="9"/>
      <c r="G94" s="10">
        <f>IFERROR(__xludf.DUMMYFUNCTION("""COMPUTED_VALUE"""),1.0)</f>
        <v>1</v>
      </c>
      <c r="H94" s="9"/>
      <c r="I94" s="9"/>
      <c r="J94" s="11">
        <f>IFERROR(__xludf.DUMMYFUNCTION("""COMPUTED_VALUE"""),2.0)</f>
        <v>2</v>
      </c>
      <c r="K94" s="9"/>
      <c r="L94" s="9"/>
      <c r="M94" s="9"/>
      <c r="N94" s="10">
        <f>IFERROR(__xludf.DUMMYFUNCTION("""COMPUTED_VALUE"""),1.0)</f>
        <v>1</v>
      </c>
      <c r="O94" s="9"/>
      <c r="P94" s="9"/>
      <c r="Q94" s="11">
        <f>IFERROR(__xludf.DUMMYFUNCTION("""COMPUTED_VALUE"""),2.0)</f>
        <v>2</v>
      </c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tr">
        <f>IFERROR(__xludf.DUMMYFUNCTION("""COMPUTED_VALUE"""),"João Vitor Nascimento")</f>
        <v>João Vitor Nascimento</v>
      </c>
      <c r="B95" s="9"/>
      <c r="C95" s="11">
        <f>IFERROR(__xludf.DUMMYFUNCTION("""COMPUTED_VALUE"""),7.0)</f>
        <v>7</v>
      </c>
      <c r="D95" s="9"/>
      <c r="E95" s="9"/>
      <c r="F95" s="9"/>
      <c r="G95" s="10">
        <f>IFERROR(__xludf.DUMMYFUNCTION("""COMPUTED_VALUE"""),0.8571428571428571)</f>
        <v>0.8571428571</v>
      </c>
      <c r="H95" s="9"/>
      <c r="I95" s="9"/>
      <c r="J95" s="11">
        <f>IFERROR(__xludf.DUMMYFUNCTION("""COMPUTED_VALUE"""),6.0)</f>
        <v>6</v>
      </c>
      <c r="K95" s="9"/>
      <c r="L95" s="9"/>
      <c r="M95" s="9"/>
      <c r="N95" s="10">
        <f>IFERROR(__xludf.DUMMYFUNCTION("""COMPUTED_VALUE"""),0.16666666666666666)</f>
        <v>0.1666666667</v>
      </c>
      <c r="O95" s="9"/>
      <c r="P95" s="9"/>
      <c r="Q95" s="11">
        <f>IFERROR(__xludf.DUMMYFUNCTION("""COMPUTED_VALUE"""),1.0)</f>
        <v>1</v>
      </c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tr">
        <f>IFERROR(__xludf.DUMMYFUNCTION("""COMPUTED_VALUE"""),"Nicolas Miranda")</f>
        <v>Nicolas Miranda</v>
      </c>
      <c r="B96" s="9"/>
      <c r="C96" s="11">
        <f>IFERROR(__xludf.DUMMYFUNCTION("""COMPUTED_VALUE"""),1.0)</f>
        <v>1</v>
      </c>
      <c r="D96" s="9"/>
      <c r="E96" s="9"/>
      <c r="F96" s="9"/>
      <c r="G96" s="10">
        <f>IFERROR(__xludf.DUMMYFUNCTION("""COMPUTED_VALUE"""),1.0)</f>
        <v>1</v>
      </c>
      <c r="H96" s="9"/>
      <c r="I96" s="9"/>
      <c r="J96" s="11">
        <f>IFERROR(__xludf.DUMMYFUNCTION("""COMPUTED_VALUE"""),1.0)</f>
        <v>1</v>
      </c>
      <c r="K96" s="9"/>
      <c r="L96" s="9"/>
      <c r="M96" s="9"/>
      <c r="N96" s="10">
        <f>IFERROR(__xludf.DUMMYFUNCTION("""COMPUTED_VALUE"""),0.0)</f>
        <v>0</v>
      </c>
      <c r="O96" s="9"/>
      <c r="P96" s="9"/>
      <c r="Q96" s="11">
        <f>IFERROR(__xludf.DUMMYFUNCTION("""COMPUTED_VALUE"""),0.0)</f>
        <v>0</v>
      </c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tr">
        <f>IFERROR(__xludf.DUMMYFUNCTION("""COMPUTED_VALUE"""),"Matheus Mariano")</f>
        <v>Matheus Mariano</v>
      </c>
      <c r="B97" s="9"/>
      <c r="C97" s="11">
        <f>IFERROR(__xludf.DUMMYFUNCTION("""COMPUTED_VALUE"""),1.0)</f>
        <v>1</v>
      </c>
      <c r="D97" s="9"/>
      <c r="E97" s="9"/>
      <c r="F97" s="9"/>
      <c r="G97" s="10">
        <f>IFERROR(__xludf.DUMMYFUNCTION("""COMPUTED_VALUE"""),0.0)</f>
        <v>0</v>
      </c>
      <c r="H97" s="9"/>
      <c r="I97" s="9"/>
      <c r="J97" s="11">
        <f>IFERROR(__xludf.DUMMYFUNCTION("""COMPUTED_VALUE"""),0.0)</f>
        <v>0</v>
      </c>
      <c r="K97" s="9"/>
      <c r="L97" s="9"/>
      <c r="M97" s="9"/>
      <c r="N97" s="10">
        <f>IFERROR(__xludf.DUMMYFUNCTION("""COMPUTED_VALUE"""),0.0)</f>
        <v>0</v>
      </c>
      <c r="O97" s="9"/>
      <c r="P97" s="9"/>
      <c r="Q97" s="11">
        <f>IFERROR(__xludf.DUMMYFUNCTION("""COMPUTED_VALUE"""),0.0)</f>
        <v>0</v>
      </c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tr">
        <f>IFERROR(__xludf.DUMMYFUNCTION("""COMPUTED_VALUE"""),"Christian Lopes")</f>
        <v>Christian Lopes</v>
      </c>
      <c r="B98" s="9"/>
      <c r="C98" s="11">
        <f>IFERROR(__xludf.DUMMYFUNCTION("""COMPUTED_VALUE"""),1.0)</f>
        <v>1</v>
      </c>
      <c r="D98" s="9"/>
      <c r="E98" s="9"/>
      <c r="F98" s="9"/>
      <c r="G98" s="10">
        <f>IFERROR(__xludf.DUMMYFUNCTION("""COMPUTED_VALUE"""),2.0)</f>
        <v>2</v>
      </c>
      <c r="H98" s="9"/>
      <c r="I98" s="9"/>
      <c r="J98" s="11">
        <f>IFERROR(__xludf.DUMMYFUNCTION("""COMPUTED_VALUE"""),2.0)</f>
        <v>2</v>
      </c>
      <c r="K98" s="9"/>
      <c r="L98" s="9"/>
      <c r="M98" s="9"/>
      <c r="N98" s="10">
        <f>IFERROR(__xludf.DUMMYFUNCTION("""COMPUTED_VALUE"""),0.0)</f>
        <v>0</v>
      </c>
      <c r="O98" s="9"/>
      <c r="P98" s="9"/>
      <c r="Q98" s="11">
        <f>IFERROR(__xludf.DUMMYFUNCTION("""COMPUTED_VALUE"""),0.0)</f>
        <v>0</v>
      </c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tr">
        <f>IFERROR(__xludf.DUMMYFUNCTION("""COMPUTED_VALUE"""),"Form G4 Outros - Orgânico")</f>
        <v>Form G4 Outros - Orgânico</v>
      </c>
      <c r="B99" s="11">
        <f>IFERROR(__xludf.DUMMYFUNCTION("""COMPUTED_VALUE"""),447.67741935483843)</f>
        <v>447.6774194</v>
      </c>
      <c r="C99" s="11">
        <f>IFERROR(__xludf.DUMMYFUNCTION("""COMPUTED_VALUE"""),471.0)</f>
        <v>471</v>
      </c>
      <c r="D99" s="11">
        <f>IFERROR(__xludf.DUMMYFUNCTION("""COMPUTED_VALUE"""),23.322580645161565)</f>
        <v>23.32258065</v>
      </c>
      <c r="E99" s="10">
        <f>IFERROR(__xludf.DUMMYFUNCTION("""COMPUTED_VALUE"""),0.05209684392563835)</f>
        <v>0.05209684393</v>
      </c>
      <c r="F99" s="10">
        <f>IFERROR(__xludf.DUMMYFUNCTION("""COMPUTED_VALUE"""),0.6293553918193087)</f>
        <v>0.6293553918</v>
      </c>
      <c r="G99" s="10">
        <f>IFERROR(__xludf.DUMMYFUNCTION("""COMPUTED_VALUE"""),0.6284501061571125)</f>
        <v>0.6284501062</v>
      </c>
      <c r="H99" s="36">
        <f>IFERROR(__xludf.DUMMYFUNCTION("""COMPUTED_VALUE"""),-0.09052856621961647)</f>
        <v>-0.09052856622</v>
      </c>
      <c r="I99" s="11">
        <f>IFERROR(__xludf.DUMMYFUNCTION("""COMPUTED_VALUE"""),281.7481976667213)</f>
        <v>281.7481977</v>
      </c>
      <c r="J99" s="11">
        <f>IFERROR(__xludf.DUMMYFUNCTION("""COMPUTED_VALUE"""),296.0)</f>
        <v>296</v>
      </c>
      <c r="K99" s="11">
        <f>IFERROR(__xludf.DUMMYFUNCTION("""COMPUTED_VALUE"""),14.251802333278704)</f>
        <v>14.25180233</v>
      </c>
      <c r="L99" s="10">
        <f>IFERROR(__xludf.DUMMYFUNCTION("""COMPUTED_VALUE"""),0.05058347294252118)</f>
        <v>0.05058347294</v>
      </c>
      <c r="M99" s="10">
        <f>IFERROR(__xludf.DUMMYFUNCTION("""COMPUTED_VALUE"""),0.38577777777777805)</f>
        <v>0.3857777778</v>
      </c>
      <c r="N99" s="10">
        <f>IFERROR(__xludf.DUMMYFUNCTION("""COMPUTED_VALUE"""),0.46283783783783783)</f>
        <v>0.4628378378</v>
      </c>
      <c r="O99" s="36">
        <f>IFERROR(__xludf.DUMMYFUNCTION("""COMPUTED_VALUE"""),7.706006006005977)</f>
        <v>7.706006006</v>
      </c>
      <c r="P99" s="11">
        <f>IFERROR(__xludf.DUMMYFUNCTION("""COMPUTED_VALUE"""),108.6921935887619)</f>
        <v>108.6921936</v>
      </c>
      <c r="Q99" s="11">
        <f>IFERROR(__xludf.DUMMYFUNCTION("""COMPUTED_VALUE"""),137.0)</f>
        <v>137</v>
      </c>
      <c r="R99" s="11">
        <f>IFERROR(__xludf.DUMMYFUNCTION("""COMPUTED_VALUE"""),28.307806411238104)</f>
        <v>28.30780641</v>
      </c>
      <c r="S99" s="10">
        <f>IFERROR(__xludf.DUMMYFUNCTION("""COMPUTED_VALUE"""),0.26044010592279515)</f>
        <v>0.2604401059</v>
      </c>
      <c r="T99" s="11">
        <f>IFERROR(__xludf.DUMMYFUNCTION("""COMPUTED_VALUE"""),734275.5483985601)</f>
        <v>734275.5484</v>
      </c>
      <c r="U99" s="15">
        <f>IFERROR(__xludf.DUMMYFUNCTION("""COMPUTED_VALUE"""),6959.999999999999)</f>
        <v>6960</v>
      </c>
      <c r="V99" s="15">
        <f>IFERROR(__xludf.DUMMYFUNCTION("""COMPUTED_VALUE"""),99192.54423961976)</f>
        <v>99192.54424</v>
      </c>
      <c r="W99" s="10">
        <f>IFERROR(__xludf.DUMMYFUNCTION("""COMPUTED_VALUE"""),0.13508899275749636)</f>
        <v>0.1350889928</v>
      </c>
      <c r="X99" s="9"/>
      <c r="Y99" s="9"/>
      <c r="Z99" s="9"/>
    </row>
    <row r="100">
      <c r="A100" s="9" t="str">
        <f>IFERROR(__xludf.DUMMYFUNCTION("""COMPUTED_VALUE"""),"Felipe Maximo")</f>
        <v>Felipe Maximo</v>
      </c>
      <c r="B100" s="9"/>
      <c r="C100" s="11">
        <f>IFERROR(__xludf.DUMMYFUNCTION("""COMPUTED_VALUE"""),51.0)</f>
        <v>51</v>
      </c>
      <c r="D100" s="9"/>
      <c r="E100" s="9"/>
      <c r="F100" s="9"/>
      <c r="G100" s="10">
        <f>IFERROR(__xludf.DUMMYFUNCTION("""COMPUTED_VALUE"""),0.6078431372549019)</f>
        <v>0.6078431373</v>
      </c>
      <c r="H100" s="9"/>
      <c r="I100" s="9"/>
      <c r="J100" s="11">
        <f>IFERROR(__xludf.DUMMYFUNCTION("""COMPUTED_VALUE"""),31.0)</f>
        <v>31</v>
      </c>
      <c r="K100" s="9"/>
      <c r="L100" s="9"/>
      <c r="M100" s="9"/>
      <c r="N100" s="10">
        <f>IFERROR(__xludf.DUMMYFUNCTION("""COMPUTED_VALUE"""),0.5161290322580645)</f>
        <v>0.5161290323</v>
      </c>
      <c r="O100" s="9"/>
      <c r="P100" s="9"/>
      <c r="Q100" s="11">
        <f>IFERROR(__xludf.DUMMYFUNCTION("""COMPUTED_VALUE"""),16.0)</f>
        <v>16</v>
      </c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tr">
        <f>IFERROR(__xludf.DUMMYFUNCTION("""COMPUTED_VALUE"""),"Mariana Jovenato")</f>
        <v>Mariana Jovenato</v>
      </c>
      <c r="B101" s="9"/>
      <c r="C101" s="11">
        <f>IFERROR(__xludf.DUMMYFUNCTION("""COMPUTED_VALUE"""),51.0)</f>
        <v>51</v>
      </c>
      <c r="D101" s="9"/>
      <c r="E101" s="9"/>
      <c r="F101" s="9"/>
      <c r="G101" s="10">
        <f>IFERROR(__xludf.DUMMYFUNCTION("""COMPUTED_VALUE"""),0.6274509803921569)</f>
        <v>0.6274509804</v>
      </c>
      <c r="H101" s="9"/>
      <c r="I101" s="9"/>
      <c r="J101" s="11">
        <f>IFERROR(__xludf.DUMMYFUNCTION("""COMPUTED_VALUE"""),32.0)</f>
        <v>32</v>
      </c>
      <c r="K101" s="9"/>
      <c r="L101" s="9"/>
      <c r="M101" s="9"/>
      <c r="N101" s="10">
        <f>IFERROR(__xludf.DUMMYFUNCTION("""COMPUTED_VALUE"""),0.5)</f>
        <v>0.5</v>
      </c>
      <c r="O101" s="9"/>
      <c r="P101" s="9"/>
      <c r="Q101" s="11">
        <f>IFERROR(__xludf.DUMMYFUNCTION("""COMPUTED_VALUE"""),16.0)</f>
        <v>16</v>
      </c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tr">
        <f>IFERROR(__xludf.DUMMYFUNCTION("""COMPUTED_VALUE"""),"Cauã Andrade")</f>
        <v>Cauã Andrade</v>
      </c>
      <c r="B102" s="9"/>
      <c r="C102" s="11">
        <f>IFERROR(__xludf.DUMMYFUNCTION("""COMPUTED_VALUE"""),50.0)</f>
        <v>50</v>
      </c>
      <c r="D102" s="9"/>
      <c r="E102" s="9"/>
      <c r="F102" s="9"/>
      <c r="G102" s="10">
        <f>IFERROR(__xludf.DUMMYFUNCTION("""COMPUTED_VALUE"""),0.7)</f>
        <v>0.7</v>
      </c>
      <c r="H102" s="9"/>
      <c r="I102" s="9"/>
      <c r="J102" s="11">
        <f>IFERROR(__xludf.DUMMYFUNCTION("""COMPUTED_VALUE"""),35.0)</f>
        <v>35</v>
      </c>
      <c r="K102" s="9"/>
      <c r="L102" s="9"/>
      <c r="M102" s="9"/>
      <c r="N102" s="10">
        <f>IFERROR(__xludf.DUMMYFUNCTION("""COMPUTED_VALUE"""),0.45714285714285713)</f>
        <v>0.4571428571</v>
      </c>
      <c r="O102" s="9"/>
      <c r="P102" s="9"/>
      <c r="Q102" s="11">
        <f>IFERROR(__xludf.DUMMYFUNCTION("""COMPUTED_VALUE"""),16.0)</f>
        <v>16</v>
      </c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tr">
        <f>IFERROR(__xludf.DUMMYFUNCTION("""COMPUTED_VALUE"""),"Marcio Lucas")</f>
        <v>Marcio Lucas</v>
      </c>
      <c r="B103" s="9"/>
      <c r="C103" s="11">
        <f>IFERROR(__xludf.DUMMYFUNCTION("""COMPUTED_VALUE"""),58.0)</f>
        <v>58</v>
      </c>
      <c r="D103" s="9"/>
      <c r="E103" s="9"/>
      <c r="F103" s="9"/>
      <c r="G103" s="10">
        <f>IFERROR(__xludf.DUMMYFUNCTION("""COMPUTED_VALUE"""),0.6206896551724138)</f>
        <v>0.6206896552</v>
      </c>
      <c r="H103" s="9"/>
      <c r="I103" s="9"/>
      <c r="J103" s="11">
        <f>IFERROR(__xludf.DUMMYFUNCTION("""COMPUTED_VALUE"""),36.0)</f>
        <v>36</v>
      </c>
      <c r="K103" s="9"/>
      <c r="L103" s="9"/>
      <c r="M103" s="9"/>
      <c r="N103" s="10">
        <f>IFERROR(__xludf.DUMMYFUNCTION("""COMPUTED_VALUE"""),0.4444444444444444)</f>
        <v>0.4444444444</v>
      </c>
      <c r="O103" s="9"/>
      <c r="P103" s="9"/>
      <c r="Q103" s="11">
        <f>IFERROR(__xludf.DUMMYFUNCTION("""COMPUTED_VALUE"""),16.0)</f>
        <v>16</v>
      </c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tr">
        <f>IFERROR(__xludf.DUMMYFUNCTION("""COMPUTED_VALUE"""),"Gustavo Pereira")</f>
        <v>Gustavo Pereira</v>
      </c>
      <c r="B104" s="9"/>
      <c r="C104" s="11">
        <f>IFERROR(__xludf.DUMMYFUNCTION("""COMPUTED_VALUE"""),47.0)</f>
        <v>47</v>
      </c>
      <c r="D104" s="9"/>
      <c r="E104" s="9"/>
      <c r="F104" s="9"/>
      <c r="G104" s="10">
        <f>IFERROR(__xludf.DUMMYFUNCTION("""COMPUTED_VALUE"""),0.6382978723404256)</f>
        <v>0.6382978723</v>
      </c>
      <c r="H104" s="9"/>
      <c r="I104" s="9"/>
      <c r="J104" s="11">
        <f>IFERROR(__xludf.DUMMYFUNCTION("""COMPUTED_VALUE"""),30.0)</f>
        <v>30</v>
      </c>
      <c r="K104" s="9"/>
      <c r="L104" s="9"/>
      <c r="M104" s="9"/>
      <c r="N104" s="10">
        <f>IFERROR(__xludf.DUMMYFUNCTION("""COMPUTED_VALUE"""),0.5)</f>
        <v>0.5</v>
      </c>
      <c r="O104" s="9"/>
      <c r="P104" s="9"/>
      <c r="Q104" s="11">
        <f>IFERROR(__xludf.DUMMYFUNCTION("""COMPUTED_VALUE"""),15.0)</f>
        <v>15</v>
      </c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tr">
        <f>IFERROR(__xludf.DUMMYFUNCTION("""COMPUTED_VALUE"""),"Thalita Lopes")</f>
        <v>Thalita Lopes</v>
      </c>
      <c r="B105" s="9"/>
      <c r="C105" s="11">
        <f>IFERROR(__xludf.DUMMYFUNCTION("""COMPUTED_VALUE"""),42.0)</f>
        <v>42</v>
      </c>
      <c r="D105" s="9"/>
      <c r="E105" s="9"/>
      <c r="F105" s="9"/>
      <c r="G105" s="10">
        <f>IFERROR(__xludf.DUMMYFUNCTION("""COMPUTED_VALUE"""),0.5952380952380952)</f>
        <v>0.5952380952</v>
      </c>
      <c r="H105" s="9"/>
      <c r="I105" s="9"/>
      <c r="J105" s="11">
        <f>IFERROR(__xludf.DUMMYFUNCTION("""COMPUTED_VALUE"""),25.0)</f>
        <v>25</v>
      </c>
      <c r="K105" s="9"/>
      <c r="L105" s="9"/>
      <c r="M105" s="9"/>
      <c r="N105" s="10">
        <f>IFERROR(__xludf.DUMMYFUNCTION("""COMPUTED_VALUE"""),0.56)</f>
        <v>0.56</v>
      </c>
      <c r="O105" s="9"/>
      <c r="P105" s="9"/>
      <c r="Q105" s="11">
        <f>IFERROR(__xludf.DUMMYFUNCTION("""COMPUTED_VALUE"""),14.0)</f>
        <v>14</v>
      </c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tr">
        <f>IFERROR(__xludf.DUMMYFUNCTION("""COMPUTED_VALUE"""),"João Rios")</f>
        <v>João Rios</v>
      </c>
      <c r="B106" s="9"/>
      <c r="C106" s="11">
        <f>IFERROR(__xludf.DUMMYFUNCTION("""COMPUTED_VALUE"""),54.0)</f>
        <v>54</v>
      </c>
      <c r="D106" s="9"/>
      <c r="E106" s="9"/>
      <c r="F106" s="9"/>
      <c r="G106" s="10">
        <f>IFERROR(__xludf.DUMMYFUNCTION("""COMPUTED_VALUE"""),0.5740740740740741)</f>
        <v>0.5740740741</v>
      </c>
      <c r="H106" s="9"/>
      <c r="I106" s="9"/>
      <c r="J106" s="11">
        <f>IFERROR(__xludf.DUMMYFUNCTION("""COMPUTED_VALUE"""),31.0)</f>
        <v>31</v>
      </c>
      <c r="K106" s="9"/>
      <c r="L106" s="9"/>
      <c r="M106" s="9"/>
      <c r="N106" s="10">
        <f>IFERROR(__xludf.DUMMYFUNCTION("""COMPUTED_VALUE"""),0.41935483870967744)</f>
        <v>0.4193548387</v>
      </c>
      <c r="O106" s="9"/>
      <c r="P106" s="9"/>
      <c r="Q106" s="11">
        <f>IFERROR(__xludf.DUMMYFUNCTION("""COMPUTED_VALUE"""),13.0)</f>
        <v>13</v>
      </c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tr">
        <f>IFERROR(__xludf.DUMMYFUNCTION("""COMPUTED_VALUE"""),"Ilson Costa Lima")</f>
        <v>Ilson Costa Lima</v>
      </c>
      <c r="B107" s="9"/>
      <c r="C107" s="11">
        <f>IFERROR(__xludf.DUMMYFUNCTION("""COMPUTED_VALUE"""),60.0)</f>
        <v>60</v>
      </c>
      <c r="D107" s="9"/>
      <c r="E107" s="9"/>
      <c r="F107" s="9"/>
      <c r="G107" s="10">
        <f>IFERROR(__xludf.DUMMYFUNCTION("""COMPUTED_VALUE"""),0.5833333333333334)</f>
        <v>0.5833333333</v>
      </c>
      <c r="H107" s="9"/>
      <c r="I107" s="9"/>
      <c r="J107" s="11">
        <f>IFERROR(__xludf.DUMMYFUNCTION("""COMPUTED_VALUE"""),35.0)</f>
        <v>35</v>
      </c>
      <c r="K107" s="9"/>
      <c r="L107" s="9"/>
      <c r="M107" s="9"/>
      <c r="N107" s="10">
        <f>IFERROR(__xludf.DUMMYFUNCTION("""COMPUTED_VALUE"""),0.2571428571428571)</f>
        <v>0.2571428571</v>
      </c>
      <c r="O107" s="9"/>
      <c r="P107" s="9"/>
      <c r="Q107" s="11">
        <f>IFERROR(__xludf.DUMMYFUNCTION("""COMPUTED_VALUE"""),9.0)</f>
        <v>9</v>
      </c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tr">
        <f>IFERROR(__xludf.DUMMYFUNCTION("""COMPUTED_VALUE"""),"Mylena Reis")</f>
        <v>Mylena Reis</v>
      </c>
      <c r="B108" s="9"/>
      <c r="C108" s="11">
        <f>IFERROR(__xludf.DUMMYFUNCTION("""COMPUTED_VALUE"""),31.0)</f>
        <v>31</v>
      </c>
      <c r="D108" s="9"/>
      <c r="E108" s="9"/>
      <c r="F108" s="9"/>
      <c r="G108" s="10">
        <f>IFERROR(__xludf.DUMMYFUNCTION("""COMPUTED_VALUE"""),0.5806451612903226)</f>
        <v>0.5806451613</v>
      </c>
      <c r="H108" s="9"/>
      <c r="I108" s="9"/>
      <c r="J108" s="11">
        <f>IFERROR(__xludf.DUMMYFUNCTION("""COMPUTED_VALUE"""),18.0)</f>
        <v>18</v>
      </c>
      <c r="K108" s="9"/>
      <c r="L108" s="9"/>
      <c r="M108" s="9"/>
      <c r="N108" s="10">
        <f>IFERROR(__xludf.DUMMYFUNCTION("""COMPUTED_VALUE"""),0.3888888888888889)</f>
        <v>0.3888888889</v>
      </c>
      <c r="O108" s="9"/>
      <c r="P108" s="9"/>
      <c r="Q108" s="11">
        <f>IFERROR(__xludf.DUMMYFUNCTION("""COMPUTED_VALUE"""),7.0)</f>
        <v>7</v>
      </c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tr">
        <f>IFERROR(__xludf.DUMMYFUNCTION("""COMPUTED_VALUE"""),"João Vitor Nascimento")</f>
        <v>João Vitor Nascimento</v>
      </c>
      <c r="B109" s="9"/>
      <c r="C109" s="11">
        <f>IFERROR(__xludf.DUMMYFUNCTION("""COMPUTED_VALUE"""),12.0)</f>
        <v>12</v>
      </c>
      <c r="D109" s="9"/>
      <c r="E109" s="9"/>
      <c r="F109" s="9"/>
      <c r="G109" s="10">
        <f>IFERROR(__xludf.DUMMYFUNCTION("""COMPUTED_VALUE"""),0.75)</f>
        <v>0.75</v>
      </c>
      <c r="H109" s="9"/>
      <c r="I109" s="9"/>
      <c r="J109" s="11">
        <f>IFERROR(__xludf.DUMMYFUNCTION("""COMPUTED_VALUE"""),9.0)</f>
        <v>9</v>
      </c>
      <c r="K109" s="9"/>
      <c r="L109" s="9"/>
      <c r="M109" s="9"/>
      <c r="N109" s="10">
        <f>IFERROR(__xludf.DUMMYFUNCTION("""COMPUTED_VALUE"""),0.6666666666666666)</f>
        <v>0.6666666667</v>
      </c>
      <c r="O109" s="9"/>
      <c r="P109" s="9"/>
      <c r="Q109" s="11">
        <f>IFERROR(__xludf.DUMMYFUNCTION("""COMPUTED_VALUE"""),6.0)</f>
        <v>6</v>
      </c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tr">
        <f>IFERROR(__xludf.DUMMYFUNCTION("""COMPUTED_VALUE"""),"Nathan Nascimento")</f>
        <v>Nathan Nascimento</v>
      </c>
      <c r="B110" s="9"/>
      <c r="C110" s="11">
        <f>IFERROR(__xludf.DUMMYFUNCTION("""COMPUTED_VALUE"""),1.0)</f>
        <v>1</v>
      </c>
      <c r="D110" s="9"/>
      <c r="E110" s="9"/>
      <c r="F110" s="9"/>
      <c r="G110" s="10">
        <f>IFERROR(__xludf.DUMMYFUNCTION("""COMPUTED_VALUE"""),2.0)</f>
        <v>2</v>
      </c>
      <c r="H110" s="9"/>
      <c r="I110" s="9"/>
      <c r="J110" s="11">
        <f>IFERROR(__xludf.DUMMYFUNCTION("""COMPUTED_VALUE"""),2.0)</f>
        <v>2</v>
      </c>
      <c r="K110" s="9"/>
      <c r="L110" s="9"/>
      <c r="M110" s="9"/>
      <c r="N110" s="10">
        <f>IFERROR(__xludf.DUMMYFUNCTION("""COMPUTED_VALUE"""),1.5)</f>
        <v>1.5</v>
      </c>
      <c r="O110" s="9"/>
      <c r="P110" s="9"/>
      <c r="Q110" s="11">
        <f>IFERROR(__xludf.DUMMYFUNCTION("""COMPUTED_VALUE"""),3.0)</f>
        <v>3</v>
      </c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tr">
        <f>IFERROR(__xludf.DUMMYFUNCTION("""COMPUTED_VALUE"""),"Nicolas Miranda")</f>
        <v>Nicolas Miranda</v>
      </c>
      <c r="B111" s="9"/>
      <c r="C111" s="11">
        <f>IFERROR(__xludf.DUMMYFUNCTION("""COMPUTED_VALUE"""),2.0)</f>
        <v>2</v>
      </c>
      <c r="D111" s="9"/>
      <c r="E111" s="9"/>
      <c r="F111" s="9"/>
      <c r="G111" s="10">
        <f>IFERROR(__xludf.DUMMYFUNCTION("""COMPUTED_VALUE"""),1.0)</f>
        <v>1</v>
      </c>
      <c r="H111" s="9"/>
      <c r="I111" s="9"/>
      <c r="J111" s="11">
        <f>IFERROR(__xludf.DUMMYFUNCTION("""COMPUTED_VALUE"""),2.0)</f>
        <v>2</v>
      </c>
      <c r="K111" s="9"/>
      <c r="L111" s="9"/>
      <c r="M111" s="9"/>
      <c r="N111" s="10">
        <f>IFERROR(__xludf.DUMMYFUNCTION("""COMPUTED_VALUE"""),1.0)</f>
        <v>1</v>
      </c>
      <c r="O111" s="9"/>
      <c r="P111" s="9"/>
      <c r="Q111" s="11">
        <f>IFERROR(__xludf.DUMMYFUNCTION("""COMPUTED_VALUE"""),2.0)</f>
        <v>2</v>
      </c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tr">
        <f>IFERROR(__xludf.DUMMYFUNCTION("""COMPUTED_VALUE"""),"Matheus Mariano")</f>
        <v>Matheus Mariano</v>
      </c>
      <c r="B112" s="9"/>
      <c r="C112" s="11">
        <f>IFERROR(__xludf.DUMMYFUNCTION("""COMPUTED_VALUE"""),2.0)</f>
        <v>2</v>
      </c>
      <c r="D112" s="9"/>
      <c r="E112" s="9"/>
      <c r="F112" s="9"/>
      <c r="G112" s="10">
        <f>IFERROR(__xludf.DUMMYFUNCTION("""COMPUTED_VALUE"""),0.5)</f>
        <v>0.5</v>
      </c>
      <c r="H112" s="9"/>
      <c r="I112" s="9"/>
      <c r="J112" s="11">
        <f>IFERROR(__xludf.DUMMYFUNCTION("""COMPUTED_VALUE"""),1.0)</f>
        <v>1</v>
      </c>
      <c r="K112" s="9"/>
      <c r="L112" s="9"/>
      <c r="M112" s="9"/>
      <c r="N112" s="10">
        <f>IFERROR(__xludf.DUMMYFUNCTION("""COMPUTED_VALUE"""),1.0)</f>
        <v>1</v>
      </c>
      <c r="O112" s="9"/>
      <c r="P112" s="9"/>
      <c r="Q112" s="11">
        <f>IFERROR(__xludf.DUMMYFUNCTION("""COMPUTED_VALUE"""),1.0)</f>
        <v>1</v>
      </c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tr">
        <f>IFERROR(__xludf.DUMMYFUNCTION("""COMPUTED_VALUE"""),"Leonardo Alencar")</f>
        <v>Leonardo Alencar</v>
      </c>
      <c r="B113" s="9"/>
      <c r="C113" s="11">
        <f>IFERROR(__xludf.DUMMYFUNCTION("""COMPUTED_VALUE"""),1.0)</f>
        <v>1</v>
      </c>
      <c r="D113" s="9"/>
      <c r="E113" s="9"/>
      <c r="F113" s="9"/>
      <c r="G113" s="10">
        <f>IFERROR(__xludf.DUMMYFUNCTION("""COMPUTED_VALUE"""),1.0)</f>
        <v>1</v>
      </c>
      <c r="H113" s="9"/>
      <c r="I113" s="9"/>
      <c r="J113" s="11">
        <f>IFERROR(__xludf.DUMMYFUNCTION("""COMPUTED_VALUE"""),1.0)</f>
        <v>1</v>
      </c>
      <c r="K113" s="9"/>
      <c r="L113" s="9"/>
      <c r="M113" s="9"/>
      <c r="N113" s="10">
        <f>IFERROR(__xludf.DUMMYFUNCTION("""COMPUTED_VALUE"""),1.0)</f>
        <v>1</v>
      </c>
      <c r="O113" s="9"/>
      <c r="P113" s="9"/>
      <c r="Q113" s="11">
        <f>IFERROR(__xludf.DUMMYFUNCTION("""COMPUTED_VALUE"""),1.0)</f>
        <v>1</v>
      </c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tr">
        <f>IFERROR(__xludf.DUMMYFUNCTION("""COMPUTED_VALUE"""),"Bruno Xavier")</f>
        <v>Bruno Xavier</v>
      </c>
      <c r="B114" s="9"/>
      <c r="C114" s="11">
        <f>IFERROR(__xludf.DUMMYFUNCTION("""COMPUTED_VALUE"""),1.0)</f>
        <v>1</v>
      </c>
      <c r="D114" s="9"/>
      <c r="E114" s="9"/>
      <c r="F114" s="9"/>
      <c r="G114" s="10">
        <f>IFERROR(__xludf.DUMMYFUNCTION("""COMPUTED_VALUE"""),1.0)</f>
        <v>1</v>
      </c>
      <c r="H114" s="9"/>
      <c r="I114" s="9"/>
      <c r="J114" s="11">
        <f>IFERROR(__xludf.DUMMYFUNCTION("""COMPUTED_VALUE"""),1.0)</f>
        <v>1</v>
      </c>
      <c r="K114" s="9"/>
      <c r="L114" s="9"/>
      <c r="M114" s="9"/>
      <c r="N114" s="10">
        <f>IFERROR(__xludf.DUMMYFUNCTION("""COMPUTED_VALUE"""),1.0)</f>
        <v>1</v>
      </c>
      <c r="O114" s="9"/>
      <c r="P114" s="9"/>
      <c r="Q114" s="11">
        <f>IFERROR(__xludf.DUMMYFUNCTION("""COMPUTED_VALUE"""),1.0)</f>
        <v>1</v>
      </c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tr">
        <f>IFERROR(__xludf.DUMMYFUNCTION("""COMPUTED_VALUE"""),"Christian Lopes")</f>
        <v>Christian Lopes</v>
      </c>
      <c r="B115" s="9"/>
      <c r="C115" s="11">
        <f>IFERROR(__xludf.DUMMYFUNCTION("""COMPUTED_VALUE"""),3.0)</f>
        <v>3</v>
      </c>
      <c r="D115" s="9"/>
      <c r="E115" s="9"/>
      <c r="F115" s="9"/>
      <c r="G115" s="10">
        <f>IFERROR(__xludf.DUMMYFUNCTION("""COMPUTED_VALUE"""),0.6666666666666666)</f>
        <v>0.6666666667</v>
      </c>
      <c r="H115" s="9"/>
      <c r="I115" s="9"/>
      <c r="J115" s="11">
        <f>IFERROR(__xludf.DUMMYFUNCTION("""COMPUTED_VALUE"""),2.0)</f>
        <v>2</v>
      </c>
      <c r="K115" s="9"/>
      <c r="L115" s="9"/>
      <c r="M115" s="9"/>
      <c r="N115" s="10">
        <f>IFERROR(__xludf.DUMMYFUNCTION("""COMPUTED_VALUE"""),0.5)</f>
        <v>0.5</v>
      </c>
      <c r="O115" s="9"/>
      <c r="P115" s="9"/>
      <c r="Q115" s="11">
        <f>IFERROR(__xludf.DUMMYFUNCTION("""COMPUTED_VALUE"""),1.0)</f>
        <v>1</v>
      </c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tr">
        <f>IFERROR(__xludf.DUMMYFUNCTION("""COMPUTED_VALUE"""),"Izabelle Lopes")</f>
        <v>Izabelle Lopes</v>
      </c>
      <c r="B116" s="9"/>
      <c r="C116" s="11">
        <f>IFERROR(__xludf.DUMMYFUNCTION("""COMPUTED_VALUE"""),5.0)</f>
        <v>5</v>
      </c>
      <c r="D116" s="9"/>
      <c r="E116" s="9"/>
      <c r="F116" s="9"/>
      <c r="G116" s="10">
        <f>IFERROR(__xludf.DUMMYFUNCTION("""COMPUTED_VALUE"""),0.8)</f>
        <v>0.8</v>
      </c>
      <c r="H116" s="9"/>
      <c r="I116" s="9"/>
      <c r="J116" s="11">
        <f>IFERROR(__xludf.DUMMYFUNCTION("""COMPUTED_VALUE"""),4.0)</f>
        <v>4</v>
      </c>
      <c r="K116" s="9"/>
      <c r="L116" s="9"/>
      <c r="M116" s="9"/>
      <c r="N116" s="10">
        <f>IFERROR(__xludf.DUMMYFUNCTION("""COMPUTED_VALUE"""),0.0)</f>
        <v>0</v>
      </c>
      <c r="O116" s="9"/>
      <c r="P116" s="9"/>
      <c r="Q116" s="11">
        <f>IFERROR(__xludf.DUMMYFUNCTION("""COMPUTED_VALUE"""),0.0)</f>
        <v>0</v>
      </c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tr">
        <f>IFERROR(__xludf.DUMMYFUNCTION("""COMPUTED_VALUE"""),"Form G4 Outros - Não Orgânico")</f>
        <v>Form G4 Outros - Não Orgânico</v>
      </c>
      <c r="B117" s="11">
        <f>IFERROR(__xludf.DUMMYFUNCTION("""COMPUTED_VALUE"""),141.9677419354838)</f>
        <v>141.9677419</v>
      </c>
      <c r="C117" s="11">
        <f>IFERROR(__xludf.DUMMYFUNCTION("""COMPUTED_VALUE"""),97.0)</f>
        <v>97</v>
      </c>
      <c r="D117" s="11">
        <f>IFERROR(__xludf.DUMMYFUNCTION("""COMPUTED_VALUE"""),-44.96774193548379)</f>
        <v>-44.96774194</v>
      </c>
      <c r="E117" s="10">
        <f>IFERROR(__xludf.DUMMYFUNCTION("""COMPUTED_VALUE"""),-0.31674619404680715)</f>
        <v>-0.316746194</v>
      </c>
      <c r="F117" s="10">
        <f>IFERROR(__xludf.DUMMYFUNCTION("""COMPUTED_VALUE"""),0.8547633194692018)</f>
        <v>0.8547633195</v>
      </c>
      <c r="G117" s="10">
        <f>IFERROR(__xludf.DUMMYFUNCTION("""COMPUTED_VALUE"""),0.8247422680412371)</f>
        <v>0.824742268</v>
      </c>
      <c r="H117" s="36">
        <f>IFERROR(__xludf.DUMMYFUNCTION("""COMPUTED_VALUE"""),-3.002105142796474)</f>
        <v>-3.002105143</v>
      </c>
      <c r="I117" s="11">
        <f>IFERROR(__xludf.DUMMYFUNCTION("""COMPUTED_VALUE"""),121.34881835432112)</f>
        <v>121.3488184</v>
      </c>
      <c r="J117" s="11">
        <f>IFERROR(__xludf.DUMMYFUNCTION("""COMPUTED_VALUE"""),80.0)</f>
        <v>80</v>
      </c>
      <c r="K117" s="11">
        <f>IFERROR(__xludf.DUMMYFUNCTION("""COMPUTED_VALUE"""),-41.348818354321125)</f>
        <v>-41.34881835</v>
      </c>
      <c r="L117" s="10">
        <f>IFERROR(__xludf.DUMMYFUNCTION("""COMPUTED_VALUE"""),-0.3407434774814907)</f>
        <v>-0.3407434775</v>
      </c>
      <c r="M117" s="10">
        <f>IFERROR(__xludf.DUMMYFUNCTION("""COMPUTED_VALUE"""),0.3031111111111114)</f>
        <v>0.3031111111</v>
      </c>
      <c r="N117" s="10">
        <f>IFERROR(__xludf.DUMMYFUNCTION("""COMPUTED_VALUE"""),0.275)</f>
        <v>0.275</v>
      </c>
      <c r="O117" s="36">
        <f>IFERROR(__xludf.DUMMYFUNCTION("""COMPUTED_VALUE"""),-2.8111111111111367)</f>
        <v>-2.811111111</v>
      </c>
      <c r="P117" s="11">
        <f>IFERROR(__xludf.DUMMYFUNCTION("""COMPUTED_VALUE"""),36.782175163398705)</f>
        <v>36.78217516</v>
      </c>
      <c r="Q117" s="11">
        <f>IFERROR(__xludf.DUMMYFUNCTION("""COMPUTED_VALUE"""),22.0)</f>
        <v>22</v>
      </c>
      <c r="R117" s="11">
        <f>IFERROR(__xludf.DUMMYFUNCTION("""COMPUTED_VALUE"""),-14.782175163398705)</f>
        <v>-14.78217516</v>
      </c>
      <c r="S117" s="10">
        <f>IFERROR(__xludf.DUMMYFUNCTION("""COMPUTED_VALUE"""),-0.40188420336022396)</f>
        <v>-0.4018842034</v>
      </c>
      <c r="T117" s="11">
        <f>IFERROR(__xludf.DUMMYFUNCTION("""COMPUTED_VALUE"""),232061.04199183008)</f>
        <v>232061.042</v>
      </c>
      <c r="U117" s="15">
        <f>IFERROR(__xludf.DUMMYFUNCTION("""COMPUTED_VALUE"""),6500.0)</f>
        <v>6500</v>
      </c>
      <c r="V117" s="15">
        <f>IFERROR(__xludf.DUMMYFUNCTION("""COMPUTED_VALUE"""),-268767.3193030873)</f>
        <v>-268767.3193</v>
      </c>
      <c r="W117" s="10">
        <f>IFERROR(__xludf.DUMMYFUNCTION("""COMPUTED_VALUE"""),-1.158175094777647)</f>
        <v>-1.158175095</v>
      </c>
      <c r="X117" s="9"/>
      <c r="Y117" s="9"/>
      <c r="Z117" s="9"/>
    </row>
    <row r="118">
      <c r="A118" s="9" t="str">
        <f>IFERROR(__xludf.DUMMYFUNCTION("""COMPUTED_VALUE"""),"Thalita Lopes")</f>
        <v>Thalita Lopes</v>
      </c>
      <c r="B118" s="9"/>
      <c r="C118" s="11">
        <f>IFERROR(__xludf.DUMMYFUNCTION("""COMPUTED_VALUE"""),12.0)</f>
        <v>12</v>
      </c>
      <c r="D118" s="9"/>
      <c r="E118" s="9"/>
      <c r="F118" s="9"/>
      <c r="G118" s="10">
        <f>IFERROR(__xludf.DUMMYFUNCTION("""COMPUTED_VALUE"""),1.0)</f>
        <v>1</v>
      </c>
      <c r="H118" s="9"/>
      <c r="I118" s="9"/>
      <c r="J118" s="11">
        <f>IFERROR(__xludf.DUMMYFUNCTION("""COMPUTED_VALUE"""),12.0)</f>
        <v>12</v>
      </c>
      <c r="K118" s="9"/>
      <c r="L118" s="9"/>
      <c r="M118" s="9"/>
      <c r="N118" s="10">
        <f>IFERROR(__xludf.DUMMYFUNCTION("""COMPUTED_VALUE"""),0.5)</f>
        <v>0.5</v>
      </c>
      <c r="O118" s="9"/>
      <c r="P118" s="9"/>
      <c r="Q118" s="11">
        <f>IFERROR(__xludf.DUMMYFUNCTION("""COMPUTED_VALUE"""),6.0)</f>
        <v>6</v>
      </c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tr">
        <f>IFERROR(__xludf.DUMMYFUNCTION("""COMPUTED_VALUE"""),"Ilson Costa Lima")</f>
        <v>Ilson Costa Lima</v>
      </c>
      <c r="B119" s="9"/>
      <c r="C119" s="11">
        <f>IFERROR(__xludf.DUMMYFUNCTION("""COMPUTED_VALUE"""),8.0)</f>
        <v>8</v>
      </c>
      <c r="D119" s="9"/>
      <c r="E119" s="9"/>
      <c r="F119" s="9"/>
      <c r="G119" s="10">
        <f>IFERROR(__xludf.DUMMYFUNCTION("""COMPUTED_VALUE"""),0.875)</f>
        <v>0.875</v>
      </c>
      <c r="H119" s="9"/>
      <c r="I119" s="9"/>
      <c r="J119" s="11">
        <f>IFERROR(__xludf.DUMMYFUNCTION("""COMPUTED_VALUE"""),7.0)</f>
        <v>7</v>
      </c>
      <c r="K119" s="9"/>
      <c r="L119" s="9"/>
      <c r="M119" s="9"/>
      <c r="N119" s="10">
        <f>IFERROR(__xludf.DUMMYFUNCTION("""COMPUTED_VALUE"""),0.5714285714285714)</f>
        <v>0.5714285714</v>
      </c>
      <c r="O119" s="9"/>
      <c r="P119" s="9"/>
      <c r="Q119" s="11">
        <f>IFERROR(__xludf.DUMMYFUNCTION("""COMPUTED_VALUE"""),4.0)</f>
        <v>4</v>
      </c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tr">
        <f>IFERROR(__xludf.DUMMYFUNCTION("""COMPUTED_VALUE"""),"Felipe Maximo")</f>
        <v>Felipe Maximo</v>
      </c>
      <c r="B120" s="9"/>
      <c r="C120" s="11">
        <f>IFERROR(__xludf.DUMMYFUNCTION("""COMPUTED_VALUE"""),9.0)</f>
        <v>9</v>
      </c>
      <c r="D120" s="9"/>
      <c r="E120" s="9"/>
      <c r="F120" s="9"/>
      <c r="G120" s="10">
        <f>IFERROR(__xludf.DUMMYFUNCTION("""COMPUTED_VALUE"""),0.7777777777777778)</f>
        <v>0.7777777778</v>
      </c>
      <c r="H120" s="9"/>
      <c r="I120" s="9"/>
      <c r="J120" s="11">
        <f>IFERROR(__xludf.DUMMYFUNCTION("""COMPUTED_VALUE"""),7.0)</f>
        <v>7</v>
      </c>
      <c r="K120" s="9"/>
      <c r="L120" s="9"/>
      <c r="M120" s="9"/>
      <c r="N120" s="10">
        <f>IFERROR(__xludf.DUMMYFUNCTION("""COMPUTED_VALUE"""),0.5714285714285714)</f>
        <v>0.5714285714</v>
      </c>
      <c r="O120" s="9"/>
      <c r="P120" s="9"/>
      <c r="Q120" s="11">
        <f>IFERROR(__xludf.DUMMYFUNCTION("""COMPUTED_VALUE"""),4.0)</f>
        <v>4</v>
      </c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tr">
        <f>IFERROR(__xludf.DUMMYFUNCTION("""COMPUTED_VALUE"""),"Gustavo Pereira")</f>
        <v>Gustavo Pereira</v>
      </c>
      <c r="B121" s="9"/>
      <c r="C121" s="11">
        <f>IFERROR(__xludf.DUMMYFUNCTION("""COMPUTED_VALUE"""),13.0)</f>
        <v>13</v>
      </c>
      <c r="D121" s="9"/>
      <c r="E121" s="9"/>
      <c r="F121" s="9"/>
      <c r="G121" s="10">
        <f>IFERROR(__xludf.DUMMYFUNCTION("""COMPUTED_VALUE"""),0.46153846153846156)</f>
        <v>0.4615384615</v>
      </c>
      <c r="H121" s="9"/>
      <c r="I121" s="9"/>
      <c r="J121" s="11">
        <f>IFERROR(__xludf.DUMMYFUNCTION("""COMPUTED_VALUE"""),6.0)</f>
        <v>6</v>
      </c>
      <c r="K121" s="9"/>
      <c r="L121" s="9"/>
      <c r="M121" s="9"/>
      <c r="N121" s="10">
        <f>IFERROR(__xludf.DUMMYFUNCTION("""COMPUTED_VALUE"""),0.3333333333333333)</f>
        <v>0.3333333333</v>
      </c>
      <c r="O121" s="9"/>
      <c r="P121" s="9"/>
      <c r="Q121" s="11">
        <f>IFERROR(__xludf.DUMMYFUNCTION("""COMPUTED_VALUE"""),2.0)</f>
        <v>2</v>
      </c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tr">
        <f>IFERROR(__xludf.DUMMYFUNCTION("""COMPUTED_VALUE"""),"Mylena Reis")</f>
        <v>Mylena Reis</v>
      </c>
      <c r="B122" s="9"/>
      <c r="C122" s="11">
        <f>IFERROR(__xludf.DUMMYFUNCTION("""COMPUTED_VALUE"""),8.0)</f>
        <v>8</v>
      </c>
      <c r="D122" s="9"/>
      <c r="E122" s="9"/>
      <c r="F122" s="9"/>
      <c r="G122" s="10">
        <f>IFERROR(__xludf.DUMMYFUNCTION("""COMPUTED_VALUE"""),1.125)</f>
        <v>1.125</v>
      </c>
      <c r="H122" s="9"/>
      <c r="I122" s="9"/>
      <c r="J122" s="11">
        <f>IFERROR(__xludf.DUMMYFUNCTION("""COMPUTED_VALUE"""),9.0)</f>
        <v>9</v>
      </c>
      <c r="K122" s="9"/>
      <c r="L122" s="9"/>
      <c r="M122" s="9"/>
      <c r="N122" s="10">
        <f>IFERROR(__xludf.DUMMYFUNCTION("""COMPUTED_VALUE"""),0.2222222222222222)</f>
        <v>0.2222222222</v>
      </c>
      <c r="O122" s="9"/>
      <c r="P122" s="9"/>
      <c r="Q122" s="11">
        <f>IFERROR(__xludf.DUMMYFUNCTION("""COMPUTED_VALUE"""),2.0)</f>
        <v>2</v>
      </c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tr">
        <f>IFERROR(__xludf.DUMMYFUNCTION("""COMPUTED_VALUE"""),"João Rios")</f>
        <v>João Rios</v>
      </c>
      <c r="B123" s="9"/>
      <c r="C123" s="11">
        <f>IFERROR(__xludf.DUMMYFUNCTION("""COMPUTED_VALUE"""),13.0)</f>
        <v>13</v>
      </c>
      <c r="D123" s="9"/>
      <c r="E123" s="9"/>
      <c r="F123" s="9"/>
      <c r="G123" s="10">
        <f>IFERROR(__xludf.DUMMYFUNCTION("""COMPUTED_VALUE"""),0.6923076923076923)</f>
        <v>0.6923076923</v>
      </c>
      <c r="H123" s="9"/>
      <c r="I123" s="9"/>
      <c r="J123" s="11">
        <f>IFERROR(__xludf.DUMMYFUNCTION("""COMPUTED_VALUE"""),9.0)</f>
        <v>9</v>
      </c>
      <c r="K123" s="9"/>
      <c r="L123" s="9"/>
      <c r="M123" s="9"/>
      <c r="N123" s="10">
        <f>IFERROR(__xludf.DUMMYFUNCTION("""COMPUTED_VALUE"""),0.2222222222222222)</f>
        <v>0.2222222222</v>
      </c>
      <c r="O123" s="9"/>
      <c r="P123" s="9"/>
      <c r="Q123" s="11">
        <f>IFERROR(__xludf.DUMMYFUNCTION("""COMPUTED_VALUE"""),2.0)</f>
        <v>2</v>
      </c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tr">
        <f>IFERROR(__xludf.DUMMYFUNCTION("""COMPUTED_VALUE"""),"Mariana Jovenato")</f>
        <v>Mariana Jovenato</v>
      </c>
      <c r="B124" s="9"/>
      <c r="C124" s="11">
        <f>IFERROR(__xludf.DUMMYFUNCTION("""COMPUTED_VALUE"""),10.0)</f>
        <v>10</v>
      </c>
      <c r="D124" s="9"/>
      <c r="E124" s="9"/>
      <c r="F124" s="9"/>
      <c r="G124" s="10">
        <f>IFERROR(__xludf.DUMMYFUNCTION("""COMPUTED_VALUE"""),0.7)</f>
        <v>0.7</v>
      </c>
      <c r="H124" s="9"/>
      <c r="I124" s="9"/>
      <c r="J124" s="11">
        <f>IFERROR(__xludf.DUMMYFUNCTION("""COMPUTED_VALUE"""),7.0)</f>
        <v>7</v>
      </c>
      <c r="K124" s="9"/>
      <c r="L124" s="9"/>
      <c r="M124" s="9"/>
      <c r="N124" s="10">
        <f>IFERROR(__xludf.DUMMYFUNCTION("""COMPUTED_VALUE"""),0.14285714285714285)</f>
        <v>0.1428571429</v>
      </c>
      <c r="O124" s="9"/>
      <c r="P124" s="9"/>
      <c r="Q124" s="11">
        <f>IFERROR(__xludf.DUMMYFUNCTION("""COMPUTED_VALUE"""),1.0)</f>
        <v>1</v>
      </c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tr">
        <f>IFERROR(__xludf.DUMMYFUNCTION("""COMPUTED_VALUE"""),"Marcio Lucas")</f>
        <v>Marcio Lucas</v>
      </c>
      <c r="B125" s="9"/>
      <c r="C125" s="11">
        <f>IFERROR(__xludf.DUMMYFUNCTION("""COMPUTED_VALUE"""),13.0)</f>
        <v>13</v>
      </c>
      <c r="D125" s="9"/>
      <c r="E125" s="9"/>
      <c r="F125" s="9"/>
      <c r="G125" s="10">
        <f>IFERROR(__xludf.DUMMYFUNCTION("""COMPUTED_VALUE"""),0.8461538461538461)</f>
        <v>0.8461538462</v>
      </c>
      <c r="H125" s="9"/>
      <c r="I125" s="9"/>
      <c r="J125" s="11">
        <f>IFERROR(__xludf.DUMMYFUNCTION("""COMPUTED_VALUE"""),11.0)</f>
        <v>11</v>
      </c>
      <c r="K125" s="9"/>
      <c r="L125" s="9"/>
      <c r="M125" s="9"/>
      <c r="N125" s="10">
        <f>IFERROR(__xludf.DUMMYFUNCTION("""COMPUTED_VALUE"""),0.09090909090909091)</f>
        <v>0.09090909091</v>
      </c>
      <c r="O125" s="9"/>
      <c r="P125" s="9"/>
      <c r="Q125" s="11">
        <f>IFERROR(__xludf.DUMMYFUNCTION("""COMPUTED_VALUE"""),1.0)</f>
        <v>1</v>
      </c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tr">
        <f>IFERROR(__xludf.DUMMYFUNCTION("""COMPUTED_VALUE"""),"João Vitor Nascimento")</f>
        <v>João Vitor Nascimento</v>
      </c>
      <c r="B126" s="9"/>
      <c r="C126" s="11">
        <f>IFERROR(__xludf.DUMMYFUNCTION("""COMPUTED_VALUE"""),1.0)</f>
        <v>1</v>
      </c>
      <c r="D126" s="9"/>
      <c r="E126" s="9"/>
      <c r="F126" s="9"/>
      <c r="G126" s="10">
        <f>IFERROR(__xludf.DUMMYFUNCTION("""COMPUTED_VALUE"""),1.0)</f>
        <v>1</v>
      </c>
      <c r="H126" s="9"/>
      <c r="I126" s="9"/>
      <c r="J126" s="11">
        <f>IFERROR(__xludf.DUMMYFUNCTION("""COMPUTED_VALUE"""),1.0)</f>
        <v>1</v>
      </c>
      <c r="K126" s="9"/>
      <c r="L126" s="9"/>
      <c r="M126" s="9"/>
      <c r="N126" s="10">
        <f>IFERROR(__xludf.DUMMYFUNCTION("""COMPUTED_VALUE"""),0.0)</f>
        <v>0</v>
      </c>
      <c r="O126" s="9"/>
      <c r="P126" s="9"/>
      <c r="Q126" s="11">
        <f>IFERROR(__xludf.DUMMYFUNCTION("""COMPUTED_VALUE"""),0.0)</f>
        <v>0</v>
      </c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tr">
        <f>IFERROR(__xludf.DUMMYFUNCTION("""COMPUTED_VALUE"""),"Izabelle Lopes")</f>
        <v>Izabelle Lopes</v>
      </c>
      <c r="B127" s="9"/>
      <c r="C127" s="11">
        <f>IFERROR(__xludf.DUMMYFUNCTION("""COMPUTED_VALUE"""),2.0)</f>
        <v>2</v>
      </c>
      <c r="D127" s="9"/>
      <c r="E127" s="9"/>
      <c r="F127" s="9"/>
      <c r="G127" s="10">
        <f>IFERROR(__xludf.DUMMYFUNCTION("""COMPUTED_VALUE"""),0.5)</f>
        <v>0.5</v>
      </c>
      <c r="H127" s="9"/>
      <c r="I127" s="9"/>
      <c r="J127" s="11">
        <f>IFERROR(__xludf.DUMMYFUNCTION("""COMPUTED_VALUE"""),1.0)</f>
        <v>1</v>
      </c>
      <c r="K127" s="9"/>
      <c r="L127" s="9"/>
      <c r="M127" s="9"/>
      <c r="N127" s="10">
        <f>IFERROR(__xludf.DUMMYFUNCTION("""COMPUTED_VALUE"""),0.0)</f>
        <v>0</v>
      </c>
      <c r="O127" s="9"/>
      <c r="P127" s="9"/>
      <c r="Q127" s="11">
        <f>IFERROR(__xludf.DUMMYFUNCTION("""COMPUTED_VALUE"""),0.0)</f>
        <v>0</v>
      </c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1">
        <f>IFERROR(__xludf.DUMMYFUNCTION("""COMPUTED_VALUE"""),8.0)</f>
        <v>8</v>
      </c>
      <c r="D128" s="9"/>
      <c r="E128" s="9"/>
      <c r="F128" s="9"/>
      <c r="G128" s="10">
        <f>IFERROR(__xludf.DUMMYFUNCTION("""COMPUTED_VALUE"""),0.875)</f>
        <v>0.875</v>
      </c>
      <c r="H128" s="9"/>
      <c r="I128" s="9"/>
      <c r="J128" s="11">
        <f>IFERROR(__xludf.DUMMYFUNCTION("""COMPUTED_VALUE"""),7.0)</f>
        <v>7</v>
      </c>
      <c r="K128" s="9"/>
      <c r="L128" s="9"/>
      <c r="M128" s="9"/>
      <c r="N128" s="10">
        <f>IFERROR(__xludf.DUMMYFUNCTION("""COMPUTED_VALUE"""),0.0)</f>
        <v>0</v>
      </c>
      <c r="O128" s="9"/>
      <c r="P128" s="9"/>
      <c r="Q128" s="11">
        <f>IFERROR(__xludf.DUMMYFUNCTION("""COMPUTED_VALUE"""),0.0)</f>
        <v>0</v>
      </c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tr">
        <f>IFERROR(__xludf.DUMMYFUNCTION("""COMPUTED_VALUE"""),"[CM] Form G4 - Outros")</f>
        <v>[CM] Form G4 - Outros</v>
      </c>
      <c r="B129" s="11">
        <f>IFERROR(__xludf.DUMMYFUNCTION("""COMPUTED_VALUE"""),46.335483870967714)</f>
        <v>46.33548387</v>
      </c>
      <c r="C129" s="11">
        <f>IFERROR(__xludf.DUMMYFUNCTION("""COMPUTED_VALUE"""),58.0)</f>
        <v>58</v>
      </c>
      <c r="D129" s="11">
        <f>IFERROR(__xludf.DUMMYFUNCTION("""COMPUTED_VALUE"""),11.664516129032286)</f>
        <v>11.66451613</v>
      </c>
      <c r="E129" s="10">
        <f>IFERROR(__xludf.DUMMYFUNCTION("""COMPUTED_VALUE"""),0.2517404622667788)</f>
        <v>0.2517404623</v>
      </c>
      <c r="F129" s="10">
        <f>IFERROR(__xludf.DUMMYFUNCTION("""COMPUTED_VALUE"""),0.7000000000000001)</f>
        <v>0.7</v>
      </c>
      <c r="G129" s="10">
        <f>IFERROR(__xludf.DUMMYFUNCTION("""COMPUTED_VALUE"""),0.5517241379310345)</f>
        <v>0.5517241379</v>
      </c>
      <c r="H129" s="36">
        <f>IFERROR(__xludf.DUMMYFUNCTION("""COMPUTED_VALUE"""),-14.827586206896559)</f>
        <v>-14.82758621</v>
      </c>
      <c r="I129" s="11">
        <f>IFERROR(__xludf.DUMMYFUNCTION("""COMPUTED_VALUE"""),32.4348387096774)</f>
        <v>32.43483871</v>
      </c>
      <c r="J129" s="11">
        <f>IFERROR(__xludf.DUMMYFUNCTION("""COMPUTED_VALUE"""),32.0)</f>
        <v>32</v>
      </c>
      <c r="K129" s="11">
        <f>IFERROR(__xludf.DUMMYFUNCTION("""COMPUTED_VALUE"""),-0.43483870967740046)</f>
        <v>-0.4348387097</v>
      </c>
      <c r="L129" s="10">
        <f>IFERROR(__xludf.DUMMYFUNCTION("""COMPUTED_VALUE"""),-0.01340653220352411)</f>
        <v>-0.0134065322</v>
      </c>
      <c r="M129" s="10">
        <f>IFERROR(__xludf.DUMMYFUNCTION("""COMPUTED_VALUE"""),0.2571851851851854)</f>
        <v>0.2571851852</v>
      </c>
      <c r="N129" s="10">
        <f>IFERROR(__xludf.DUMMYFUNCTION("""COMPUTED_VALUE"""),0.375)</f>
        <v>0.375</v>
      </c>
      <c r="O129" s="36">
        <f>IFERROR(__xludf.DUMMYFUNCTION("""COMPUTED_VALUE"""),11.78148148148146)</f>
        <v>11.78148148</v>
      </c>
      <c r="P129" s="11">
        <f>IFERROR(__xludf.DUMMYFUNCTION("""COMPUTED_VALUE"""),8.341760000000003)</f>
        <v>8.34176</v>
      </c>
      <c r="Q129" s="11">
        <f>IFERROR(__xludf.DUMMYFUNCTION("""COMPUTED_VALUE"""),12.0)</f>
        <v>12</v>
      </c>
      <c r="R129" s="11">
        <f>IFERROR(__xludf.DUMMYFUNCTION("""COMPUTED_VALUE"""),3.6582399999999975)</f>
        <v>3.65824</v>
      </c>
      <c r="S129" s="10">
        <f>IFERROR(__xludf.DUMMYFUNCTION("""COMPUTED_VALUE"""),0.4385453429492093)</f>
        <v>0.4385453429</v>
      </c>
      <c r="T129" s="11">
        <f>IFERROR(__xludf.DUMMYFUNCTION("""COMPUTED_VALUE"""),68012.45472000001)</f>
        <v>68012.45472</v>
      </c>
      <c r="U129" s="15">
        <f>IFERROR(__xludf.DUMMYFUNCTION("""COMPUTED_VALUE"""),8400.0)</f>
        <v>8400</v>
      </c>
      <c r="V129" s="15">
        <f>IFERROR(__xludf.DUMMYFUNCTION("""COMPUTED_VALUE"""),-3652.6451612901637)</f>
        <v>-3652.645161</v>
      </c>
      <c r="W129" s="10">
        <f>IFERROR(__xludf.DUMMYFUNCTION("""COMPUTED_VALUE"""),-0.05370553343983411)</f>
        <v>-0.05370553344</v>
      </c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1">
        <f>IFERROR(__xludf.DUMMYFUNCTION("""COMPUTED_VALUE"""),7.0)</f>
        <v>7</v>
      </c>
      <c r="D130" s="9"/>
      <c r="E130" s="9"/>
      <c r="F130" s="9"/>
      <c r="G130" s="10">
        <f>IFERROR(__xludf.DUMMYFUNCTION("""COMPUTED_VALUE"""),0.7142857142857143)</f>
        <v>0.7142857143</v>
      </c>
      <c r="H130" s="9"/>
      <c r="I130" s="9"/>
      <c r="J130" s="11">
        <f>IFERROR(__xludf.DUMMYFUNCTION("""COMPUTED_VALUE"""),5.0)</f>
        <v>5</v>
      </c>
      <c r="K130" s="9"/>
      <c r="L130" s="9"/>
      <c r="M130" s="9"/>
      <c r="N130" s="10">
        <f>IFERROR(__xludf.DUMMYFUNCTION("""COMPUTED_VALUE"""),0.6)</f>
        <v>0.6</v>
      </c>
      <c r="O130" s="9"/>
      <c r="P130" s="9"/>
      <c r="Q130" s="11">
        <f>IFERROR(__xludf.DUMMYFUNCTION("""COMPUTED_VALUE"""),3.0)</f>
        <v>3</v>
      </c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tr">
        <f>IFERROR(__xludf.DUMMYFUNCTION("""COMPUTED_VALUE"""),"Marcio Lucas")</f>
        <v>Marcio Lucas</v>
      </c>
      <c r="B131" s="9"/>
      <c r="C131" s="11">
        <f>IFERROR(__xludf.DUMMYFUNCTION("""COMPUTED_VALUE"""),7.0)</f>
        <v>7</v>
      </c>
      <c r="D131" s="9"/>
      <c r="E131" s="9"/>
      <c r="F131" s="9"/>
      <c r="G131" s="10">
        <f>IFERROR(__xludf.DUMMYFUNCTION("""COMPUTED_VALUE"""),1.0)</f>
        <v>1</v>
      </c>
      <c r="H131" s="9"/>
      <c r="I131" s="9"/>
      <c r="J131" s="11">
        <f>IFERROR(__xludf.DUMMYFUNCTION("""COMPUTED_VALUE"""),7.0)</f>
        <v>7</v>
      </c>
      <c r="K131" s="9"/>
      <c r="L131" s="9"/>
      <c r="M131" s="9"/>
      <c r="N131" s="10">
        <f>IFERROR(__xludf.DUMMYFUNCTION("""COMPUTED_VALUE"""),0.2857142857142857)</f>
        <v>0.2857142857</v>
      </c>
      <c r="O131" s="9"/>
      <c r="P131" s="9"/>
      <c r="Q131" s="11">
        <f>IFERROR(__xludf.DUMMYFUNCTION("""COMPUTED_VALUE"""),2.0)</f>
        <v>2</v>
      </c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tr">
        <f>IFERROR(__xludf.DUMMYFUNCTION("""COMPUTED_VALUE"""),"João Vitor Nascimento")</f>
        <v>João Vitor Nascimento</v>
      </c>
      <c r="B132" s="9"/>
      <c r="C132" s="11">
        <f>IFERROR(__xludf.DUMMYFUNCTION("""COMPUTED_VALUE"""),2.0)</f>
        <v>2</v>
      </c>
      <c r="D132" s="9"/>
      <c r="E132" s="9"/>
      <c r="F132" s="9"/>
      <c r="G132" s="10">
        <f>IFERROR(__xludf.DUMMYFUNCTION("""COMPUTED_VALUE"""),0.5)</f>
        <v>0.5</v>
      </c>
      <c r="H132" s="9"/>
      <c r="I132" s="9"/>
      <c r="J132" s="11">
        <f>IFERROR(__xludf.DUMMYFUNCTION("""COMPUTED_VALUE"""),1.0)</f>
        <v>1</v>
      </c>
      <c r="K132" s="9"/>
      <c r="L132" s="9"/>
      <c r="M132" s="9"/>
      <c r="N132" s="10">
        <f>IFERROR(__xludf.DUMMYFUNCTION("""COMPUTED_VALUE"""),1.0)</f>
        <v>1</v>
      </c>
      <c r="O132" s="9"/>
      <c r="P132" s="9"/>
      <c r="Q132" s="11">
        <f>IFERROR(__xludf.DUMMYFUNCTION("""COMPUTED_VALUE"""),1.0)</f>
        <v>1</v>
      </c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tr">
        <f>IFERROR(__xludf.DUMMYFUNCTION("""COMPUTED_VALUE"""),"Felipe Maximo")</f>
        <v>Felipe Maximo</v>
      </c>
      <c r="B133" s="9"/>
      <c r="C133" s="11">
        <f>IFERROR(__xludf.DUMMYFUNCTION("""COMPUTED_VALUE"""),5.0)</f>
        <v>5</v>
      </c>
      <c r="D133" s="9"/>
      <c r="E133" s="9"/>
      <c r="F133" s="9"/>
      <c r="G133" s="10">
        <f>IFERROR(__xludf.DUMMYFUNCTION("""COMPUTED_VALUE"""),0.2)</f>
        <v>0.2</v>
      </c>
      <c r="H133" s="9"/>
      <c r="I133" s="9"/>
      <c r="J133" s="11">
        <f>IFERROR(__xludf.DUMMYFUNCTION("""COMPUTED_VALUE"""),1.0)</f>
        <v>1</v>
      </c>
      <c r="K133" s="9"/>
      <c r="L133" s="9"/>
      <c r="M133" s="9"/>
      <c r="N133" s="10">
        <f>IFERROR(__xludf.DUMMYFUNCTION("""COMPUTED_VALUE"""),1.0)</f>
        <v>1</v>
      </c>
      <c r="O133" s="9"/>
      <c r="P133" s="9"/>
      <c r="Q133" s="11">
        <f>IFERROR(__xludf.DUMMYFUNCTION("""COMPUTED_VALUE"""),1.0)</f>
        <v>1</v>
      </c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tr">
        <f>IFERROR(__xludf.DUMMYFUNCTION("""COMPUTED_VALUE"""),"Mylena Reis")</f>
        <v>Mylena Reis</v>
      </c>
      <c r="B134" s="9"/>
      <c r="C134" s="11">
        <f>IFERROR(__xludf.DUMMYFUNCTION("""COMPUTED_VALUE"""),4.0)</f>
        <v>4</v>
      </c>
      <c r="D134" s="9"/>
      <c r="E134" s="9"/>
      <c r="F134" s="9"/>
      <c r="G134" s="10">
        <f>IFERROR(__xludf.DUMMYFUNCTION("""COMPUTED_VALUE"""),0.5)</f>
        <v>0.5</v>
      </c>
      <c r="H134" s="9"/>
      <c r="I134" s="9"/>
      <c r="J134" s="11">
        <f>IFERROR(__xludf.DUMMYFUNCTION("""COMPUTED_VALUE"""),2.0)</f>
        <v>2</v>
      </c>
      <c r="K134" s="9"/>
      <c r="L134" s="9"/>
      <c r="M134" s="9"/>
      <c r="N134" s="10">
        <f>IFERROR(__xludf.DUMMYFUNCTION("""COMPUTED_VALUE"""),0.5)</f>
        <v>0.5</v>
      </c>
      <c r="O134" s="9"/>
      <c r="P134" s="9"/>
      <c r="Q134" s="11">
        <f>IFERROR(__xludf.DUMMYFUNCTION("""COMPUTED_VALUE"""),1.0)</f>
        <v>1</v>
      </c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tr">
        <f>IFERROR(__xludf.DUMMYFUNCTION("""COMPUTED_VALUE"""),"João Rios")</f>
        <v>João Rios</v>
      </c>
      <c r="B135" s="9"/>
      <c r="C135" s="11">
        <f>IFERROR(__xludf.DUMMYFUNCTION("""COMPUTED_VALUE"""),7.0)</f>
        <v>7</v>
      </c>
      <c r="D135" s="9"/>
      <c r="E135" s="9"/>
      <c r="F135" s="9"/>
      <c r="G135" s="10">
        <f>IFERROR(__xludf.DUMMYFUNCTION("""COMPUTED_VALUE"""),0.42857142857142855)</f>
        <v>0.4285714286</v>
      </c>
      <c r="H135" s="9"/>
      <c r="I135" s="9"/>
      <c r="J135" s="11">
        <f>IFERROR(__xludf.DUMMYFUNCTION("""COMPUTED_VALUE"""),3.0)</f>
        <v>3</v>
      </c>
      <c r="K135" s="9"/>
      <c r="L135" s="9"/>
      <c r="M135" s="9"/>
      <c r="N135" s="10">
        <f>IFERROR(__xludf.DUMMYFUNCTION("""COMPUTED_VALUE"""),0.3333333333333333)</f>
        <v>0.3333333333</v>
      </c>
      <c r="O135" s="9"/>
      <c r="P135" s="9"/>
      <c r="Q135" s="11">
        <f>IFERROR(__xludf.DUMMYFUNCTION("""COMPUTED_VALUE"""),1.0)</f>
        <v>1</v>
      </c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tr">
        <f>IFERROR(__xludf.DUMMYFUNCTION("""COMPUTED_VALUE"""),"Gustavo Pereira")</f>
        <v>Gustavo Pereira</v>
      </c>
      <c r="B136" s="9"/>
      <c r="C136" s="11">
        <f>IFERROR(__xludf.DUMMYFUNCTION("""COMPUTED_VALUE"""),7.0)</f>
        <v>7</v>
      </c>
      <c r="D136" s="9"/>
      <c r="E136" s="9"/>
      <c r="F136" s="9"/>
      <c r="G136" s="10">
        <f>IFERROR(__xludf.DUMMYFUNCTION("""COMPUTED_VALUE"""),0.42857142857142855)</f>
        <v>0.4285714286</v>
      </c>
      <c r="H136" s="9"/>
      <c r="I136" s="9"/>
      <c r="J136" s="11">
        <f>IFERROR(__xludf.DUMMYFUNCTION("""COMPUTED_VALUE"""),3.0)</f>
        <v>3</v>
      </c>
      <c r="K136" s="9"/>
      <c r="L136" s="9"/>
      <c r="M136" s="9"/>
      <c r="N136" s="10">
        <f>IFERROR(__xludf.DUMMYFUNCTION("""COMPUTED_VALUE"""),0.3333333333333333)</f>
        <v>0.3333333333</v>
      </c>
      <c r="O136" s="9"/>
      <c r="P136" s="9"/>
      <c r="Q136" s="11">
        <f>IFERROR(__xludf.DUMMYFUNCTION("""COMPUTED_VALUE"""),1.0)</f>
        <v>1</v>
      </c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tr">
        <f>IFERROR(__xludf.DUMMYFUNCTION("""COMPUTED_VALUE"""),"Ilson Costa Lima")</f>
        <v>Ilson Costa Lima</v>
      </c>
      <c r="B137" s="9"/>
      <c r="C137" s="11">
        <f>IFERROR(__xludf.DUMMYFUNCTION("""COMPUTED_VALUE"""),6.0)</f>
        <v>6</v>
      </c>
      <c r="D137" s="9"/>
      <c r="E137" s="9"/>
      <c r="F137" s="9"/>
      <c r="G137" s="10">
        <f>IFERROR(__xludf.DUMMYFUNCTION("""COMPUTED_VALUE"""),0.6666666666666666)</f>
        <v>0.6666666667</v>
      </c>
      <c r="H137" s="9"/>
      <c r="I137" s="9"/>
      <c r="J137" s="11">
        <f>IFERROR(__xludf.DUMMYFUNCTION("""COMPUTED_VALUE"""),4.0)</f>
        <v>4</v>
      </c>
      <c r="K137" s="9"/>
      <c r="L137" s="9"/>
      <c r="M137" s="9"/>
      <c r="N137" s="10">
        <f>IFERROR(__xludf.DUMMYFUNCTION("""COMPUTED_VALUE"""),0.25)</f>
        <v>0.25</v>
      </c>
      <c r="O137" s="9"/>
      <c r="P137" s="9"/>
      <c r="Q137" s="11">
        <f>IFERROR(__xludf.DUMMYFUNCTION("""COMPUTED_VALUE"""),1.0)</f>
        <v>1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IFERROR(__xludf.DUMMYFUNCTION("""COMPUTED_VALUE"""),"Cauã Andrade")</f>
        <v>Cauã Andrade</v>
      </c>
      <c r="B138" s="9"/>
      <c r="C138" s="11">
        <f>IFERROR(__xludf.DUMMYFUNCTION("""COMPUTED_VALUE"""),6.0)</f>
        <v>6</v>
      </c>
      <c r="D138" s="9"/>
      <c r="E138" s="9"/>
      <c r="F138" s="9"/>
      <c r="G138" s="10">
        <f>IFERROR(__xludf.DUMMYFUNCTION("""COMPUTED_VALUE"""),0.6666666666666666)</f>
        <v>0.6666666667</v>
      </c>
      <c r="H138" s="9"/>
      <c r="I138" s="9"/>
      <c r="J138" s="11">
        <f>IFERROR(__xludf.DUMMYFUNCTION("""COMPUTED_VALUE"""),4.0)</f>
        <v>4</v>
      </c>
      <c r="K138" s="9"/>
      <c r="L138" s="9"/>
      <c r="M138" s="9"/>
      <c r="N138" s="10">
        <f>IFERROR(__xludf.DUMMYFUNCTION("""COMPUTED_VALUE"""),0.25)</f>
        <v>0.25</v>
      </c>
      <c r="O138" s="9"/>
      <c r="P138" s="9"/>
      <c r="Q138" s="11">
        <f>IFERROR(__xludf.DUMMYFUNCTION("""COMPUTED_VALUE"""),1.0)</f>
        <v>1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IFERROR(__xludf.DUMMYFUNCTION("""COMPUTED_VALUE"""),"Thalita Lopes")</f>
        <v>Thalita Lopes</v>
      </c>
      <c r="B139" s="9"/>
      <c r="C139" s="11">
        <f>IFERROR(__xludf.DUMMYFUNCTION("""COMPUTED_VALUE"""),7.0)</f>
        <v>7</v>
      </c>
      <c r="D139" s="9"/>
      <c r="E139" s="9"/>
      <c r="F139" s="9"/>
      <c r="G139" s="10">
        <f>IFERROR(__xludf.DUMMYFUNCTION("""COMPUTED_VALUE"""),0.14285714285714285)</f>
        <v>0.1428571429</v>
      </c>
      <c r="H139" s="9"/>
      <c r="I139" s="9"/>
      <c r="J139" s="11">
        <f>IFERROR(__xludf.DUMMYFUNCTION("""COMPUTED_VALUE"""),1.0)</f>
        <v>1</v>
      </c>
      <c r="K139" s="9"/>
      <c r="L139" s="9"/>
      <c r="M139" s="9"/>
      <c r="N139" s="10">
        <f>IFERROR(__xludf.DUMMYFUNCTION("""COMPUTED_VALUE"""),0.0)</f>
        <v>0</v>
      </c>
      <c r="O139" s="9"/>
      <c r="P139" s="9"/>
      <c r="Q139" s="11">
        <f>IFERROR(__xludf.DUMMYFUNCTION("""COMPUTED_VALUE"""),0.0)</f>
        <v>0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 t="str">
        <f>IFERROR(__xludf.DUMMYFUNCTION("""COMPUTED_VALUE"""),"MQL Meta")</f>
        <v>MQL Meta</v>
      </c>
      <c r="C225" s="9" t="str">
        <f>IFERROR(__xludf.DUMMYFUNCTION("""COMPUTED_VALUE"""),"SAL Meta")</f>
        <v>SAL Meta</v>
      </c>
      <c r="D225" s="9" t="str">
        <f>IFERROR(__xludf.DUMMYFUNCTION("""COMPUTED_VALUE"""),"Opp Meta")</f>
        <v>Opp Meta</v>
      </c>
      <c r="E225" s="9" t="str">
        <f>IFERROR(__xludf.DUMMYFUNCTION("""COMPUTED_VALUE"""),"MQL Meta Diarizado")</f>
        <v>MQL Meta Diarizado</v>
      </c>
      <c r="F225" s="9" t="str">
        <f>IFERROR(__xludf.DUMMYFUNCTION("""COMPUTED_VALUE"""),"SAL Meta Diarizado")</f>
        <v>SAL Meta Diarizado</v>
      </c>
      <c r="G225" s="9" t="str">
        <f>IFERROR(__xludf.DUMMYFUNCTION("""COMPUTED_VALUE"""),"Opp Meta Diarizado")</f>
        <v>Opp Meta Diarizado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1">
        <f>IFERROR(__xludf.DUMMYFUNCTION("""COMPUTED_VALUE"""),750.0)</f>
        <v>750</v>
      </c>
      <c r="C226" s="35">
        <f>IFERROR(__xludf.DUMMYFUNCTION("""COMPUTED_VALUE"""),623.0)</f>
        <v>623</v>
      </c>
      <c r="D226" s="35">
        <f>IFERROR(__xludf.DUMMYFUNCTION("""COMPUTED_VALUE"""),168.0)</f>
        <v>168</v>
      </c>
      <c r="E226" s="35">
        <f>IFERROR(__xludf.DUMMYFUNCTION("""COMPUTED_VALUE"""),653.2258064516125)</f>
        <v>653.2258065</v>
      </c>
      <c r="F226" s="35">
        <f>IFERROR(__xludf.DUMMYFUNCTION("""COMPUTED_VALUE"""),542.6129032258061)</f>
        <v>542.6129032</v>
      </c>
      <c r="G226" s="35">
        <f>IFERROR(__xludf.DUMMYFUNCTION("""COMPUTED_VALUE"""),134.40000000000003)</f>
        <v>134.4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1">
        <f>IFERROR(__xludf.DUMMYFUNCTION("""COMPUTED_VALUE"""),31.0)</f>
        <v>31</v>
      </c>
      <c r="C227" s="35">
        <f>IFERROR(__xludf.DUMMYFUNCTION("""COMPUTED_VALUE"""),31.0)</f>
        <v>31</v>
      </c>
      <c r="D227" s="35">
        <f>IFERROR(__xludf.DUMMYFUNCTION("""COMPUTED_VALUE"""),11.0)</f>
        <v>11</v>
      </c>
      <c r="E227" s="35">
        <f>IFERROR(__xludf.DUMMYFUNCTION("""COMPUTED_VALUE"""),26.999999999999982)</f>
        <v>27</v>
      </c>
      <c r="F227" s="35">
        <f>IFERROR(__xludf.DUMMYFUNCTION("""COMPUTED_VALUE"""),26.999999999999982)</f>
        <v>27</v>
      </c>
      <c r="G227" s="35">
        <f>IFERROR(__xludf.DUMMYFUNCTION("""COMPUTED_VALUE"""),8.800000000000002)</f>
        <v>8.8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1">
        <f>IFERROR(__xludf.DUMMYFUNCTION("""COMPUTED_VALUE"""),1975.0)</f>
        <v>1975</v>
      </c>
      <c r="C228" s="35">
        <f>IFERROR(__xludf.DUMMYFUNCTION("""COMPUTED_VALUE"""),1514.0)</f>
        <v>1514</v>
      </c>
      <c r="D228" s="35">
        <f>IFERROR(__xludf.DUMMYFUNCTION("""COMPUTED_VALUE"""),529.0)</f>
        <v>529</v>
      </c>
      <c r="E228" s="35">
        <f>IFERROR(__xludf.DUMMYFUNCTION("""COMPUTED_VALUE"""),1720.1612903225796)</f>
        <v>1720.16129</v>
      </c>
      <c r="F228" s="35">
        <f>IFERROR(__xludf.DUMMYFUNCTION("""COMPUTED_VALUE"""),1318.6451612903218)</f>
        <v>1318.645161</v>
      </c>
      <c r="G228" s="35">
        <f>IFERROR(__xludf.DUMMYFUNCTION("""COMPUTED_VALUE"""),423.2000000000001)</f>
        <v>423.2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1">
        <f>IFERROR(__xludf.DUMMYFUNCTION("""COMPUTED_VALUE"""),1237.0)</f>
        <v>1237</v>
      </c>
      <c r="C229" s="35">
        <f>IFERROR(__xludf.DUMMYFUNCTION("""COMPUTED_VALUE"""),970.0)</f>
        <v>970</v>
      </c>
      <c r="D229" s="35">
        <f>IFERROR(__xludf.DUMMYFUNCTION("""COMPUTED_VALUE"""),344.0)</f>
        <v>344</v>
      </c>
      <c r="E229" s="35">
        <f>IFERROR(__xludf.DUMMYFUNCTION("""COMPUTED_VALUE"""),1077.387096774193)</f>
        <v>1077.387097</v>
      </c>
      <c r="F229" s="35">
        <f>IFERROR(__xludf.DUMMYFUNCTION("""COMPUTED_VALUE"""),844.8387096774188)</f>
        <v>844.8387097</v>
      </c>
      <c r="G229" s="35">
        <f>IFERROR(__xludf.DUMMYFUNCTION("""COMPUTED_VALUE"""),275.20000000000005)</f>
        <v>275.2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1">
        <f>IFERROR(__xludf.DUMMYFUNCTION("""COMPUTED_VALUE"""),362.0)</f>
        <v>362</v>
      </c>
      <c r="C230" s="35">
        <f>IFERROR(__xludf.DUMMYFUNCTION("""COMPUTED_VALUE"""),276.0)</f>
        <v>276</v>
      </c>
      <c r="D230" s="35">
        <f>IFERROR(__xludf.DUMMYFUNCTION("""COMPUTED_VALUE"""),85.0)</f>
        <v>85</v>
      </c>
      <c r="E230" s="35">
        <f>IFERROR(__xludf.DUMMYFUNCTION("""COMPUTED_VALUE"""),315.29032258064495)</f>
        <v>315.2903226</v>
      </c>
      <c r="F230" s="35">
        <f>IFERROR(__xludf.DUMMYFUNCTION("""COMPUTED_VALUE"""),240.3870967741934)</f>
        <v>240.3870968</v>
      </c>
      <c r="G230" s="35">
        <f>IFERROR(__xludf.DUMMYFUNCTION("""COMPUTED_VALUE"""),68.00000000000001)</f>
        <v>68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1">
        <f>IFERROR(__xludf.DUMMYFUNCTION("""COMPUTED_VALUE"""),280.0)</f>
        <v>280</v>
      </c>
      <c r="C231" s="35">
        <f>IFERROR(__xludf.DUMMYFUNCTION("""COMPUTED_VALUE"""),205.0)</f>
        <v>205</v>
      </c>
      <c r="D231" s="35">
        <f>IFERROR(__xludf.DUMMYFUNCTION("""COMPUTED_VALUE"""),80.0)</f>
        <v>80</v>
      </c>
      <c r="E231" s="35">
        <f>IFERROR(__xludf.DUMMYFUNCTION("""COMPUTED_VALUE"""),243.87096774193532)</f>
        <v>243.8709677</v>
      </c>
      <c r="F231" s="35">
        <f>IFERROR(__xludf.DUMMYFUNCTION("""COMPUTED_VALUE"""),178.5483870967741)</f>
        <v>178.5483871</v>
      </c>
      <c r="G231" s="35">
        <f>IFERROR(__xludf.DUMMYFUNCTION("""COMPUTED_VALUE"""),64.00000000000001)</f>
        <v>64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1">
        <f>IFERROR(__xludf.DUMMYFUNCTION("""COMPUTED_VALUE"""),96.0)</f>
        <v>96</v>
      </c>
      <c r="C232" s="35">
        <f>IFERROR(__xludf.DUMMYFUNCTION("""COMPUTED_VALUE"""),63.0)</f>
        <v>63</v>
      </c>
      <c r="D232" s="35">
        <f>IFERROR(__xludf.DUMMYFUNCTION("""COMPUTED_VALUE"""),20.0)</f>
        <v>20</v>
      </c>
      <c r="E232" s="35">
        <f>IFERROR(__xludf.DUMMYFUNCTION("""COMPUTED_VALUE"""),83.6129032258064)</f>
        <v>83.61290323</v>
      </c>
      <c r="F232" s="35">
        <f>IFERROR(__xludf.DUMMYFUNCTION("""COMPUTED_VALUE"""),54.87096774193545)</f>
        <v>54.87096774</v>
      </c>
      <c r="G232" s="35">
        <f>IFERROR(__xludf.DUMMYFUNCTION("""COMPUTED_VALUE"""),16.000000000000004)</f>
        <v>16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>
        <f>IFERROR(__xludf.DUMMYFUNCTION("""COMPUTED_VALUE"""),2456.0)</f>
        <v>2456</v>
      </c>
      <c r="C233" s="35">
        <f>IFERROR(__xludf.DUMMYFUNCTION("""COMPUTED_VALUE"""),1647.0)</f>
        <v>1647</v>
      </c>
      <c r="D233" s="35">
        <f>IFERROR(__xludf.DUMMYFUNCTION("""COMPUTED_VALUE"""),564.0)</f>
        <v>564</v>
      </c>
      <c r="E233" s="35">
        <f>IFERROR(__xludf.DUMMYFUNCTION("""COMPUTED_VALUE"""),2139.096774193547)</f>
        <v>2139.096774</v>
      </c>
      <c r="F233" s="35">
        <f>IFERROR(__xludf.DUMMYFUNCTION("""COMPUTED_VALUE"""),1434.483870967741)</f>
        <v>1434.483871</v>
      </c>
      <c r="G233" s="35">
        <f>IFERROR(__xludf.DUMMYFUNCTION("""COMPUTED_VALUE"""),451.2000000000001)</f>
        <v>451.2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>
        <f>IFERROR(__xludf.DUMMYFUNCTION("""COMPUTED_VALUE"""),371.0)</f>
        <v>371</v>
      </c>
      <c r="C234" s="35">
        <f>IFERROR(__xludf.DUMMYFUNCTION("""COMPUTED_VALUE"""),299.0)</f>
        <v>299</v>
      </c>
      <c r="D234" s="35">
        <f>IFERROR(__xludf.DUMMYFUNCTION("""COMPUTED_VALUE"""),102.0)</f>
        <v>102</v>
      </c>
      <c r="E234" s="35">
        <f>IFERROR(__xludf.DUMMYFUNCTION("""COMPUTED_VALUE"""),323.1290322580643)</f>
        <v>323.1290323</v>
      </c>
      <c r="F234" s="35">
        <f>IFERROR(__xludf.DUMMYFUNCTION("""COMPUTED_VALUE"""),260.4193548387095)</f>
        <v>260.4193548</v>
      </c>
      <c r="G234" s="35">
        <f>IFERROR(__xludf.DUMMYFUNCTION("""COMPUTED_VALUE"""),81.60000000000002)</f>
        <v>81.6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>
        <f>IFERROR(__xludf.DUMMYFUNCTION("""COMPUTED_VALUE"""),360.0)</f>
        <v>360</v>
      </c>
      <c r="C235" s="35">
        <f>IFERROR(__xludf.DUMMYFUNCTION("""COMPUTED_VALUE"""),254.0)</f>
        <v>254</v>
      </c>
      <c r="D235" s="35">
        <f>IFERROR(__xludf.DUMMYFUNCTION("""COMPUTED_VALUE"""),58.0)</f>
        <v>58</v>
      </c>
      <c r="E235" s="35">
        <f>IFERROR(__xludf.DUMMYFUNCTION("""COMPUTED_VALUE"""),313.548387096774)</f>
        <v>313.5483871</v>
      </c>
      <c r="F235" s="35">
        <f>IFERROR(__xludf.DUMMYFUNCTION("""COMPUTED_VALUE"""),221.22580645161275)</f>
        <v>221.2258065</v>
      </c>
      <c r="G235" s="35">
        <f>IFERROR(__xludf.DUMMYFUNCTION("""COMPUTED_VALUE"""),46.400000000000006)</f>
        <v>46.4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>
        <f>IFERROR(__xludf.DUMMYFUNCTION("""COMPUTED_VALUE"""),221.0)</f>
        <v>221</v>
      </c>
      <c r="C236" s="35">
        <f>IFERROR(__xludf.DUMMYFUNCTION("""COMPUTED_VALUE"""),118.0)</f>
        <v>118</v>
      </c>
      <c r="D236" s="35">
        <f>IFERROR(__xludf.DUMMYFUNCTION("""COMPUTED_VALUE"""),36.0)</f>
        <v>36</v>
      </c>
      <c r="E236" s="35">
        <f>IFERROR(__xludf.DUMMYFUNCTION("""COMPUTED_VALUE"""),192.4838709677418)</f>
        <v>192.483871</v>
      </c>
      <c r="F236" s="35">
        <f>IFERROR(__xludf.DUMMYFUNCTION("""COMPUTED_VALUE"""),102.77419354838703)</f>
        <v>102.7741935</v>
      </c>
      <c r="G236" s="35">
        <f>IFERROR(__xludf.DUMMYFUNCTION("""COMPUTED_VALUE"""),28.800000000000004)</f>
        <v>28.8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>
        <f>IFERROR(__xludf.DUMMYFUNCTION("""COMPUTED_VALUE"""),1440.0)</f>
        <v>1440</v>
      </c>
      <c r="C237" s="35">
        <f>IFERROR(__xludf.DUMMYFUNCTION("""COMPUTED_VALUE"""),934.0)</f>
        <v>934</v>
      </c>
      <c r="D237" s="35">
        <f>IFERROR(__xludf.DUMMYFUNCTION("""COMPUTED_VALUE"""),355.0)</f>
        <v>355</v>
      </c>
      <c r="E237" s="35">
        <f>IFERROR(__xludf.DUMMYFUNCTION("""COMPUTED_VALUE"""),1254.193548387096)</f>
        <v>1254.193548</v>
      </c>
      <c r="F237" s="35">
        <f>IFERROR(__xludf.DUMMYFUNCTION("""COMPUTED_VALUE"""),813.4838709677414)</f>
        <v>813.483871</v>
      </c>
      <c r="G237" s="35">
        <f>IFERROR(__xludf.DUMMYFUNCTION("""COMPUTED_VALUE"""),284.00000000000006)</f>
        <v>284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>
        <f>IFERROR(__xludf.DUMMYFUNCTION("""COMPUTED_VALUE"""),64.0)</f>
        <v>64</v>
      </c>
      <c r="C238" s="35">
        <f>IFERROR(__xludf.DUMMYFUNCTION("""COMPUTED_VALUE"""),42.0)</f>
        <v>42</v>
      </c>
      <c r="D238" s="35">
        <f>IFERROR(__xludf.DUMMYFUNCTION("""COMPUTED_VALUE"""),13.0)</f>
        <v>13</v>
      </c>
      <c r="E238" s="35">
        <f>IFERROR(__xludf.DUMMYFUNCTION("""COMPUTED_VALUE"""),55.74193548387093)</f>
        <v>55.74193548</v>
      </c>
      <c r="F238" s="35">
        <f>IFERROR(__xludf.DUMMYFUNCTION("""COMPUTED_VALUE"""),36.5806451612903)</f>
        <v>36.58064516</v>
      </c>
      <c r="G238" s="35">
        <f>IFERROR(__xludf.DUMMYFUNCTION("""COMPUTED_VALUE"""),10.400000000000002)</f>
        <v>10.4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132</v>
      </c>
      <c r="B1" s="4" t="s">
        <v>133</v>
      </c>
      <c r="C1" s="4" t="s">
        <v>134</v>
      </c>
    </row>
    <row r="2">
      <c r="A2" s="4" t="s">
        <v>135</v>
      </c>
      <c r="B2" s="4" t="s">
        <v>136</v>
      </c>
      <c r="C2" s="8">
        <v>88.0</v>
      </c>
    </row>
    <row r="3">
      <c r="A3" s="4"/>
      <c r="B3" s="4" t="s">
        <v>137</v>
      </c>
      <c r="C3" s="8">
        <v>26.0</v>
      </c>
    </row>
    <row r="4">
      <c r="A4" s="4" t="s">
        <v>138</v>
      </c>
      <c r="B4" s="4" t="s">
        <v>136</v>
      </c>
      <c r="C4" s="8">
        <v>147.0</v>
      </c>
    </row>
    <row r="5">
      <c r="A5" s="4"/>
      <c r="B5" s="4" t="s">
        <v>137</v>
      </c>
      <c r="C5" s="8">
        <v>80.0</v>
      </c>
    </row>
    <row r="6">
      <c r="A6" s="4" t="s">
        <v>139</v>
      </c>
      <c r="B6" s="4" t="s">
        <v>136</v>
      </c>
      <c r="C6" s="8">
        <v>9.0</v>
      </c>
    </row>
    <row r="7">
      <c r="A7" s="4"/>
      <c r="B7" s="4" t="s">
        <v>137</v>
      </c>
      <c r="C7" s="8">
        <v>1.0</v>
      </c>
    </row>
    <row r="8">
      <c r="A8" s="4" t="s">
        <v>140</v>
      </c>
      <c r="B8" s="4" t="s">
        <v>136</v>
      </c>
      <c r="C8" s="8">
        <v>47.0</v>
      </c>
    </row>
    <row r="9">
      <c r="A9" s="4"/>
      <c r="B9" s="4" t="s">
        <v>137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141</v>
      </c>
    </row>
    <row r="2">
      <c r="A2" s="38" t="s">
        <v>142</v>
      </c>
      <c r="B2" s="38" t="s">
        <v>143</v>
      </c>
      <c r="C2" s="38" t="s">
        <v>144</v>
      </c>
      <c r="D2" s="38" t="s">
        <v>145</v>
      </c>
    </row>
    <row r="3">
      <c r="A3" s="39" t="s">
        <v>146</v>
      </c>
      <c r="B3" s="39"/>
      <c r="C3" s="39"/>
      <c r="D3" s="39"/>
    </row>
    <row r="4">
      <c r="A4" s="39" t="s">
        <v>147</v>
      </c>
      <c r="B4" s="39" t="s">
        <v>148</v>
      </c>
      <c r="C4" s="39" t="s">
        <v>149</v>
      </c>
      <c r="D4" s="39" t="s">
        <v>150</v>
      </c>
    </row>
    <row r="5">
      <c r="A5" s="39" t="s">
        <v>151</v>
      </c>
      <c r="B5" s="39" t="s">
        <v>148</v>
      </c>
      <c r="C5" s="39" t="s">
        <v>152</v>
      </c>
      <c r="D5" s="39" t="s">
        <v>150</v>
      </c>
    </row>
    <row r="6">
      <c r="A6" s="39" t="s">
        <v>153</v>
      </c>
      <c r="B6" s="39" t="s">
        <v>148</v>
      </c>
      <c r="C6" s="39" t="s">
        <v>154</v>
      </c>
      <c r="D6" s="39" t="s">
        <v>150</v>
      </c>
    </row>
    <row r="7">
      <c r="A7" s="39" t="s">
        <v>155</v>
      </c>
      <c r="B7" s="39" t="s">
        <v>148</v>
      </c>
      <c r="C7" s="39" t="s">
        <v>156</v>
      </c>
      <c r="D7" s="39" t="s">
        <v>150</v>
      </c>
    </row>
    <row r="8">
      <c r="A8" s="39" t="s">
        <v>157</v>
      </c>
      <c r="B8" s="39" t="s">
        <v>148</v>
      </c>
      <c r="C8" s="39" t="s">
        <v>158</v>
      </c>
      <c r="D8" s="39" t="s">
        <v>150</v>
      </c>
    </row>
    <row r="9">
      <c r="A9" s="39" t="s">
        <v>159</v>
      </c>
      <c r="B9" s="39" t="s">
        <v>148</v>
      </c>
      <c r="C9" s="39" t="s">
        <v>160</v>
      </c>
      <c r="D9" s="39" t="s">
        <v>150</v>
      </c>
    </row>
    <row r="10">
      <c r="A10" s="39" t="s">
        <v>161</v>
      </c>
      <c r="B10" s="39" t="s">
        <v>148</v>
      </c>
      <c r="C10" s="39" t="s">
        <v>162</v>
      </c>
      <c r="D10" s="39" t="s">
        <v>150</v>
      </c>
    </row>
    <row r="11">
      <c r="A11" s="39" t="s">
        <v>163</v>
      </c>
      <c r="B11" s="39" t="s">
        <v>148</v>
      </c>
      <c r="C11" s="39" t="s">
        <v>164</v>
      </c>
      <c r="D11" s="39" t="s">
        <v>150</v>
      </c>
    </row>
    <row r="12">
      <c r="A12" s="39" t="s">
        <v>165</v>
      </c>
      <c r="B12" s="39" t="s">
        <v>148</v>
      </c>
      <c r="C12" s="39" t="s">
        <v>166</v>
      </c>
      <c r="D12" s="39" t="s">
        <v>150</v>
      </c>
    </row>
    <row r="13">
      <c r="A13" s="39" t="s">
        <v>167</v>
      </c>
      <c r="B13" s="39" t="s">
        <v>148</v>
      </c>
      <c r="C13" s="39" t="s">
        <v>168</v>
      </c>
      <c r="D13" s="39" t="s">
        <v>150</v>
      </c>
    </row>
    <row r="14">
      <c r="A14" s="39" t="s">
        <v>169</v>
      </c>
      <c r="B14" s="39" t="s">
        <v>148</v>
      </c>
      <c r="C14" s="39" t="s">
        <v>170</v>
      </c>
      <c r="D14" s="39" t="s">
        <v>150</v>
      </c>
    </row>
    <row r="15">
      <c r="A15" s="39" t="s">
        <v>171</v>
      </c>
      <c r="B15" s="39" t="s">
        <v>148</v>
      </c>
      <c r="C15" s="39" t="s">
        <v>172</v>
      </c>
      <c r="D15" s="39"/>
    </row>
    <row r="16">
      <c r="A16" s="39" t="s">
        <v>173</v>
      </c>
      <c r="B16" s="39" t="s">
        <v>148</v>
      </c>
      <c r="C16" s="39" t="s">
        <v>149</v>
      </c>
      <c r="D16" s="39" t="s">
        <v>174</v>
      </c>
    </row>
    <row r="17">
      <c r="A17" s="39" t="s">
        <v>175</v>
      </c>
      <c r="B17" s="39" t="s">
        <v>148</v>
      </c>
      <c r="C17" s="39" t="s">
        <v>152</v>
      </c>
      <c r="D17" s="39" t="s">
        <v>174</v>
      </c>
    </row>
    <row r="18">
      <c r="A18" s="39" t="s">
        <v>176</v>
      </c>
      <c r="B18" s="39" t="s">
        <v>148</v>
      </c>
      <c r="C18" s="39" t="s">
        <v>154</v>
      </c>
      <c r="D18" s="39" t="s">
        <v>174</v>
      </c>
    </row>
    <row r="19">
      <c r="A19" s="39" t="s">
        <v>177</v>
      </c>
      <c r="B19" s="39" t="s">
        <v>148</v>
      </c>
      <c r="C19" s="39" t="s">
        <v>156</v>
      </c>
      <c r="D19" s="39" t="s">
        <v>174</v>
      </c>
    </row>
    <row r="20">
      <c r="A20" s="39" t="s">
        <v>178</v>
      </c>
      <c r="B20" s="39" t="s">
        <v>148</v>
      </c>
      <c r="C20" s="39" t="s">
        <v>158</v>
      </c>
      <c r="D20" s="39" t="s">
        <v>174</v>
      </c>
    </row>
    <row r="21">
      <c r="A21" s="39" t="s">
        <v>179</v>
      </c>
      <c r="B21" s="39" t="s">
        <v>148</v>
      </c>
      <c r="C21" s="39" t="s">
        <v>160</v>
      </c>
      <c r="D21" s="39" t="s">
        <v>174</v>
      </c>
    </row>
    <row r="22">
      <c r="A22" s="39" t="s">
        <v>180</v>
      </c>
      <c r="B22" s="39" t="s">
        <v>148</v>
      </c>
      <c r="C22" s="39" t="s">
        <v>162</v>
      </c>
      <c r="D22" s="39" t="s">
        <v>174</v>
      </c>
    </row>
    <row r="23">
      <c r="A23" s="39" t="s">
        <v>181</v>
      </c>
      <c r="B23" s="39" t="s">
        <v>148</v>
      </c>
      <c r="C23" s="39" t="s">
        <v>164</v>
      </c>
      <c r="D23" s="39" t="s">
        <v>174</v>
      </c>
    </row>
    <row r="24">
      <c r="A24" s="39" t="s">
        <v>182</v>
      </c>
      <c r="B24" s="39" t="s">
        <v>148</v>
      </c>
      <c r="C24" s="39" t="s">
        <v>166</v>
      </c>
      <c r="D24" s="39" t="s">
        <v>174</v>
      </c>
    </row>
    <row r="25">
      <c r="A25" s="39" t="s">
        <v>183</v>
      </c>
      <c r="B25" s="39" t="s">
        <v>148</v>
      </c>
      <c r="C25" s="39" t="s">
        <v>168</v>
      </c>
      <c r="D25" s="39" t="s">
        <v>174</v>
      </c>
    </row>
    <row r="26">
      <c r="A26" s="39" t="s">
        <v>184</v>
      </c>
      <c r="B26" s="39" t="s">
        <v>148</v>
      </c>
      <c r="C26" s="39" t="s">
        <v>170</v>
      </c>
      <c r="D26" s="39" t="s">
        <v>174</v>
      </c>
    </row>
    <row r="27">
      <c r="A27" s="39" t="s">
        <v>185</v>
      </c>
      <c r="B27" s="39" t="s">
        <v>148</v>
      </c>
      <c r="C27" s="39" t="s">
        <v>149</v>
      </c>
      <c r="D27" s="39" t="s">
        <v>186</v>
      </c>
    </row>
    <row r="28">
      <c r="A28" s="39" t="s">
        <v>187</v>
      </c>
      <c r="B28" s="39" t="s">
        <v>148</v>
      </c>
      <c r="C28" s="39" t="s">
        <v>152</v>
      </c>
      <c r="D28" s="39" t="s">
        <v>186</v>
      </c>
    </row>
    <row r="29">
      <c r="A29" s="39" t="s">
        <v>188</v>
      </c>
      <c r="B29" s="39" t="s">
        <v>148</v>
      </c>
      <c r="C29" s="39" t="s">
        <v>154</v>
      </c>
      <c r="D29" s="39" t="s">
        <v>186</v>
      </c>
    </row>
    <row r="30">
      <c r="A30" s="39" t="s">
        <v>189</v>
      </c>
      <c r="B30" s="39" t="s">
        <v>148</v>
      </c>
      <c r="C30" s="39" t="s">
        <v>156</v>
      </c>
      <c r="D30" s="39" t="s">
        <v>186</v>
      </c>
    </row>
    <row r="31">
      <c r="A31" s="39" t="s">
        <v>190</v>
      </c>
      <c r="B31" s="39" t="s">
        <v>148</v>
      </c>
      <c r="C31" s="39" t="s">
        <v>158</v>
      </c>
      <c r="D31" s="39" t="s">
        <v>186</v>
      </c>
    </row>
    <row r="32">
      <c r="A32" s="39" t="s">
        <v>191</v>
      </c>
      <c r="B32" s="39" t="s">
        <v>148</v>
      </c>
      <c r="C32" s="39" t="s">
        <v>160</v>
      </c>
      <c r="D32" s="39" t="s">
        <v>186</v>
      </c>
    </row>
    <row r="33">
      <c r="A33" s="39" t="s">
        <v>192</v>
      </c>
      <c r="B33" s="39" t="s">
        <v>148</v>
      </c>
      <c r="C33" s="39" t="s">
        <v>162</v>
      </c>
      <c r="D33" s="39" t="s">
        <v>186</v>
      </c>
    </row>
    <row r="34">
      <c r="A34" s="39" t="s">
        <v>193</v>
      </c>
      <c r="B34" s="39" t="s">
        <v>148</v>
      </c>
      <c r="C34" s="39" t="s">
        <v>164</v>
      </c>
      <c r="D34" s="39" t="s">
        <v>186</v>
      </c>
    </row>
    <row r="35">
      <c r="A35" s="39" t="s">
        <v>194</v>
      </c>
      <c r="B35" s="39" t="s">
        <v>148</v>
      </c>
      <c r="C35" s="39" t="s">
        <v>166</v>
      </c>
      <c r="D35" s="39" t="s">
        <v>186</v>
      </c>
    </row>
    <row r="36">
      <c r="A36" s="39" t="s">
        <v>195</v>
      </c>
      <c r="B36" s="39" t="s">
        <v>148</v>
      </c>
      <c r="C36" s="39" t="s">
        <v>168</v>
      </c>
      <c r="D36" s="39" t="s">
        <v>186</v>
      </c>
    </row>
    <row r="37">
      <c r="A37" s="39" t="s">
        <v>196</v>
      </c>
      <c r="B37" s="39" t="s">
        <v>148</v>
      </c>
      <c r="C37" s="39" t="s">
        <v>170</v>
      </c>
      <c r="D37" s="39" t="s">
        <v>186</v>
      </c>
    </row>
    <row r="38">
      <c r="A38" s="39" t="s">
        <v>197</v>
      </c>
      <c r="B38" s="39"/>
      <c r="C38" s="39"/>
      <c r="D38" s="39"/>
    </row>
    <row r="39">
      <c r="A39" s="39" t="s">
        <v>198</v>
      </c>
      <c r="B39" s="39" t="s">
        <v>148</v>
      </c>
      <c r="C39" s="39" t="s">
        <v>199</v>
      </c>
      <c r="D39" s="39" t="s">
        <v>200</v>
      </c>
    </row>
    <row r="40">
      <c r="A40" s="39" t="s">
        <v>201</v>
      </c>
      <c r="B40" s="39" t="s">
        <v>148</v>
      </c>
      <c r="C40" s="39" t="s">
        <v>199</v>
      </c>
      <c r="D40" s="39" t="s">
        <v>202</v>
      </c>
    </row>
    <row r="41">
      <c r="A41" s="39" t="s">
        <v>203</v>
      </c>
      <c r="B41" s="39" t="s">
        <v>148</v>
      </c>
      <c r="C41" s="39" t="s">
        <v>199</v>
      </c>
      <c r="D41" s="39" t="s">
        <v>204</v>
      </c>
    </row>
    <row r="42">
      <c r="A42" s="39" t="s">
        <v>205</v>
      </c>
      <c r="B42" s="39" t="s">
        <v>148</v>
      </c>
      <c r="C42" s="39" t="s">
        <v>199</v>
      </c>
      <c r="D42" s="39" t="s">
        <v>206</v>
      </c>
    </row>
    <row r="43">
      <c r="A43" s="39" t="s">
        <v>207</v>
      </c>
      <c r="B43" s="39" t="s">
        <v>148</v>
      </c>
      <c r="C43" s="39" t="s">
        <v>199</v>
      </c>
      <c r="D43" s="39" t="s">
        <v>208</v>
      </c>
    </row>
    <row r="44">
      <c r="A44" s="39" t="s">
        <v>209</v>
      </c>
      <c r="B44" s="39" t="s">
        <v>148</v>
      </c>
      <c r="C44" s="39" t="s">
        <v>172</v>
      </c>
      <c r="D44" s="39" t="s">
        <v>210</v>
      </c>
    </row>
    <row r="45">
      <c r="A45" s="39" t="s">
        <v>211</v>
      </c>
      <c r="B45" s="39" t="s">
        <v>148</v>
      </c>
      <c r="C45" s="39" t="s">
        <v>199</v>
      </c>
      <c r="D45" s="39" t="s">
        <v>212</v>
      </c>
    </row>
    <row r="46">
      <c r="A46" s="39" t="s">
        <v>213</v>
      </c>
      <c r="B46" s="39" t="s">
        <v>148</v>
      </c>
      <c r="C46" s="39" t="s">
        <v>199</v>
      </c>
      <c r="D46" s="39" t="s">
        <v>214</v>
      </c>
    </row>
    <row r="47">
      <c r="A47" s="39" t="s">
        <v>215</v>
      </c>
      <c r="B47" s="39" t="s">
        <v>148</v>
      </c>
      <c r="C47" s="39" t="s">
        <v>199</v>
      </c>
      <c r="D47" s="39" t="s">
        <v>216</v>
      </c>
    </row>
    <row r="48">
      <c r="A48" s="39" t="s">
        <v>217</v>
      </c>
      <c r="B48" s="39" t="s">
        <v>148</v>
      </c>
      <c r="C48" s="39" t="s">
        <v>199</v>
      </c>
      <c r="D48" s="39" t="s">
        <v>218</v>
      </c>
    </row>
    <row r="49">
      <c r="A49" s="39" t="s">
        <v>219</v>
      </c>
      <c r="B49" s="39" t="s">
        <v>148</v>
      </c>
      <c r="C49" s="39" t="s">
        <v>199</v>
      </c>
      <c r="D49" s="39" t="s">
        <v>220</v>
      </c>
    </row>
    <row r="50">
      <c r="A50" s="39" t="s">
        <v>221</v>
      </c>
      <c r="B50" s="39" t="s">
        <v>148</v>
      </c>
      <c r="C50" s="39" t="s">
        <v>199</v>
      </c>
      <c r="D50" s="39" t="s">
        <v>222</v>
      </c>
    </row>
    <row r="51">
      <c r="A51" s="39" t="s">
        <v>223</v>
      </c>
      <c r="B51" s="39" t="s">
        <v>148</v>
      </c>
      <c r="C51" s="39" t="s">
        <v>199</v>
      </c>
      <c r="D51" s="39" t="s">
        <v>224</v>
      </c>
    </row>
    <row r="52">
      <c r="A52" s="39" t="s">
        <v>225</v>
      </c>
      <c r="B52" s="39" t="s">
        <v>148</v>
      </c>
      <c r="C52" s="39" t="s">
        <v>199</v>
      </c>
      <c r="D52" s="39" t="s">
        <v>226</v>
      </c>
    </row>
    <row r="53">
      <c r="A53" s="39" t="s">
        <v>227</v>
      </c>
      <c r="B53" s="39" t="s">
        <v>148</v>
      </c>
      <c r="C53" s="39" t="s">
        <v>199</v>
      </c>
      <c r="D53" s="39" t="s">
        <v>228</v>
      </c>
    </row>
    <row r="54">
      <c r="A54" s="39" t="s">
        <v>132</v>
      </c>
      <c r="B54" s="39" t="s">
        <v>148</v>
      </c>
      <c r="C54" s="39" t="s">
        <v>199</v>
      </c>
      <c r="D54" s="39" t="s">
        <v>229</v>
      </c>
    </row>
    <row r="55">
      <c r="A55" s="39" t="s">
        <v>230</v>
      </c>
      <c r="B55" s="39" t="s">
        <v>148</v>
      </c>
      <c r="C55" s="39" t="s">
        <v>199</v>
      </c>
      <c r="D55" s="39" t="s">
        <v>231</v>
      </c>
    </row>
    <row r="56">
      <c r="A56" s="39" t="s">
        <v>232</v>
      </c>
      <c r="B56" s="39" t="s">
        <v>148</v>
      </c>
      <c r="C56" s="39" t="s">
        <v>199</v>
      </c>
      <c r="D56" s="39" t="s">
        <v>233</v>
      </c>
    </row>
    <row r="57">
      <c r="A57" s="39" t="s">
        <v>234</v>
      </c>
      <c r="B57" s="39" t="s">
        <v>148</v>
      </c>
      <c r="C57" s="39" t="s">
        <v>199</v>
      </c>
      <c r="D57" s="39" t="s">
        <v>235</v>
      </c>
    </row>
    <row r="58">
      <c r="A58" s="39" t="s">
        <v>236</v>
      </c>
      <c r="B58" s="39" t="s">
        <v>148</v>
      </c>
      <c r="C58" s="39" t="s">
        <v>172</v>
      </c>
      <c r="D58" s="39" t="s">
        <v>237</v>
      </c>
    </row>
    <row r="59">
      <c r="A59" s="39" t="s">
        <v>238</v>
      </c>
      <c r="B59" s="39" t="s">
        <v>148</v>
      </c>
      <c r="C59" s="39" t="s">
        <v>199</v>
      </c>
      <c r="D59" s="39" t="s">
        <v>239</v>
      </c>
    </row>
    <row r="60">
      <c r="A60" s="39" t="s">
        <v>240</v>
      </c>
      <c r="B60" s="39" t="s">
        <v>148</v>
      </c>
      <c r="C60" s="39" t="s">
        <v>199</v>
      </c>
      <c r="D60" s="39" t="s">
        <v>241</v>
      </c>
    </row>
    <row r="61">
      <c r="A61" s="39" t="s">
        <v>242</v>
      </c>
      <c r="B61" s="39" t="s">
        <v>148</v>
      </c>
      <c r="C61" s="39" t="s">
        <v>199</v>
      </c>
      <c r="D61" s="39" t="s">
        <v>243</v>
      </c>
    </row>
    <row r="62">
      <c r="A62" s="39" t="s">
        <v>244</v>
      </c>
      <c r="B62" s="39" t="s">
        <v>148</v>
      </c>
      <c r="C62" s="39" t="s">
        <v>199</v>
      </c>
      <c r="D62" s="39" t="s">
        <v>245</v>
      </c>
    </row>
    <row r="63">
      <c r="A63" s="39" t="s">
        <v>246</v>
      </c>
      <c r="B63" s="39" t="s">
        <v>148</v>
      </c>
      <c r="C63" s="39" t="s">
        <v>199</v>
      </c>
      <c r="D63" s="39" t="s">
        <v>247</v>
      </c>
    </row>
    <row r="64">
      <c r="A64" s="39" t="s">
        <v>248</v>
      </c>
      <c r="B64" s="39" t="s">
        <v>148</v>
      </c>
      <c r="C64" s="39" t="s">
        <v>199</v>
      </c>
      <c r="D64" s="39" t="s">
        <v>249</v>
      </c>
    </row>
    <row r="65">
      <c r="A65" s="39" t="s">
        <v>250</v>
      </c>
      <c r="B65" s="39" t="s">
        <v>148</v>
      </c>
      <c r="C65" s="39" t="s">
        <v>251</v>
      </c>
      <c r="D65" s="39" t="s">
        <v>252</v>
      </c>
    </row>
    <row r="66">
      <c r="A66" s="39" t="s">
        <v>253</v>
      </c>
      <c r="B66" s="39" t="s">
        <v>148</v>
      </c>
      <c r="C66" s="39" t="s">
        <v>199</v>
      </c>
      <c r="D66" s="39" t="s">
        <v>254</v>
      </c>
    </row>
    <row r="67">
      <c r="A67" s="39" t="s">
        <v>255</v>
      </c>
      <c r="B67" s="39" t="s">
        <v>148</v>
      </c>
      <c r="C67" s="39" t="s">
        <v>199</v>
      </c>
      <c r="D67" s="39" t="s">
        <v>256</v>
      </c>
    </row>
    <row r="68">
      <c r="A68" s="39" t="s">
        <v>257</v>
      </c>
      <c r="B68" s="39" t="s">
        <v>148</v>
      </c>
      <c r="C68" s="39" t="s">
        <v>251</v>
      </c>
      <c r="D68" s="39"/>
    </row>
    <row r="69">
      <c r="A69" s="39" t="s">
        <v>258</v>
      </c>
      <c r="B69" s="39" t="s">
        <v>148</v>
      </c>
      <c r="C69" s="39" t="s">
        <v>172</v>
      </c>
      <c r="D69" s="39" t="s">
        <v>259</v>
      </c>
    </row>
    <row r="70">
      <c r="A70" s="39" t="s">
        <v>260</v>
      </c>
      <c r="B70" s="39" t="s">
        <v>148</v>
      </c>
      <c r="C70" s="39" t="s">
        <v>199</v>
      </c>
      <c r="D70" s="39" t="s">
        <v>261</v>
      </c>
    </row>
    <row r="71">
      <c r="A71" s="39" t="s">
        <v>262</v>
      </c>
      <c r="B71" s="39" t="s">
        <v>148</v>
      </c>
      <c r="C71" s="39" t="s">
        <v>199</v>
      </c>
      <c r="D71" s="39" t="s">
        <v>263</v>
      </c>
    </row>
    <row r="72">
      <c r="A72" s="39" t="s">
        <v>264</v>
      </c>
      <c r="B72" s="39" t="s">
        <v>148</v>
      </c>
      <c r="C72" s="39" t="s">
        <v>199</v>
      </c>
      <c r="D72" s="39" t="s">
        <v>265</v>
      </c>
    </row>
    <row r="73">
      <c r="A73" s="39" t="s">
        <v>266</v>
      </c>
      <c r="B73" s="39" t="s">
        <v>148</v>
      </c>
      <c r="C73" s="39" t="s">
        <v>199</v>
      </c>
      <c r="D73" s="39" t="s">
        <v>267</v>
      </c>
    </row>
    <row r="74">
      <c r="A74" s="39" t="s">
        <v>268</v>
      </c>
      <c r="B74" s="39" t="s">
        <v>148</v>
      </c>
      <c r="C74" s="39" t="s">
        <v>199</v>
      </c>
      <c r="D74" s="39" t="s">
        <v>259</v>
      </c>
    </row>
    <row r="75">
      <c r="A75" s="39" t="s">
        <v>269</v>
      </c>
      <c r="B75" s="39" t="s">
        <v>148</v>
      </c>
      <c r="C75" s="39" t="s">
        <v>199</v>
      </c>
      <c r="D75" s="39" t="s">
        <v>270</v>
      </c>
    </row>
    <row r="76">
      <c r="A76" s="39" t="s">
        <v>271</v>
      </c>
      <c r="B76" s="39" t="s">
        <v>148</v>
      </c>
      <c r="C76" s="39" t="s">
        <v>199</v>
      </c>
      <c r="D76" s="39" t="s">
        <v>272</v>
      </c>
    </row>
    <row r="77">
      <c r="A77" s="39" t="s">
        <v>273</v>
      </c>
      <c r="B77" s="39" t="s">
        <v>148</v>
      </c>
      <c r="C77" s="39" t="s">
        <v>199</v>
      </c>
      <c r="D77" s="39" t="s">
        <v>274</v>
      </c>
    </row>
    <row r="78">
      <c r="A78" s="39" t="s">
        <v>275</v>
      </c>
      <c r="B78" s="39" t="s">
        <v>148</v>
      </c>
      <c r="C78" s="39" t="s">
        <v>199</v>
      </c>
      <c r="D78" s="39" t="s">
        <v>276</v>
      </c>
    </row>
    <row r="79">
      <c r="A79" s="39" t="s">
        <v>277</v>
      </c>
      <c r="B79" s="39" t="s">
        <v>148</v>
      </c>
      <c r="C79" s="39" t="s">
        <v>199</v>
      </c>
      <c r="D79" s="39" t="s">
        <v>278</v>
      </c>
    </row>
    <row r="80">
      <c r="A80" s="39" t="s">
        <v>279</v>
      </c>
      <c r="B80" s="39"/>
      <c r="C80" s="39"/>
      <c r="D80" s="39"/>
    </row>
    <row r="81">
      <c r="A81" s="39" t="s">
        <v>280</v>
      </c>
      <c r="B81" s="39" t="s">
        <v>148</v>
      </c>
      <c r="C81" s="39" t="s">
        <v>172</v>
      </c>
      <c r="D81" s="39" t="s">
        <v>281</v>
      </c>
    </row>
    <row r="82">
      <c r="A82" s="39" t="s">
        <v>282</v>
      </c>
      <c r="B82" s="39" t="s">
        <v>148</v>
      </c>
      <c r="C82" s="39" t="s">
        <v>199</v>
      </c>
      <c r="D82" s="39" t="s">
        <v>283</v>
      </c>
    </row>
    <row r="83">
      <c r="A83" s="39" t="s">
        <v>284</v>
      </c>
      <c r="B83" s="39" t="s">
        <v>148</v>
      </c>
      <c r="C83" s="39" t="s">
        <v>199</v>
      </c>
      <c r="D83" s="39" t="s">
        <v>285</v>
      </c>
    </row>
    <row r="84">
      <c r="A84" s="39" t="s">
        <v>286</v>
      </c>
      <c r="B84" s="39" t="s">
        <v>148</v>
      </c>
      <c r="C84" s="39" t="s">
        <v>199</v>
      </c>
      <c r="D84" s="39" t="s">
        <v>287</v>
      </c>
    </row>
    <row r="85">
      <c r="A85" s="39" t="s">
        <v>288</v>
      </c>
      <c r="B85" s="39" t="s">
        <v>148</v>
      </c>
      <c r="C85" s="39" t="s">
        <v>199</v>
      </c>
      <c r="D85" s="39" t="s">
        <v>289</v>
      </c>
    </row>
    <row r="86">
      <c r="A86" s="39" t="s">
        <v>290</v>
      </c>
      <c r="B86" s="39" t="s">
        <v>148</v>
      </c>
      <c r="C86" s="39" t="s">
        <v>251</v>
      </c>
      <c r="D86" s="39" t="s">
        <v>291</v>
      </c>
    </row>
    <row r="87">
      <c r="A87" s="39" t="s">
        <v>292</v>
      </c>
      <c r="B87" s="39" t="s">
        <v>148</v>
      </c>
      <c r="C87" s="39" t="s">
        <v>199</v>
      </c>
      <c r="D87" s="39" t="s">
        <v>293</v>
      </c>
    </row>
    <row r="88">
      <c r="A88" s="39" t="s">
        <v>294</v>
      </c>
      <c r="B88" s="39"/>
      <c r="C88" s="39"/>
      <c r="D88" s="39"/>
    </row>
    <row r="89">
      <c r="A89" s="39" t="s">
        <v>295</v>
      </c>
      <c r="B89" s="39" t="s">
        <v>296</v>
      </c>
      <c r="C89" s="39"/>
      <c r="D89" s="39"/>
    </row>
    <row r="90">
      <c r="A90" s="39" t="s">
        <v>297</v>
      </c>
      <c r="B90" s="39" t="s">
        <v>296</v>
      </c>
      <c r="C90" s="39"/>
      <c r="D90" s="39"/>
    </row>
    <row r="91">
      <c r="A91" s="39" t="s">
        <v>298</v>
      </c>
      <c r="B91" s="39" t="s">
        <v>296</v>
      </c>
      <c r="C91" s="39"/>
      <c r="D91" s="39"/>
    </row>
    <row r="92">
      <c r="A92" s="39" t="s">
        <v>134</v>
      </c>
      <c r="B92" s="39" t="s">
        <v>296</v>
      </c>
      <c r="C92" s="39"/>
      <c r="D92" s="39"/>
    </row>
    <row r="93">
      <c r="A93" s="39" t="s">
        <v>299</v>
      </c>
      <c r="B93" s="39" t="s">
        <v>296</v>
      </c>
      <c r="C93" s="39"/>
      <c r="D93" s="39"/>
    </row>
    <row r="94">
      <c r="A94" s="39" t="s">
        <v>300</v>
      </c>
      <c r="B94" s="39" t="s">
        <v>296</v>
      </c>
      <c r="C94" s="39"/>
      <c r="D94" s="39"/>
    </row>
    <row r="95">
      <c r="A95" s="39" t="s">
        <v>301</v>
      </c>
      <c r="B95" s="39" t="s">
        <v>296</v>
      </c>
      <c r="C95" s="39"/>
      <c r="D95" s="39"/>
    </row>
    <row r="96">
      <c r="A96" s="39" t="s">
        <v>302</v>
      </c>
      <c r="B96" s="39" t="s">
        <v>296</v>
      </c>
      <c r="C96" s="39"/>
      <c r="D96" s="39"/>
    </row>
    <row r="97">
      <c r="A97" s="39" t="s">
        <v>303</v>
      </c>
      <c r="B97" s="39" t="s">
        <v>296</v>
      </c>
      <c r="C97" s="39"/>
      <c r="D97" s="39"/>
    </row>
    <row r="98">
      <c r="A98" s="39" t="s">
        <v>304</v>
      </c>
      <c r="B98" s="39" t="s">
        <v>296</v>
      </c>
      <c r="C98" s="39"/>
      <c r="D98" s="39"/>
    </row>
    <row r="99">
      <c r="A99" s="39" t="s">
        <v>305</v>
      </c>
      <c r="B99" s="39" t="s">
        <v>296</v>
      </c>
      <c r="C99" s="39"/>
      <c r="D99" s="39"/>
    </row>
    <row r="100">
      <c r="A100" s="39" t="s">
        <v>306</v>
      </c>
      <c r="B100" s="39" t="s">
        <v>296</v>
      </c>
      <c r="C100" s="39"/>
      <c r="D100" s="39"/>
    </row>
    <row r="101">
      <c r="A101" s="39" t="s">
        <v>307</v>
      </c>
      <c r="B101" s="39" t="s">
        <v>296</v>
      </c>
      <c r="C101" s="39"/>
      <c r="D101" s="39"/>
    </row>
    <row r="102">
      <c r="A102" s="39" t="s">
        <v>308</v>
      </c>
      <c r="B102" s="39" t="s">
        <v>296</v>
      </c>
      <c r="C102" s="39"/>
      <c r="D102" s="39" t="s">
        <v>309</v>
      </c>
    </row>
    <row r="103">
      <c r="A103" s="39" t="s">
        <v>310</v>
      </c>
      <c r="B103" s="39" t="s">
        <v>296</v>
      </c>
      <c r="C103" s="39"/>
      <c r="D103" s="39"/>
    </row>
    <row r="104">
      <c r="A104" s="39" t="s">
        <v>311</v>
      </c>
      <c r="B104" s="39" t="s">
        <v>296</v>
      </c>
      <c r="C104" s="39"/>
      <c r="D104" s="39"/>
    </row>
    <row r="105">
      <c r="A105" s="39" t="s">
        <v>312</v>
      </c>
      <c r="B105" s="39" t="s">
        <v>296</v>
      </c>
      <c r="C105" s="39"/>
      <c r="D105" s="39" t="s">
        <v>313</v>
      </c>
    </row>
    <row r="106">
      <c r="A106" s="39" t="s">
        <v>314</v>
      </c>
      <c r="B106" s="39" t="s">
        <v>296</v>
      </c>
      <c r="C106" s="39"/>
      <c r="D106" s="39" t="s">
        <v>315</v>
      </c>
    </row>
    <row r="107">
      <c r="A107" s="39" t="s">
        <v>316</v>
      </c>
      <c r="B107" s="39" t="s">
        <v>296</v>
      </c>
      <c r="C107" s="39"/>
      <c r="D107" s="39"/>
    </row>
    <row r="108">
      <c r="A108" s="39" t="s">
        <v>317</v>
      </c>
      <c r="B108" s="39" t="s">
        <v>296</v>
      </c>
      <c r="C108" s="39"/>
      <c r="D108" s="39"/>
    </row>
    <row r="109">
      <c r="A109" s="39" t="s">
        <v>318</v>
      </c>
      <c r="B109" s="39" t="s">
        <v>296</v>
      </c>
      <c r="C109" s="39"/>
      <c r="D109" s="39" t="s">
        <v>319</v>
      </c>
    </row>
    <row r="110">
      <c r="A110" s="39" t="s">
        <v>320</v>
      </c>
      <c r="B110" s="39" t="s">
        <v>296</v>
      </c>
      <c r="C110" s="39"/>
      <c r="D110" s="39" t="s">
        <v>321</v>
      </c>
    </row>
    <row r="111">
      <c r="A111" s="39" t="s">
        <v>322</v>
      </c>
      <c r="B111" s="39" t="s">
        <v>296</v>
      </c>
      <c r="C111" s="39"/>
      <c r="D111" s="39" t="s">
        <v>323</v>
      </c>
    </row>
    <row r="112">
      <c r="A112" s="39" t="s">
        <v>324</v>
      </c>
      <c r="B112" s="39" t="s">
        <v>296</v>
      </c>
      <c r="C112" s="39"/>
      <c r="D112" s="39" t="s">
        <v>325</v>
      </c>
    </row>
    <row r="113">
      <c r="A113" s="39" t="s">
        <v>326</v>
      </c>
      <c r="B113" s="39" t="s">
        <v>296</v>
      </c>
      <c r="C113" s="39"/>
      <c r="D113" s="39" t="s">
        <v>327</v>
      </c>
    </row>
    <row r="114">
      <c r="A114" s="39" t="s">
        <v>328</v>
      </c>
      <c r="B114" s="39" t="s">
        <v>296</v>
      </c>
      <c r="C114" s="39"/>
      <c r="D114" s="39" t="s">
        <v>329</v>
      </c>
    </row>
    <row r="115">
      <c r="A115" s="39" t="s">
        <v>330</v>
      </c>
      <c r="B115" s="39" t="s">
        <v>296</v>
      </c>
      <c r="C115" s="39"/>
      <c r="D115" s="39" t="s">
        <v>331</v>
      </c>
    </row>
    <row r="116">
      <c r="A116" s="39" t="s">
        <v>332</v>
      </c>
      <c r="B116" s="39" t="s">
        <v>296</v>
      </c>
      <c r="C116" s="39"/>
      <c r="D116" s="39" t="s">
        <v>333</v>
      </c>
    </row>
    <row r="117">
      <c r="A117" s="39" t="s">
        <v>334</v>
      </c>
      <c r="B117" s="39" t="s">
        <v>296</v>
      </c>
      <c r="C117" s="39"/>
      <c r="D117" s="39" t="s">
        <v>335</v>
      </c>
    </row>
    <row r="118">
      <c r="A118" s="39" t="s">
        <v>336</v>
      </c>
      <c r="B118" s="39" t="s">
        <v>296</v>
      </c>
      <c r="C118" s="39"/>
      <c r="D118" s="39" t="s">
        <v>337</v>
      </c>
    </row>
    <row r="119">
      <c r="A119" s="39" t="s">
        <v>338</v>
      </c>
      <c r="B119" s="39" t="s">
        <v>296</v>
      </c>
      <c r="C119" s="39"/>
      <c r="D119" s="39" t="s">
        <v>339</v>
      </c>
    </row>
    <row r="120">
      <c r="A120" s="39" t="s">
        <v>340</v>
      </c>
      <c r="B120" s="39" t="s">
        <v>296</v>
      </c>
      <c r="C120" s="39"/>
      <c r="D120" s="39" t="s">
        <v>341</v>
      </c>
    </row>
    <row r="121">
      <c r="A121" s="39" t="s">
        <v>342</v>
      </c>
      <c r="B121" s="39" t="s">
        <v>296</v>
      </c>
      <c r="C121" s="39"/>
      <c r="D121" s="39"/>
    </row>
    <row r="122">
      <c r="A122" s="39" t="s">
        <v>343</v>
      </c>
      <c r="B122" s="39" t="s">
        <v>296</v>
      </c>
      <c r="C122" s="39"/>
      <c r="D122" s="39"/>
    </row>
    <row r="123">
      <c r="A123" s="39" t="s">
        <v>344</v>
      </c>
      <c r="B123" s="39" t="s">
        <v>296</v>
      </c>
      <c r="C123" s="39"/>
      <c r="D123" s="39"/>
    </row>
    <row r="124">
      <c r="A124" s="39" t="s">
        <v>345</v>
      </c>
      <c r="B124" s="39" t="s">
        <v>296</v>
      </c>
      <c r="C124" s="39"/>
      <c r="D124" s="39"/>
    </row>
    <row r="125">
      <c r="A125" s="39" t="s">
        <v>346</v>
      </c>
      <c r="B125" s="39" t="s">
        <v>296</v>
      </c>
      <c r="C125" s="39"/>
      <c r="D125" s="39"/>
    </row>
    <row r="126">
      <c r="A126" s="39" t="s">
        <v>347</v>
      </c>
      <c r="B126" s="39" t="s">
        <v>296</v>
      </c>
      <c r="C126" s="39"/>
      <c r="D126" s="39"/>
    </row>
    <row r="127">
      <c r="A127" s="39" t="s">
        <v>348</v>
      </c>
      <c r="B127" s="39" t="s">
        <v>296</v>
      </c>
      <c r="C127" s="39"/>
      <c r="D127" s="39"/>
    </row>
    <row r="128">
      <c r="A128" s="39" t="s">
        <v>349</v>
      </c>
      <c r="B128" s="39" t="s">
        <v>296</v>
      </c>
      <c r="C128" s="39"/>
      <c r="D128" s="39"/>
    </row>
    <row r="129">
      <c r="A129" s="39" t="s">
        <v>350</v>
      </c>
      <c r="B129" s="39" t="s">
        <v>296</v>
      </c>
      <c r="C129" s="39"/>
      <c r="D129" s="39" t="s">
        <v>351</v>
      </c>
    </row>
    <row r="130">
      <c r="A130" s="39" t="s">
        <v>352</v>
      </c>
      <c r="B130" s="39" t="s">
        <v>296</v>
      </c>
      <c r="C130" s="39"/>
      <c r="D130" s="39" t="s">
        <v>353</v>
      </c>
    </row>
    <row r="131">
      <c r="A131" s="39" t="s">
        <v>354</v>
      </c>
      <c r="B131" s="39" t="s">
        <v>296</v>
      </c>
      <c r="C131" s="39"/>
      <c r="D131" s="39" t="s">
        <v>355</v>
      </c>
    </row>
    <row r="132">
      <c r="A132" s="39" t="s">
        <v>356</v>
      </c>
      <c r="B132" s="39" t="s">
        <v>296</v>
      </c>
      <c r="C132" s="39"/>
      <c r="D132" s="39"/>
    </row>
    <row r="133">
      <c r="A133" s="39" t="s">
        <v>357</v>
      </c>
      <c r="B133" s="39" t="s">
        <v>296</v>
      </c>
      <c r="C133" s="39"/>
      <c r="D133" s="39"/>
    </row>
    <row r="134">
      <c r="A134" s="39" t="s">
        <v>358</v>
      </c>
      <c r="B134" s="39" t="s">
        <v>296</v>
      </c>
      <c r="C134" s="39"/>
      <c r="D134" s="39"/>
    </row>
    <row r="135">
      <c r="A135" s="39" t="s">
        <v>359</v>
      </c>
      <c r="B135" s="39" t="s">
        <v>296</v>
      </c>
      <c r="C135" s="39"/>
      <c r="D135" s="39"/>
    </row>
    <row r="136">
      <c r="A136" s="39" t="s">
        <v>360</v>
      </c>
      <c r="B136" s="39" t="s">
        <v>296</v>
      </c>
      <c r="C136" s="39"/>
      <c r="D136" s="39" t="s">
        <v>361</v>
      </c>
    </row>
    <row r="137">
      <c r="A137" s="39" t="s">
        <v>362</v>
      </c>
      <c r="B137" s="39" t="s">
        <v>296</v>
      </c>
      <c r="C137" s="39"/>
      <c r="D137" s="39" t="s">
        <v>363</v>
      </c>
    </row>
    <row r="138">
      <c r="A138" s="39" t="s">
        <v>364</v>
      </c>
      <c r="B138" s="39"/>
      <c r="C138" s="39"/>
      <c r="D138" s="39"/>
    </row>
    <row r="139">
      <c r="A139" s="39" t="s">
        <v>365</v>
      </c>
      <c r="B139" s="39" t="s">
        <v>296</v>
      </c>
      <c r="C139" s="39"/>
      <c r="D139" s="39"/>
    </row>
    <row r="140">
      <c r="A140" s="39" t="s">
        <v>366</v>
      </c>
      <c r="B140" s="39" t="s">
        <v>296</v>
      </c>
      <c r="C140" s="39"/>
      <c r="D140" s="39"/>
    </row>
    <row r="141">
      <c r="A141" s="39" t="s">
        <v>367</v>
      </c>
      <c r="B141" s="39" t="s">
        <v>296</v>
      </c>
      <c r="C141" s="39"/>
      <c r="D141" s="39"/>
    </row>
    <row r="142">
      <c r="A142" s="39" t="s">
        <v>368</v>
      </c>
      <c r="B142" s="39" t="s">
        <v>296</v>
      </c>
      <c r="C142" s="39"/>
      <c r="D142" s="39"/>
    </row>
    <row r="143">
      <c r="A143" s="39" t="s">
        <v>369</v>
      </c>
      <c r="B143" s="39" t="s">
        <v>296</v>
      </c>
      <c r="C143" s="39"/>
      <c r="D143" s="39"/>
    </row>
    <row r="144">
      <c r="A144" s="39" t="s">
        <v>370</v>
      </c>
      <c r="B144" s="39" t="s">
        <v>296</v>
      </c>
      <c r="C144" s="39"/>
      <c r="D144" s="39"/>
    </row>
    <row r="145">
      <c r="A145" s="39" t="s">
        <v>371</v>
      </c>
      <c r="B145" s="39"/>
      <c r="C145" s="39"/>
      <c r="D145" s="39"/>
    </row>
    <row r="146">
      <c r="A146" s="39" t="s">
        <v>372</v>
      </c>
      <c r="B146" s="39" t="s">
        <v>296</v>
      </c>
      <c r="C146" s="39"/>
      <c r="D146" s="39" t="s">
        <v>373</v>
      </c>
    </row>
    <row r="147">
      <c r="A147" s="39" t="s">
        <v>374</v>
      </c>
      <c r="B147" s="39" t="s">
        <v>296</v>
      </c>
      <c r="C147" s="39"/>
      <c r="D147" s="39" t="s">
        <v>375</v>
      </c>
    </row>
    <row r="148">
      <c r="A148" s="39" t="s">
        <v>376</v>
      </c>
      <c r="B148" s="39" t="s">
        <v>296</v>
      </c>
      <c r="C148" s="39"/>
      <c r="D148" s="39" t="s">
        <v>377</v>
      </c>
    </row>
    <row r="149">
      <c r="A149" s="39" t="s">
        <v>378</v>
      </c>
      <c r="B149" s="39" t="s">
        <v>296</v>
      </c>
      <c r="C149" s="39"/>
      <c r="D149" s="39" t="s">
        <v>379</v>
      </c>
    </row>
    <row r="150">
      <c r="A150" s="39" t="s">
        <v>380</v>
      </c>
      <c r="B150" s="39" t="s">
        <v>296</v>
      </c>
      <c r="C150" s="39"/>
      <c r="D150" s="39" t="s">
        <v>381</v>
      </c>
    </row>
    <row r="151">
      <c r="A151" s="39" t="s">
        <v>382</v>
      </c>
      <c r="B151" s="39" t="s">
        <v>296</v>
      </c>
      <c r="C151" s="39"/>
      <c r="D151" s="39" t="s">
        <v>383</v>
      </c>
    </row>
    <row r="152">
      <c r="A152" s="39" t="s">
        <v>384</v>
      </c>
      <c r="B152" s="39" t="s">
        <v>296</v>
      </c>
      <c r="C152" s="39"/>
      <c r="D152" s="39" t="s">
        <v>385</v>
      </c>
    </row>
    <row r="153">
      <c r="A153" s="39" t="s">
        <v>386</v>
      </c>
      <c r="B153" s="39" t="s">
        <v>296</v>
      </c>
      <c r="C153" s="39"/>
      <c r="D153" s="39" t="s">
        <v>387</v>
      </c>
    </row>
    <row r="154">
      <c r="A154" s="39" t="s">
        <v>388</v>
      </c>
      <c r="B154" s="39" t="s">
        <v>296</v>
      </c>
      <c r="C154" s="39"/>
      <c r="D154" s="39" t="s">
        <v>389</v>
      </c>
    </row>
    <row r="155">
      <c r="A155" s="39" t="s">
        <v>390</v>
      </c>
      <c r="B155" s="39" t="s">
        <v>296</v>
      </c>
      <c r="C155" s="39"/>
      <c r="D155" s="39" t="s">
        <v>391</v>
      </c>
    </row>
    <row r="156">
      <c r="A156" s="39" t="s">
        <v>392</v>
      </c>
      <c r="B156" s="39" t="s">
        <v>296</v>
      </c>
      <c r="C156" s="39"/>
      <c r="D156" s="39" t="s">
        <v>393</v>
      </c>
    </row>
  </sheetData>
</worksheet>
</file>