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21bbb8cc0b0a59/Illumine Mentoria/Clientes/Granatum/"/>
    </mc:Choice>
  </mc:AlternateContent>
  <xr:revisionPtr revIDLastSave="4" documentId="13_ncr:1_{2EF7F70B-B17E-584F-86E5-0EA93E8F62C0}" xr6:coauthVersionLast="47" xr6:coauthVersionMax="47" xr10:uidLastSave="{93D80B81-EA3D-5440-9CB2-AA2ADB7CE4B6}"/>
  <bookViews>
    <workbookView xWindow="0" yWindow="500" windowWidth="28800" windowHeight="16480" activeTab="2" xr2:uid="{201385AE-C0F3-49ED-B453-194239822F62}"/>
  </bookViews>
  <sheets>
    <sheet name="Balanço Patrimonial" sheetId="1" r:id="rId1"/>
    <sheet name="DRE" sheetId="2" r:id="rId2"/>
    <sheet name="DRE Mensal" sheetId="15" r:id="rId3"/>
    <sheet name="Balanço Estrutura Fleuriet" sheetId="5" r:id="rId4"/>
    <sheet name="PROJEÇÃO IRCSLL Trimestre" sheetId="13" r:id="rId5"/>
    <sheet name="Indicadores de Faturamento" sheetId="11" r:id="rId6"/>
    <sheet name="Índice de Liquidez" sheetId="6" r:id="rId7"/>
    <sheet name="Índices de Rentabilidade" sheetId="8" r:id="rId8"/>
    <sheet name="Estrutura de Capital" sheetId="7" r:id="rId9"/>
    <sheet name="Indicadores FC e AT" sheetId="9" r:id="rId10"/>
    <sheet name="Valuation" sheetId="12" r:id="rId11"/>
    <sheet name="Planilha1" sheetId="14" r:id="rId12"/>
  </sheets>
  <definedNames>
    <definedName name="_xlnm.Print_Area" localSheetId="1">DRE!$A$1:$J$85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2" l="1"/>
  <c r="H11" i="12" s="1"/>
  <c r="H9" i="12"/>
  <c r="H6" i="12"/>
  <c r="H5" i="12"/>
  <c r="H7" i="12" s="1"/>
  <c r="H4" i="12"/>
  <c r="H13" i="12" s="1"/>
  <c r="H3" i="12"/>
  <c r="I19" i="5"/>
  <c r="H19" i="5"/>
  <c r="G19" i="5"/>
  <c r="F19" i="5"/>
  <c r="E19" i="5"/>
  <c r="D19" i="5"/>
  <c r="C19" i="5"/>
  <c r="B19" i="5"/>
  <c r="I8" i="5"/>
  <c r="H8" i="5"/>
  <c r="G8" i="5"/>
  <c r="F8" i="5"/>
  <c r="E8" i="5"/>
  <c r="D8" i="5"/>
  <c r="C8" i="5"/>
  <c r="B8" i="5"/>
  <c r="G7" i="9"/>
  <c r="F7" i="9"/>
  <c r="E7" i="9"/>
  <c r="D7" i="9"/>
  <c r="C7" i="9"/>
  <c r="H5" i="9"/>
  <c r="G5" i="9"/>
  <c r="F5" i="9"/>
  <c r="E5" i="9"/>
  <c r="D5" i="9"/>
  <c r="C5" i="9"/>
  <c r="B5" i="9"/>
  <c r="H13" i="7"/>
  <c r="H14" i="7" s="1"/>
  <c r="H11" i="7"/>
  <c r="H12" i="7" s="1"/>
  <c r="H9" i="7"/>
  <c r="H10" i="7" s="1"/>
  <c r="H7" i="7"/>
  <c r="H8" i="7" s="1"/>
  <c r="H5" i="7"/>
  <c r="H6" i="7" s="1"/>
  <c r="H3" i="7"/>
  <c r="H4" i="7" s="1"/>
  <c r="H15" i="8"/>
  <c r="H16" i="8" s="1"/>
  <c r="H13" i="8"/>
  <c r="H14" i="8" s="1"/>
  <c r="H11" i="8"/>
  <c r="H12" i="8" s="1"/>
  <c r="H9" i="8"/>
  <c r="H10" i="8" s="1"/>
  <c r="H7" i="8"/>
  <c r="H8" i="8" s="1"/>
  <c r="H5" i="8"/>
  <c r="H6" i="8" s="1"/>
  <c r="H3" i="8"/>
  <c r="H4" i="8" s="1"/>
  <c r="H9" i="6"/>
  <c r="H10" i="6" s="1"/>
  <c r="H7" i="6"/>
  <c r="H8" i="6" s="1"/>
  <c r="H5" i="6"/>
  <c r="H6" i="6" s="1"/>
  <c r="H3" i="6"/>
  <c r="H4" i="6" s="1"/>
  <c r="I62" i="2"/>
  <c r="J56" i="2"/>
  <c r="I41" i="2"/>
  <c r="I49" i="2" s="1"/>
  <c r="I29" i="2"/>
  <c r="I17" i="2"/>
  <c r="I67" i="2" s="1"/>
  <c r="I3" i="2"/>
  <c r="J11" i="2"/>
  <c r="J12" i="2" s="1"/>
  <c r="J80" i="2"/>
  <c r="J81" i="2" s="1"/>
  <c r="J74" i="2"/>
  <c r="J71" i="2"/>
  <c r="J72" i="2" s="1"/>
  <c r="J68" i="2"/>
  <c r="J69" i="2" s="1"/>
  <c r="J65" i="2"/>
  <c r="J50" i="2"/>
  <c r="J51" i="2" s="1"/>
  <c r="J47" i="2"/>
  <c r="J44" i="2"/>
  <c r="J45" i="2" s="1"/>
  <c r="J35" i="2"/>
  <c r="J36" i="2" s="1"/>
  <c r="J32" i="2"/>
  <c r="J23" i="2"/>
  <c r="J20" i="2"/>
  <c r="J14" i="2"/>
  <c r="J8" i="2"/>
  <c r="J5" i="2"/>
  <c r="J66" i="2"/>
  <c r="J24" i="2"/>
  <c r="J21" i="2"/>
  <c r="J15" i="2"/>
  <c r="J6" i="2"/>
  <c r="C85" i="15"/>
  <c r="C82" i="15"/>
  <c r="C79" i="15"/>
  <c r="C76" i="15"/>
  <c r="C73" i="15"/>
  <c r="C70" i="15"/>
  <c r="C67" i="15"/>
  <c r="C64" i="15"/>
  <c r="C61" i="15"/>
  <c r="C58" i="15"/>
  <c r="C55" i="15"/>
  <c r="C52" i="15"/>
  <c r="C49" i="15"/>
  <c r="C46" i="15"/>
  <c r="C41" i="15"/>
  <c r="C43" i="15" s="1"/>
  <c r="C40" i="15"/>
  <c r="C37" i="15"/>
  <c r="D37" i="15"/>
  <c r="D34" i="15"/>
  <c r="C34" i="15"/>
  <c r="C31" i="15"/>
  <c r="C28" i="15"/>
  <c r="C25" i="15"/>
  <c r="C22" i="15"/>
  <c r="C19" i="15"/>
  <c r="C16" i="15"/>
  <c r="C13" i="15"/>
  <c r="C10" i="15"/>
  <c r="C7" i="15"/>
  <c r="C17" i="15"/>
  <c r="C26" i="15"/>
  <c r="C29" i="15"/>
  <c r="C38" i="15" s="1"/>
  <c r="C59" i="15" s="1"/>
  <c r="C53" i="15" s="1"/>
  <c r="C62" i="15"/>
  <c r="C83" i="15"/>
  <c r="C80" i="15"/>
  <c r="C74" i="15"/>
  <c r="C71" i="15"/>
  <c r="C68" i="15"/>
  <c r="C65" i="15"/>
  <c r="C56" i="15"/>
  <c r="C50" i="15"/>
  <c r="C47" i="15"/>
  <c r="C44" i="15"/>
  <c r="C35" i="15"/>
  <c r="C32" i="15"/>
  <c r="C23" i="15"/>
  <c r="C20" i="15"/>
  <c r="C14" i="15"/>
  <c r="C11" i="15"/>
  <c r="C8" i="15"/>
  <c r="C5" i="15"/>
  <c r="F74" i="15"/>
  <c r="F50" i="15"/>
  <c r="F68" i="15"/>
  <c r="F44" i="15"/>
  <c r="F47" i="15"/>
  <c r="F56" i="15"/>
  <c r="F35" i="15"/>
  <c r="F32" i="15"/>
  <c r="F71" i="15"/>
  <c r="F23" i="15"/>
  <c r="F20" i="15"/>
  <c r="F11" i="15"/>
  <c r="F8" i="15"/>
  <c r="F5" i="15"/>
  <c r="P81" i="15"/>
  <c r="P75" i="15"/>
  <c r="P72" i="15"/>
  <c r="P69" i="15"/>
  <c r="P67" i="15"/>
  <c r="P66" i="15"/>
  <c r="P63" i="15"/>
  <c r="P58" i="15"/>
  <c r="P57" i="15"/>
  <c r="P51" i="15"/>
  <c r="P49" i="15"/>
  <c r="P48" i="15"/>
  <c r="P46" i="15"/>
  <c r="P45" i="15"/>
  <c r="P42" i="15"/>
  <c r="P41" i="15"/>
  <c r="P43" i="15" s="1"/>
  <c r="P37" i="15"/>
  <c r="P36" i="15"/>
  <c r="P33" i="15"/>
  <c r="P29" i="15"/>
  <c r="P31" i="15" s="1"/>
  <c r="P26" i="15"/>
  <c r="P64" i="15" s="1"/>
  <c r="P24" i="15"/>
  <c r="P21" i="15"/>
  <c r="P17" i="15"/>
  <c r="P25" i="15" s="1"/>
  <c r="P16" i="15"/>
  <c r="P15" i="15"/>
  <c r="P13" i="15"/>
  <c r="P12" i="15"/>
  <c r="P10" i="15"/>
  <c r="P9" i="15"/>
  <c r="P7" i="15"/>
  <c r="P6" i="15"/>
  <c r="P4" i="15"/>
  <c r="P3" i="15"/>
  <c r="P34" i="15" s="1"/>
  <c r="Q81" i="15"/>
  <c r="Q75" i="15"/>
  <c r="Q72" i="15"/>
  <c r="Q69" i="15"/>
  <c r="Q67" i="15"/>
  <c r="Q66" i="15"/>
  <c r="Q63" i="15"/>
  <c r="Q58" i="15"/>
  <c r="Q57" i="15"/>
  <c r="Q51" i="15"/>
  <c r="Q49" i="15"/>
  <c r="Q48" i="15"/>
  <c r="Q46" i="15"/>
  <c r="Q45" i="15"/>
  <c r="Q41" i="15"/>
  <c r="Q43" i="15" s="1"/>
  <c r="Q37" i="15"/>
  <c r="Q36" i="15"/>
  <c r="Q33" i="15"/>
  <c r="Q29" i="15"/>
  <c r="Q31" i="15" s="1"/>
  <c r="Q26" i="15"/>
  <c r="Q64" i="15" s="1"/>
  <c r="Q24" i="15"/>
  <c r="Q21" i="15"/>
  <c r="Q17" i="15"/>
  <c r="Q25" i="15" s="1"/>
  <c r="Q16" i="15"/>
  <c r="Q15" i="15"/>
  <c r="Q13" i="15"/>
  <c r="Q12" i="15"/>
  <c r="Q10" i="15"/>
  <c r="Q9" i="15"/>
  <c r="Q7" i="15"/>
  <c r="Q6" i="15"/>
  <c r="Q4" i="15"/>
  <c r="Q3" i="15"/>
  <c r="Q34" i="15" s="1"/>
  <c r="O81" i="15"/>
  <c r="O75" i="15"/>
  <c r="O72" i="15"/>
  <c r="O69" i="15"/>
  <c r="O67" i="15"/>
  <c r="O66" i="15"/>
  <c r="O63" i="15"/>
  <c r="O58" i="15"/>
  <c r="O57" i="15"/>
  <c r="O51" i="15"/>
  <c r="O49" i="15"/>
  <c r="O48" i="15"/>
  <c r="O46" i="15"/>
  <c r="O45" i="15"/>
  <c r="O41" i="15"/>
  <c r="O43" i="15" s="1"/>
  <c r="O37" i="15"/>
  <c r="O36" i="15"/>
  <c r="O33" i="15"/>
  <c r="O29" i="15"/>
  <c r="O31" i="15" s="1"/>
  <c r="O26" i="15"/>
  <c r="O64" i="15" s="1"/>
  <c r="O24" i="15"/>
  <c r="O21" i="15"/>
  <c r="O17" i="15"/>
  <c r="O25" i="15" s="1"/>
  <c r="O16" i="15"/>
  <c r="O15" i="15"/>
  <c r="O13" i="15"/>
  <c r="O12" i="15"/>
  <c r="O10" i="15"/>
  <c r="O9" i="15"/>
  <c r="O7" i="15"/>
  <c r="O6" i="15"/>
  <c r="O4" i="15"/>
  <c r="O3" i="15"/>
  <c r="O34" i="15" s="1"/>
  <c r="N81" i="15"/>
  <c r="N75" i="15"/>
  <c r="N72" i="15"/>
  <c r="N69" i="15"/>
  <c r="N67" i="15"/>
  <c r="N66" i="15"/>
  <c r="N63" i="15"/>
  <c r="N58" i="15"/>
  <c r="N57" i="15"/>
  <c r="N51" i="15"/>
  <c r="N49" i="15"/>
  <c r="N48" i="15"/>
  <c r="N46" i="15"/>
  <c r="N45" i="15"/>
  <c r="N41" i="15"/>
  <c r="N43" i="15" s="1"/>
  <c r="N37" i="15"/>
  <c r="N36" i="15"/>
  <c r="N33" i="15"/>
  <c r="N29" i="15"/>
  <c r="N31" i="15" s="1"/>
  <c r="N26" i="15"/>
  <c r="N64" i="15" s="1"/>
  <c r="N24" i="15"/>
  <c r="N21" i="15"/>
  <c r="N19" i="15"/>
  <c r="N17" i="15"/>
  <c r="N25" i="15" s="1"/>
  <c r="N16" i="15"/>
  <c r="N15" i="15"/>
  <c r="N13" i="15"/>
  <c r="N12" i="15"/>
  <c r="N10" i="15"/>
  <c r="N9" i="15"/>
  <c r="N7" i="15"/>
  <c r="N6" i="15"/>
  <c r="N4" i="15"/>
  <c r="N3" i="15"/>
  <c r="N34" i="15" s="1"/>
  <c r="M81" i="15"/>
  <c r="M75" i="15"/>
  <c r="M72" i="15"/>
  <c r="M69" i="15"/>
  <c r="M67" i="15"/>
  <c r="M66" i="15"/>
  <c r="M63" i="15"/>
  <c r="M58" i="15"/>
  <c r="M57" i="15"/>
  <c r="M51" i="15"/>
  <c r="M49" i="15"/>
  <c r="M48" i="15"/>
  <c r="M46" i="15"/>
  <c r="M45" i="15"/>
  <c r="M41" i="15"/>
  <c r="M43" i="15" s="1"/>
  <c r="M37" i="15"/>
  <c r="M36" i="15"/>
  <c r="M33" i="15"/>
  <c r="M29" i="15"/>
  <c r="M31" i="15" s="1"/>
  <c r="M26" i="15"/>
  <c r="M64" i="15" s="1"/>
  <c r="M24" i="15"/>
  <c r="M21" i="15"/>
  <c r="M19" i="15"/>
  <c r="M17" i="15"/>
  <c r="M25" i="15" s="1"/>
  <c r="M16" i="15"/>
  <c r="M15" i="15"/>
  <c r="M13" i="15"/>
  <c r="M12" i="15"/>
  <c r="M10" i="15"/>
  <c r="M9" i="15"/>
  <c r="M7" i="15"/>
  <c r="M6" i="15"/>
  <c r="M4" i="15"/>
  <c r="M3" i="15"/>
  <c r="M34" i="15" s="1"/>
  <c r="L81" i="15"/>
  <c r="L75" i="15"/>
  <c r="L72" i="15"/>
  <c r="L69" i="15"/>
  <c r="L67" i="15"/>
  <c r="L66" i="15"/>
  <c r="L63" i="15"/>
  <c r="L58" i="15"/>
  <c r="L57" i="15"/>
  <c r="L51" i="15"/>
  <c r="L49" i="15"/>
  <c r="L48" i="15"/>
  <c r="L46" i="15"/>
  <c r="L45" i="15"/>
  <c r="L41" i="15"/>
  <c r="L43" i="15" s="1"/>
  <c r="L37" i="15"/>
  <c r="L36" i="15"/>
  <c r="L33" i="15"/>
  <c r="L29" i="15"/>
  <c r="L31" i="15" s="1"/>
  <c r="L26" i="15"/>
  <c r="L64" i="15" s="1"/>
  <c r="L24" i="15"/>
  <c r="L21" i="15"/>
  <c r="L17" i="15"/>
  <c r="L25" i="15" s="1"/>
  <c r="L16" i="15"/>
  <c r="L15" i="15"/>
  <c r="L13" i="15"/>
  <c r="L12" i="15"/>
  <c r="L10" i="15"/>
  <c r="L9" i="15"/>
  <c r="L7" i="15"/>
  <c r="L6" i="15"/>
  <c r="L4" i="15"/>
  <c r="L3" i="15"/>
  <c r="L34" i="15" s="1"/>
  <c r="K81" i="15"/>
  <c r="K75" i="15"/>
  <c r="K72" i="15"/>
  <c r="K69" i="15"/>
  <c r="K67" i="15"/>
  <c r="K66" i="15"/>
  <c r="K63" i="15"/>
  <c r="K58" i="15"/>
  <c r="K57" i="15"/>
  <c r="K51" i="15"/>
  <c r="K49" i="15"/>
  <c r="K48" i="15"/>
  <c r="K46" i="15"/>
  <c r="K45" i="15"/>
  <c r="K41" i="15"/>
  <c r="K43" i="15" s="1"/>
  <c r="K37" i="15"/>
  <c r="K36" i="15"/>
  <c r="K33" i="15"/>
  <c r="K29" i="15"/>
  <c r="K31" i="15" s="1"/>
  <c r="K26" i="15"/>
  <c r="K64" i="15" s="1"/>
  <c r="K24" i="15"/>
  <c r="K21" i="15"/>
  <c r="K17" i="15"/>
  <c r="K25" i="15" s="1"/>
  <c r="K16" i="15"/>
  <c r="K15" i="15"/>
  <c r="K13" i="15"/>
  <c r="K12" i="15"/>
  <c r="K10" i="15"/>
  <c r="K9" i="15"/>
  <c r="K7" i="15"/>
  <c r="K6" i="15"/>
  <c r="K4" i="15"/>
  <c r="K3" i="15"/>
  <c r="K34" i="15" s="1"/>
  <c r="J81" i="15"/>
  <c r="J75" i="15"/>
  <c r="J72" i="15"/>
  <c r="J69" i="15"/>
  <c r="J67" i="15"/>
  <c r="J66" i="15"/>
  <c r="J63" i="15"/>
  <c r="J58" i="15"/>
  <c r="J57" i="15"/>
  <c r="J51" i="15"/>
  <c r="J49" i="15"/>
  <c r="J48" i="15"/>
  <c r="J46" i="15"/>
  <c r="J45" i="15"/>
  <c r="J42" i="15"/>
  <c r="J41" i="15"/>
  <c r="J43" i="15" s="1"/>
  <c r="J37" i="15"/>
  <c r="J36" i="15"/>
  <c r="J33" i="15"/>
  <c r="J29" i="15"/>
  <c r="J31" i="15" s="1"/>
  <c r="J26" i="15"/>
  <c r="J64" i="15" s="1"/>
  <c r="J24" i="15"/>
  <c r="J21" i="15"/>
  <c r="J17" i="15"/>
  <c r="J25" i="15" s="1"/>
  <c r="J16" i="15"/>
  <c r="J15" i="15"/>
  <c r="J13" i="15"/>
  <c r="J12" i="15"/>
  <c r="J10" i="15"/>
  <c r="J9" i="15"/>
  <c r="J7" i="15"/>
  <c r="J6" i="15"/>
  <c r="J4" i="15"/>
  <c r="J3" i="15"/>
  <c r="J34" i="15" s="1"/>
  <c r="I81" i="15"/>
  <c r="I75" i="15"/>
  <c r="I72" i="15"/>
  <c r="I69" i="15"/>
  <c r="I67" i="15"/>
  <c r="I66" i="15"/>
  <c r="I63" i="15"/>
  <c r="I58" i="15"/>
  <c r="I57" i="15"/>
  <c r="I51" i="15"/>
  <c r="I49" i="15"/>
  <c r="I48" i="15"/>
  <c r="I46" i="15"/>
  <c r="I45" i="15"/>
  <c r="I42" i="15"/>
  <c r="I41" i="15"/>
  <c r="I43" i="15" s="1"/>
  <c r="I37" i="15"/>
  <c r="I36" i="15"/>
  <c r="I33" i="15"/>
  <c r="I29" i="15"/>
  <c r="I31" i="15" s="1"/>
  <c r="I26" i="15"/>
  <c r="I64" i="15" s="1"/>
  <c r="I24" i="15"/>
  <c r="I21" i="15"/>
  <c r="I17" i="15"/>
  <c r="I25" i="15" s="1"/>
  <c r="I16" i="15"/>
  <c r="I15" i="15"/>
  <c r="I13" i="15"/>
  <c r="I12" i="15"/>
  <c r="I10" i="15"/>
  <c r="I9" i="15"/>
  <c r="I7" i="15"/>
  <c r="I6" i="15"/>
  <c r="I4" i="15"/>
  <c r="I3" i="15"/>
  <c r="I34" i="15" s="1"/>
  <c r="H81" i="15"/>
  <c r="H75" i="15"/>
  <c r="H72" i="15"/>
  <c r="H69" i="15"/>
  <c r="H67" i="15"/>
  <c r="H66" i="15"/>
  <c r="H63" i="15"/>
  <c r="H58" i="15"/>
  <c r="H57" i="15"/>
  <c r="H51" i="15"/>
  <c r="H49" i="15"/>
  <c r="H48" i="15"/>
  <c r="H46" i="15"/>
  <c r="H45" i="15"/>
  <c r="H41" i="15"/>
  <c r="H43" i="15" s="1"/>
  <c r="H37" i="15"/>
  <c r="H36" i="15"/>
  <c r="H33" i="15"/>
  <c r="H29" i="15"/>
  <c r="H31" i="15" s="1"/>
  <c r="H26" i="15"/>
  <c r="H64" i="15" s="1"/>
  <c r="H24" i="15"/>
  <c r="H21" i="15"/>
  <c r="H17" i="15"/>
  <c r="H25" i="15" s="1"/>
  <c r="H16" i="15"/>
  <c r="H15" i="15"/>
  <c r="H12" i="15"/>
  <c r="H9" i="15"/>
  <c r="H7" i="15"/>
  <c r="H6" i="15"/>
  <c r="H4" i="15"/>
  <c r="H3" i="15"/>
  <c r="H34" i="15" s="1"/>
  <c r="G81" i="15"/>
  <c r="H87" i="15"/>
  <c r="G66" i="15"/>
  <c r="U47" i="15"/>
  <c r="G36" i="15"/>
  <c r="G33" i="15"/>
  <c r="G29" i="15"/>
  <c r="G15" i="15"/>
  <c r="G12" i="15"/>
  <c r="I75" i="2"/>
  <c r="I72" i="2"/>
  <c r="I69" i="2"/>
  <c r="I66" i="2"/>
  <c r="I58" i="2"/>
  <c r="I57" i="2"/>
  <c r="I52" i="2"/>
  <c r="I51" i="2"/>
  <c r="I48" i="2"/>
  <c r="I45" i="2"/>
  <c r="I36" i="2"/>
  <c r="I34" i="2"/>
  <c r="I33" i="2"/>
  <c r="I25" i="2"/>
  <c r="I24" i="2"/>
  <c r="I22" i="2"/>
  <c r="I21" i="2"/>
  <c r="I15" i="2"/>
  <c r="I13" i="2"/>
  <c r="I12" i="2"/>
  <c r="I10" i="2"/>
  <c r="I9" i="2"/>
  <c r="I7" i="2"/>
  <c r="I6" i="2"/>
  <c r="J129" i="1"/>
  <c r="I129" i="1"/>
  <c r="H129" i="1"/>
  <c r="G129" i="1"/>
  <c r="F129" i="1"/>
  <c r="E129" i="1"/>
  <c r="D129" i="1"/>
  <c r="C129" i="1"/>
  <c r="C54" i="1"/>
  <c r="B54" i="1"/>
  <c r="B129" i="1"/>
  <c r="J6" i="1"/>
  <c r="J117" i="1"/>
  <c r="J108" i="1"/>
  <c r="J105" i="1"/>
  <c r="J99" i="1"/>
  <c r="J96" i="1"/>
  <c r="J93" i="1"/>
  <c r="J87" i="1"/>
  <c r="J84" i="1"/>
  <c r="J81" i="1"/>
  <c r="J78" i="1"/>
  <c r="J75" i="1"/>
  <c r="J72" i="1"/>
  <c r="J69" i="1"/>
  <c r="J66" i="1"/>
  <c r="J63" i="1"/>
  <c r="J60" i="1"/>
  <c r="J57" i="1"/>
  <c r="H108" i="1"/>
  <c r="H57" i="1"/>
  <c r="C84" i="1"/>
  <c r="C85" i="1" s="1"/>
  <c r="D84" i="1"/>
  <c r="J85" i="1"/>
  <c r="D85" i="1"/>
  <c r="E85" i="1"/>
  <c r="F85" i="1"/>
  <c r="G85" i="1"/>
  <c r="H85" i="1"/>
  <c r="H69" i="1"/>
  <c r="H66" i="1"/>
  <c r="C66" i="1"/>
  <c r="C67" i="1" s="1"/>
  <c r="D66" i="1"/>
  <c r="D67" i="1" s="1"/>
  <c r="E66" i="1"/>
  <c r="F66" i="1"/>
  <c r="F67" i="1" s="1"/>
  <c r="G66" i="1"/>
  <c r="I54" i="1"/>
  <c r="G57" i="1"/>
  <c r="F57" i="1"/>
  <c r="E57" i="1"/>
  <c r="D57" i="1"/>
  <c r="C57" i="1"/>
  <c r="B57" i="1"/>
  <c r="D33" i="1"/>
  <c r="B33" i="1"/>
  <c r="C33" i="1"/>
  <c r="I33" i="1"/>
  <c r="G36" i="1"/>
  <c r="G33" i="1" s="1"/>
  <c r="H42" i="1"/>
  <c r="H36" i="1" s="1"/>
  <c r="H33" i="1" s="1"/>
  <c r="H31" i="1"/>
  <c r="G31" i="1"/>
  <c r="F31" i="1"/>
  <c r="E31" i="1"/>
  <c r="H25" i="1"/>
  <c r="G25" i="1"/>
  <c r="H22" i="1"/>
  <c r="G19" i="1"/>
  <c r="H19" i="1"/>
  <c r="H13" i="1"/>
  <c r="G13" i="1"/>
  <c r="H10" i="1"/>
  <c r="G10" i="1"/>
  <c r="H27" i="1"/>
  <c r="I3" i="1"/>
  <c r="B3" i="1"/>
  <c r="H15" i="1"/>
  <c r="G15" i="1"/>
  <c r="F15" i="1"/>
  <c r="E15" i="1"/>
  <c r="D15" i="1"/>
  <c r="C15" i="1"/>
  <c r="J48" i="1"/>
  <c r="J49" i="1" s="1"/>
  <c r="J45" i="1"/>
  <c r="J46" i="1" s="1"/>
  <c r="J39" i="1"/>
  <c r="J40" i="1" s="1"/>
  <c r="J30" i="1"/>
  <c r="J31" i="1" s="1"/>
  <c r="J24" i="1"/>
  <c r="J25" i="1" s="1"/>
  <c r="J21" i="1"/>
  <c r="J22" i="1" s="1"/>
  <c r="J18" i="1"/>
  <c r="J19" i="1" s="1"/>
  <c r="J12" i="1"/>
  <c r="J13" i="1" s="1"/>
  <c r="J9" i="1"/>
  <c r="J10" i="1" s="1"/>
  <c r="H6" i="1"/>
  <c r="H7" i="1" s="1"/>
  <c r="H144" i="1"/>
  <c r="H141" i="1"/>
  <c r="H135" i="1"/>
  <c r="H118" i="1"/>
  <c r="H114" i="1"/>
  <c r="H112" i="1"/>
  <c r="H106" i="1"/>
  <c r="H100" i="1"/>
  <c r="H94" i="1"/>
  <c r="H97" i="1"/>
  <c r="H90" i="1"/>
  <c r="H79" i="1"/>
  <c r="H76" i="1"/>
  <c r="H88" i="1"/>
  <c r="H64" i="1"/>
  <c r="H61" i="1"/>
  <c r="H82" i="1"/>
  <c r="H73" i="1"/>
  <c r="H49" i="1"/>
  <c r="H46" i="1"/>
  <c r="H40" i="1"/>
  <c r="G73" i="1"/>
  <c r="G82" i="1"/>
  <c r="G61" i="1"/>
  <c r="G69" i="1"/>
  <c r="G64" i="1"/>
  <c r="G88" i="1"/>
  <c r="G76" i="1"/>
  <c r="G79" i="1"/>
  <c r="G90" i="1"/>
  <c r="G97" i="1"/>
  <c r="G100" i="1"/>
  <c r="G106" i="1"/>
  <c r="G108" i="1"/>
  <c r="G112" i="1"/>
  <c r="G114" i="1"/>
  <c r="G118" i="1"/>
  <c r="G135" i="1"/>
  <c r="G141" i="1"/>
  <c r="G144" i="1"/>
  <c r="S24" i="11"/>
  <c r="T24" i="11" s="1"/>
  <c r="AI18" i="11"/>
  <c r="AI13" i="11"/>
  <c r="AI8" i="11"/>
  <c r="AI3" i="11"/>
  <c r="AG5" i="11"/>
  <c r="AG10" i="11"/>
  <c r="AF10" i="11"/>
  <c r="AE32" i="11"/>
  <c r="AE30" i="11"/>
  <c r="V27" i="11"/>
  <c r="AE5" i="11"/>
  <c r="J114" i="1"/>
  <c r="G206" i="11"/>
  <c r="AE10" i="11"/>
  <c r="AD10" i="11"/>
  <c r="AG15" i="11"/>
  <c r="AF15" i="11"/>
  <c r="AE15" i="11"/>
  <c r="AD15" i="11"/>
  <c r="AC10" i="11"/>
  <c r="AC5" i="11"/>
  <c r="F9" i="12"/>
  <c r="AB10" i="11"/>
  <c r="AB15" i="11"/>
  <c r="G56" i="2"/>
  <c r="H57" i="2" s="1"/>
  <c r="F56" i="2"/>
  <c r="F57" i="2" s="1"/>
  <c r="E57" i="2"/>
  <c r="AA15" i="11"/>
  <c r="Z10" i="11"/>
  <c r="AA10" i="11"/>
  <c r="Z5" i="11"/>
  <c r="AA5" i="11"/>
  <c r="Y15" i="11"/>
  <c r="X15" i="11"/>
  <c r="X10" i="11"/>
  <c r="X5" i="11"/>
  <c r="Y5" i="11"/>
  <c r="J3" i="2" l="1"/>
  <c r="I26" i="2"/>
  <c r="I38" i="2" s="1"/>
  <c r="J62" i="2"/>
  <c r="I16" i="2"/>
  <c r="I19" i="2"/>
  <c r="I37" i="2"/>
  <c r="I43" i="2"/>
  <c r="I28" i="2"/>
  <c r="J10" i="2"/>
  <c r="J25" i="2"/>
  <c r="J16" i="2"/>
  <c r="J13" i="2"/>
  <c r="J7" i="2"/>
  <c r="J4" i="2"/>
  <c r="J34" i="2"/>
  <c r="J17" i="2"/>
  <c r="J26" i="2" s="1"/>
  <c r="J57" i="2"/>
  <c r="J75" i="2"/>
  <c r="J41" i="2"/>
  <c r="J49" i="2" s="1"/>
  <c r="I46" i="2"/>
  <c r="J33" i="2"/>
  <c r="J29" i="2"/>
  <c r="J9" i="2"/>
  <c r="J48" i="2"/>
  <c r="I64" i="2"/>
  <c r="I31" i="2"/>
  <c r="J30" i="2"/>
  <c r="C77" i="15"/>
  <c r="F41" i="15"/>
  <c r="F3" i="15"/>
  <c r="P18" i="15"/>
  <c r="P28" i="15"/>
  <c r="P38" i="15"/>
  <c r="P30" i="15"/>
  <c r="P22" i="15"/>
  <c r="P52" i="15"/>
  <c r="P19" i="15"/>
  <c r="P27" i="15"/>
  <c r="Q18" i="15"/>
  <c r="Q30" i="15"/>
  <c r="Q22" i="15"/>
  <c r="Q52" i="15"/>
  <c r="Q27" i="15"/>
  <c r="Q28" i="15"/>
  <c r="Q38" i="15"/>
  <c r="Q42" i="15"/>
  <c r="Q19" i="15"/>
  <c r="O18" i="15"/>
  <c r="O38" i="15"/>
  <c r="O30" i="15"/>
  <c r="O28" i="15"/>
  <c r="O22" i="15"/>
  <c r="O52" i="15"/>
  <c r="O27" i="15"/>
  <c r="O19" i="15"/>
  <c r="O42" i="15"/>
  <c r="N27" i="15"/>
  <c r="N18" i="15"/>
  <c r="N28" i="15"/>
  <c r="N38" i="15"/>
  <c r="N30" i="15"/>
  <c r="N22" i="15"/>
  <c r="N52" i="15"/>
  <c r="N42" i="15"/>
  <c r="M27" i="15"/>
  <c r="M18" i="15"/>
  <c r="M28" i="15"/>
  <c r="M38" i="15"/>
  <c r="M30" i="15"/>
  <c r="M22" i="15"/>
  <c r="M52" i="15"/>
  <c r="M42" i="15"/>
  <c r="L27" i="15"/>
  <c r="L18" i="15"/>
  <c r="L28" i="15"/>
  <c r="L38" i="15"/>
  <c r="L42" i="15"/>
  <c r="L19" i="15"/>
  <c r="L30" i="15"/>
  <c r="L22" i="15"/>
  <c r="L52" i="15"/>
  <c r="K30" i="15"/>
  <c r="K22" i="15"/>
  <c r="K52" i="15"/>
  <c r="K42" i="15"/>
  <c r="K27" i="15"/>
  <c r="K18" i="15"/>
  <c r="K28" i="15"/>
  <c r="K38" i="15"/>
  <c r="K19" i="15"/>
  <c r="J38" i="15"/>
  <c r="J19" i="15"/>
  <c r="J30" i="15"/>
  <c r="J22" i="15"/>
  <c r="J52" i="15"/>
  <c r="J28" i="15"/>
  <c r="J27" i="15"/>
  <c r="J18" i="15"/>
  <c r="I30" i="15"/>
  <c r="I27" i="15"/>
  <c r="I22" i="15"/>
  <c r="I52" i="15"/>
  <c r="I18" i="15"/>
  <c r="I28" i="15"/>
  <c r="I38" i="15"/>
  <c r="I19" i="15"/>
  <c r="H10" i="15"/>
  <c r="H30" i="15"/>
  <c r="H27" i="15"/>
  <c r="H22" i="15"/>
  <c r="H52" i="15"/>
  <c r="H19" i="15"/>
  <c r="H13" i="15"/>
  <c r="H42" i="15"/>
  <c r="H18" i="15"/>
  <c r="H28" i="15"/>
  <c r="H38" i="15"/>
  <c r="F16" i="15"/>
  <c r="S11" i="15"/>
  <c r="D11" i="15" s="1"/>
  <c r="F29" i="15"/>
  <c r="G30" i="15" s="1"/>
  <c r="S23" i="15"/>
  <c r="D23" i="15" s="1"/>
  <c r="U35" i="15"/>
  <c r="F13" i="15"/>
  <c r="S50" i="15"/>
  <c r="S32" i="15"/>
  <c r="G24" i="15"/>
  <c r="S80" i="15"/>
  <c r="D80" i="15" s="1"/>
  <c r="G48" i="15"/>
  <c r="S8" i="15"/>
  <c r="D8" i="15" s="1"/>
  <c r="S35" i="15"/>
  <c r="D35" i="15" s="1"/>
  <c r="G6" i="15"/>
  <c r="G51" i="15"/>
  <c r="S68" i="15"/>
  <c r="D68" i="15" s="1"/>
  <c r="G17" i="15"/>
  <c r="G25" i="15" s="1"/>
  <c r="F62" i="15"/>
  <c r="G72" i="15"/>
  <c r="F67" i="15"/>
  <c r="F58" i="15"/>
  <c r="G3" i="15"/>
  <c r="G58" i="15" s="1"/>
  <c r="G9" i="15"/>
  <c r="U32" i="15"/>
  <c r="S5" i="15"/>
  <c r="G57" i="15"/>
  <c r="S56" i="15"/>
  <c r="D56" i="15" s="1"/>
  <c r="F52" i="15"/>
  <c r="S14" i="15"/>
  <c r="D14" i="15" s="1"/>
  <c r="F46" i="15"/>
  <c r="S44" i="15"/>
  <c r="D44" i="15" s="1"/>
  <c r="G45" i="15"/>
  <c r="U44" i="15"/>
  <c r="G41" i="15"/>
  <c r="S20" i="15"/>
  <c r="D20" i="15" s="1"/>
  <c r="F49" i="15"/>
  <c r="F17" i="15"/>
  <c r="S47" i="15"/>
  <c r="D47" i="15" s="1"/>
  <c r="G21" i="15"/>
  <c r="S71" i="15"/>
  <c r="D71" i="15" s="1"/>
  <c r="G75" i="15"/>
  <c r="S74" i="15"/>
  <c r="D74" i="15" s="1"/>
  <c r="S65" i="15"/>
  <c r="D65" i="15" s="1"/>
  <c r="G69" i="15"/>
  <c r="G57" i="2"/>
  <c r="AE26" i="11"/>
  <c r="AE27" i="11"/>
  <c r="AA20" i="11"/>
  <c r="AC15" i="11"/>
  <c r="AC20" i="11" s="1"/>
  <c r="J67" i="1"/>
  <c r="H67" i="1"/>
  <c r="E67" i="1"/>
  <c r="G16" i="1"/>
  <c r="G67" i="1"/>
  <c r="H138" i="1"/>
  <c r="G58" i="1"/>
  <c r="G54" i="1"/>
  <c r="H58" i="1"/>
  <c r="H130" i="1"/>
  <c r="H54" i="1"/>
  <c r="H16" i="1"/>
  <c r="G3" i="1"/>
  <c r="G23" i="1" s="1"/>
  <c r="J15" i="1"/>
  <c r="J16" i="1" s="1"/>
  <c r="H132" i="1"/>
  <c r="H3" i="1"/>
  <c r="H38" i="1" s="1"/>
  <c r="H28" i="1"/>
  <c r="J36" i="1"/>
  <c r="J27" i="1"/>
  <c r="J42" i="1"/>
  <c r="J43" i="1" s="1"/>
  <c r="H91" i="1"/>
  <c r="H145" i="1"/>
  <c r="H37" i="1"/>
  <c r="H43" i="1"/>
  <c r="H70" i="1"/>
  <c r="H142" i="1"/>
  <c r="H115" i="1"/>
  <c r="G138" i="1"/>
  <c r="H109" i="1"/>
  <c r="H136" i="1"/>
  <c r="G132" i="1"/>
  <c r="S25" i="11"/>
  <c r="T25" i="11" s="1"/>
  <c r="T26" i="11" s="1"/>
  <c r="AG20" i="11"/>
  <c r="AG21" i="11" s="1"/>
  <c r="AF5" i="11"/>
  <c r="AF20" i="11" s="1"/>
  <c r="AE20" i="11"/>
  <c r="AE22" i="11" s="1"/>
  <c r="AB5" i="11"/>
  <c r="AB20" i="11" s="1"/>
  <c r="AD5" i="11"/>
  <c r="AD20" i="11" s="1"/>
  <c r="AD21" i="11" s="1"/>
  <c r="Y10" i="11"/>
  <c r="Y20" i="11" s="1"/>
  <c r="Z15" i="11"/>
  <c r="AB16" i="11" s="1"/>
  <c r="S2" i="7"/>
  <c r="Y16" i="11"/>
  <c r="V15" i="11"/>
  <c r="X12" i="11"/>
  <c r="AG18" i="11"/>
  <c r="AF18" i="11"/>
  <c r="AE18" i="11"/>
  <c r="AD18" i="11"/>
  <c r="AC18" i="11"/>
  <c r="AB18" i="11"/>
  <c r="AA18" i="11"/>
  <c r="Z18" i="11"/>
  <c r="Y18" i="11"/>
  <c r="X18" i="11"/>
  <c r="Y19" i="11" s="1"/>
  <c r="W18" i="11"/>
  <c r="V18" i="11"/>
  <c r="AG19" i="11"/>
  <c r="AG17" i="11"/>
  <c r="AF17" i="11"/>
  <c r="AE17" i="11"/>
  <c r="AD17" i="11"/>
  <c r="AB17" i="11"/>
  <c r="AA17" i="11"/>
  <c r="Y17" i="11"/>
  <c r="AG16" i="11"/>
  <c r="AF16" i="11"/>
  <c r="AD16" i="11"/>
  <c r="AG14" i="11"/>
  <c r="AF14" i="11"/>
  <c r="AE14" i="11"/>
  <c r="AD14" i="11"/>
  <c r="AC14" i="11"/>
  <c r="AB14" i="11"/>
  <c r="AA14" i="11"/>
  <c r="Z14" i="11"/>
  <c r="Y14" i="11"/>
  <c r="X14" i="11"/>
  <c r="W14" i="11"/>
  <c r="AG12" i="11"/>
  <c r="AF12" i="11"/>
  <c r="AE12" i="11"/>
  <c r="AD12" i="11"/>
  <c r="AC12" i="11"/>
  <c r="AB12" i="11"/>
  <c r="AA12" i="11"/>
  <c r="Z12" i="11"/>
  <c r="AG11" i="11"/>
  <c r="AF11" i="11"/>
  <c r="AE11" i="11"/>
  <c r="AD11" i="11"/>
  <c r="AC11" i="11"/>
  <c r="AB11" i="11"/>
  <c r="AA11" i="11"/>
  <c r="AG9" i="11"/>
  <c r="AF9" i="11"/>
  <c r="AE9" i="11"/>
  <c r="AD9" i="11"/>
  <c r="AC9" i="11"/>
  <c r="AB9" i="11"/>
  <c r="AA9" i="11"/>
  <c r="Z9" i="11"/>
  <c r="Y9" i="11"/>
  <c r="X9" i="11"/>
  <c r="W9" i="11"/>
  <c r="AG6" i="11"/>
  <c r="AC6" i="11"/>
  <c r="AG7" i="11"/>
  <c r="AE7" i="11"/>
  <c r="AC7" i="11"/>
  <c r="AA7" i="11"/>
  <c r="Z7" i="11"/>
  <c r="Y7" i="11"/>
  <c r="AB6" i="11"/>
  <c r="AA6" i="11"/>
  <c r="Z6" i="11"/>
  <c r="AG4" i="11"/>
  <c r="AF4" i="11"/>
  <c r="AE4" i="11"/>
  <c r="AD4" i="11"/>
  <c r="AC4" i="11"/>
  <c r="AB4" i="11"/>
  <c r="AA4" i="11"/>
  <c r="Z4" i="11"/>
  <c r="Y4" i="11"/>
  <c r="X4" i="11"/>
  <c r="W4" i="11"/>
  <c r="X7" i="11"/>
  <c r="S2" i="6"/>
  <c r="J64" i="2" l="1"/>
  <c r="AC17" i="11"/>
  <c r="J63" i="2"/>
  <c r="J31" i="2"/>
  <c r="AC16" i="11"/>
  <c r="AE16" i="11"/>
  <c r="J42" i="2"/>
  <c r="J43" i="2"/>
  <c r="J52" i="2"/>
  <c r="J27" i="2"/>
  <c r="J28" i="2"/>
  <c r="J38" i="2"/>
  <c r="I59" i="2"/>
  <c r="I40" i="2"/>
  <c r="AB7" i="11"/>
  <c r="AB22" i="11"/>
  <c r="J46" i="2"/>
  <c r="J22" i="2"/>
  <c r="J19" i="2"/>
  <c r="J18" i="2"/>
  <c r="J37" i="2"/>
  <c r="J67" i="2"/>
  <c r="J58" i="2"/>
  <c r="P39" i="15"/>
  <c r="P59" i="15"/>
  <c r="P40" i="15"/>
  <c r="Q59" i="15"/>
  <c r="Q39" i="15"/>
  <c r="Q40" i="15"/>
  <c r="O59" i="15"/>
  <c r="O40" i="15"/>
  <c r="O39" i="15"/>
  <c r="N59" i="15"/>
  <c r="N39" i="15"/>
  <c r="N40" i="15"/>
  <c r="M39" i="15"/>
  <c r="M59" i="15"/>
  <c r="M40" i="15"/>
  <c r="L40" i="15"/>
  <c r="L39" i="15"/>
  <c r="L59" i="15"/>
  <c r="K39" i="15"/>
  <c r="K40" i="15"/>
  <c r="K59" i="15"/>
  <c r="J59" i="15"/>
  <c r="J40" i="15"/>
  <c r="J39" i="15"/>
  <c r="I39" i="15"/>
  <c r="I59" i="15"/>
  <c r="I40" i="15"/>
  <c r="H59" i="15"/>
  <c r="H39" i="15"/>
  <c r="H40" i="15"/>
  <c r="S69" i="15"/>
  <c r="D5" i="15"/>
  <c r="D3" i="15" s="1"/>
  <c r="D10" i="15" s="1"/>
  <c r="S9" i="15"/>
  <c r="S36" i="15"/>
  <c r="D72" i="15"/>
  <c r="F26" i="15"/>
  <c r="F31" i="15" s="1"/>
  <c r="G22" i="15"/>
  <c r="F37" i="15"/>
  <c r="F10" i="15"/>
  <c r="D69" i="15"/>
  <c r="D36" i="15"/>
  <c r="F34" i="15"/>
  <c r="S12" i="15"/>
  <c r="D48" i="15"/>
  <c r="D15" i="15"/>
  <c r="F7" i="15"/>
  <c r="D75" i="15"/>
  <c r="S33" i="15"/>
  <c r="D32" i="15"/>
  <c r="D66" i="15"/>
  <c r="D62" i="15"/>
  <c r="D24" i="15"/>
  <c r="S51" i="15"/>
  <c r="D50" i="15"/>
  <c r="D41" i="15" s="1"/>
  <c r="D49" i="15" s="1"/>
  <c r="D12" i="15"/>
  <c r="D45" i="15"/>
  <c r="D57" i="15"/>
  <c r="S24" i="15"/>
  <c r="D81" i="15"/>
  <c r="S81" i="15"/>
  <c r="D21" i="15"/>
  <c r="D17" i="15"/>
  <c r="D22" i="15" s="1"/>
  <c r="D9" i="15"/>
  <c r="G19" i="15"/>
  <c r="G63" i="15"/>
  <c r="S29" i="15"/>
  <c r="S30" i="15" s="1"/>
  <c r="S62" i="15"/>
  <c r="S66" i="15"/>
  <c r="S3" i="15"/>
  <c r="S6" i="15"/>
  <c r="S45" i="15"/>
  <c r="S41" i="15"/>
  <c r="S46" i="15" s="1"/>
  <c r="S57" i="15"/>
  <c r="G18" i="15"/>
  <c r="G67" i="15"/>
  <c r="G4" i="15"/>
  <c r="G37" i="15"/>
  <c r="G16" i="15"/>
  <c r="G26" i="15"/>
  <c r="G43" i="15" s="1"/>
  <c r="G34" i="15"/>
  <c r="G10" i="15"/>
  <c r="G7" i="15"/>
  <c r="G42" i="15"/>
  <c r="G46" i="15"/>
  <c r="G49" i="15"/>
  <c r="G13" i="15"/>
  <c r="F19" i="15"/>
  <c r="F25" i="15"/>
  <c r="S21" i="15"/>
  <c r="S17" i="15"/>
  <c r="S48" i="15"/>
  <c r="S72" i="15"/>
  <c r="S75" i="15"/>
  <c r="F22" i="15"/>
  <c r="G52" i="15"/>
  <c r="S15" i="15"/>
  <c r="AC21" i="11"/>
  <c r="AE21" i="11"/>
  <c r="V17" i="11"/>
  <c r="AE6" i="11"/>
  <c r="H68" i="1"/>
  <c r="H86" i="1"/>
  <c r="G68" i="1"/>
  <c r="G86" i="1"/>
  <c r="H139" i="1"/>
  <c r="H146" i="1"/>
  <c r="H143" i="1"/>
  <c r="H126" i="1"/>
  <c r="H134" i="1" s="1"/>
  <c r="G32" i="1"/>
  <c r="G5" i="1"/>
  <c r="H133" i="1"/>
  <c r="G20" i="1"/>
  <c r="J33" i="1"/>
  <c r="G29" i="1"/>
  <c r="G8" i="1"/>
  <c r="G14" i="1"/>
  <c r="G26" i="1"/>
  <c r="G11" i="1"/>
  <c r="G17" i="1"/>
  <c r="G110" i="1"/>
  <c r="J28" i="1"/>
  <c r="G116" i="1"/>
  <c r="G83" i="1"/>
  <c r="H20" i="1"/>
  <c r="H26" i="1"/>
  <c r="H14" i="1"/>
  <c r="H29" i="1"/>
  <c r="H23" i="1"/>
  <c r="H17" i="1"/>
  <c r="H11" i="1"/>
  <c r="H4" i="1"/>
  <c r="H32" i="1"/>
  <c r="G65" i="1"/>
  <c r="H8" i="1"/>
  <c r="J37" i="1"/>
  <c r="G80" i="1"/>
  <c r="G143" i="1"/>
  <c r="G98" i="1"/>
  <c r="G107" i="1"/>
  <c r="G119" i="1"/>
  <c r="G62" i="1"/>
  <c r="G59" i="1"/>
  <c r="G77" i="1"/>
  <c r="G113" i="1"/>
  <c r="G101" i="1"/>
  <c r="G74" i="1"/>
  <c r="G71" i="1"/>
  <c r="G95" i="1"/>
  <c r="G89" i="1"/>
  <c r="H44" i="1"/>
  <c r="G146" i="1"/>
  <c r="H47" i="1"/>
  <c r="H51" i="1"/>
  <c r="H50" i="1"/>
  <c r="H41" i="1"/>
  <c r="H71" i="1"/>
  <c r="H116" i="1"/>
  <c r="H65" i="1"/>
  <c r="H110" i="1"/>
  <c r="H101" i="1"/>
  <c r="H119" i="1"/>
  <c r="H80" i="1"/>
  <c r="H98" i="1"/>
  <c r="H74" i="1"/>
  <c r="H89" i="1"/>
  <c r="H113" i="1"/>
  <c r="H83" i="1"/>
  <c r="H55" i="1"/>
  <c r="H95" i="1"/>
  <c r="H107" i="1"/>
  <c r="H77" i="1"/>
  <c r="H59" i="1"/>
  <c r="H62" i="1"/>
  <c r="H34" i="1"/>
  <c r="G126" i="1"/>
  <c r="AG22" i="11"/>
  <c r="AF22" i="11"/>
  <c r="AF7" i="11"/>
  <c r="AF21" i="11"/>
  <c r="AF6" i="11"/>
  <c r="AD6" i="11"/>
  <c r="AD7" i="11"/>
  <c r="Z20" i="11"/>
  <c r="Z22" i="11" s="1"/>
  <c r="Z16" i="11"/>
  <c r="Z11" i="11"/>
  <c r="Y12" i="11"/>
  <c r="Y22" i="11"/>
  <c r="AA16" i="11"/>
  <c r="Z17" i="11"/>
  <c r="Y6" i="11"/>
  <c r="AA19" i="11"/>
  <c r="AF19" i="11"/>
  <c r="W19" i="11"/>
  <c r="AE19" i="11"/>
  <c r="Z19" i="11"/>
  <c r="AB19" i="11"/>
  <c r="X19" i="11"/>
  <c r="AD22" i="11"/>
  <c r="X17" i="11"/>
  <c r="X20" i="11"/>
  <c r="X22" i="11" s="1"/>
  <c r="AC22" i="11"/>
  <c r="AC19" i="11"/>
  <c r="AD19" i="11"/>
  <c r="AA22" i="11"/>
  <c r="Y11" i="11"/>
  <c r="I53" i="2" l="1"/>
  <c r="I73" i="2"/>
  <c r="I77" i="2"/>
  <c r="I70" i="2"/>
  <c r="I76" i="2"/>
  <c r="I61" i="2"/>
  <c r="I82" i="2"/>
  <c r="J40" i="2"/>
  <c r="J59" i="2"/>
  <c r="J39" i="2"/>
  <c r="P76" i="15"/>
  <c r="P77" i="15"/>
  <c r="P53" i="15"/>
  <c r="P70" i="15"/>
  <c r="P73" i="15"/>
  <c r="P61" i="15"/>
  <c r="P82" i="15"/>
  <c r="P60" i="15"/>
  <c r="Q76" i="15"/>
  <c r="Q53" i="15"/>
  <c r="Q77" i="15"/>
  <c r="Q73" i="15"/>
  <c r="Q61" i="15"/>
  <c r="Q70" i="15"/>
  <c r="Q82" i="15"/>
  <c r="Q60" i="15"/>
  <c r="O76" i="15"/>
  <c r="O77" i="15"/>
  <c r="O53" i="15"/>
  <c r="O73" i="15"/>
  <c r="O61" i="15"/>
  <c r="O82" i="15"/>
  <c r="O60" i="15"/>
  <c r="O70" i="15"/>
  <c r="N76" i="15"/>
  <c r="N53" i="15"/>
  <c r="N73" i="15"/>
  <c r="N61" i="15"/>
  <c r="N70" i="15"/>
  <c r="N82" i="15"/>
  <c r="N60" i="15"/>
  <c r="N77" i="15"/>
  <c r="M76" i="15"/>
  <c r="M53" i="15"/>
  <c r="M73" i="15"/>
  <c r="M61" i="15"/>
  <c r="M82" i="15"/>
  <c r="M60" i="15"/>
  <c r="M70" i="15"/>
  <c r="M77" i="15"/>
  <c r="L76" i="15"/>
  <c r="L73" i="15"/>
  <c r="L82" i="15"/>
  <c r="L60" i="15"/>
  <c r="L70" i="15"/>
  <c r="L53" i="15"/>
  <c r="L61" i="15"/>
  <c r="L77" i="15"/>
  <c r="K76" i="15"/>
  <c r="K70" i="15"/>
  <c r="K77" i="15"/>
  <c r="K53" i="15"/>
  <c r="K73" i="15"/>
  <c r="K61" i="15"/>
  <c r="K82" i="15"/>
  <c r="K60" i="15"/>
  <c r="J76" i="15"/>
  <c r="J60" i="15"/>
  <c r="J77" i="15"/>
  <c r="J53" i="15"/>
  <c r="J73" i="15"/>
  <c r="J61" i="15"/>
  <c r="J82" i="15"/>
  <c r="J70" i="15"/>
  <c r="D6" i="15"/>
  <c r="I76" i="15"/>
  <c r="I53" i="15"/>
  <c r="I70" i="15"/>
  <c r="I73" i="15"/>
  <c r="I61" i="15"/>
  <c r="I77" i="15"/>
  <c r="I82" i="15"/>
  <c r="I60" i="15"/>
  <c r="D25" i="15"/>
  <c r="H76" i="15"/>
  <c r="H53" i="15"/>
  <c r="H70" i="15"/>
  <c r="H73" i="15"/>
  <c r="H61" i="15"/>
  <c r="H77" i="15"/>
  <c r="H82" i="15"/>
  <c r="H60" i="15"/>
  <c r="D7" i="15"/>
  <c r="D67" i="15"/>
  <c r="S58" i="15"/>
  <c r="C3" i="15"/>
  <c r="D16" i="15"/>
  <c r="F43" i="15"/>
  <c r="F64" i="15"/>
  <c r="F27" i="15"/>
  <c r="F28" i="15"/>
  <c r="F38" i="15"/>
  <c r="F40" i="15" s="1"/>
  <c r="D4" i="15"/>
  <c r="D26" i="15"/>
  <c r="D64" i="15" s="1"/>
  <c r="D13" i="15"/>
  <c r="D33" i="15"/>
  <c r="D29" i="15"/>
  <c r="D51" i="15"/>
  <c r="D52" i="15"/>
  <c r="D42" i="15"/>
  <c r="D19" i="15"/>
  <c r="D18" i="15"/>
  <c r="D58" i="15"/>
  <c r="D46" i="15"/>
  <c r="D63" i="15"/>
  <c r="S67" i="15"/>
  <c r="S16" i="15"/>
  <c r="S7" i="15"/>
  <c r="S42" i="15"/>
  <c r="S52" i="15"/>
  <c r="S63" i="15"/>
  <c r="S49" i="15"/>
  <c r="S18" i="15"/>
  <c r="S19" i="15"/>
  <c r="S25" i="15"/>
  <c r="S22" i="15"/>
  <c r="G28" i="15"/>
  <c r="G38" i="15"/>
  <c r="G31" i="15"/>
  <c r="G27" i="15"/>
  <c r="G64" i="15"/>
  <c r="S26" i="15"/>
  <c r="S43" i="15" s="1"/>
  <c r="S4" i="15"/>
  <c r="S34" i="15"/>
  <c r="S37" i="15"/>
  <c r="S13" i="15"/>
  <c r="S10" i="15"/>
  <c r="H131" i="1"/>
  <c r="H127" i="1"/>
  <c r="H137" i="1"/>
  <c r="H147" i="1"/>
  <c r="H150" i="1" s="1"/>
  <c r="H152" i="1" s="1"/>
  <c r="G134" i="1"/>
  <c r="H35" i="1"/>
  <c r="H5" i="1"/>
  <c r="H52" i="1"/>
  <c r="G131" i="1"/>
  <c r="G147" i="1"/>
  <c r="G137" i="1"/>
  <c r="AA21" i="11"/>
  <c r="Z21" i="11"/>
  <c r="AB21" i="11"/>
  <c r="Y21" i="11"/>
  <c r="I79" i="2" l="1"/>
  <c r="I83" i="2"/>
  <c r="J53" i="2"/>
  <c r="J61" i="2"/>
  <c r="J60" i="2"/>
  <c r="J82" i="2"/>
  <c r="J70" i="2"/>
  <c r="J77" i="2"/>
  <c r="J73" i="2"/>
  <c r="J76" i="2"/>
  <c r="I55" i="2"/>
  <c r="P54" i="15"/>
  <c r="P55" i="15"/>
  <c r="P78" i="15"/>
  <c r="P83" i="15"/>
  <c r="P79" i="15"/>
  <c r="Q79" i="15"/>
  <c r="Q78" i="15"/>
  <c r="Q83" i="15"/>
  <c r="Q54" i="15"/>
  <c r="Q55" i="15"/>
  <c r="O54" i="15"/>
  <c r="O55" i="15"/>
  <c r="O79" i="15"/>
  <c r="O78" i="15"/>
  <c r="O83" i="15"/>
  <c r="N83" i="15"/>
  <c r="N79" i="15"/>
  <c r="N78" i="15"/>
  <c r="N54" i="15"/>
  <c r="N55" i="15"/>
  <c r="M54" i="15"/>
  <c r="M55" i="15"/>
  <c r="M83" i="15"/>
  <c r="M79" i="15"/>
  <c r="M78" i="15"/>
  <c r="L83" i="15"/>
  <c r="L79" i="15"/>
  <c r="L78" i="15"/>
  <c r="L54" i="15"/>
  <c r="L55" i="15"/>
  <c r="K79" i="15"/>
  <c r="K83" i="15"/>
  <c r="K78" i="15"/>
  <c r="K54" i="15"/>
  <c r="K55" i="15"/>
  <c r="J54" i="15"/>
  <c r="J55" i="15"/>
  <c r="J79" i="15"/>
  <c r="J78" i="15"/>
  <c r="J83" i="15"/>
  <c r="I79" i="15"/>
  <c r="I83" i="15"/>
  <c r="I78" i="15"/>
  <c r="I54" i="15"/>
  <c r="I55" i="15"/>
  <c r="H83" i="15"/>
  <c r="H79" i="15"/>
  <c r="H78" i="15"/>
  <c r="H54" i="15"/>
  <c r="H55" i="15"/>
  <c r="D43" i="15"/>
  <c r="F59" i="15"/>
  <c r="F61" i="15" s="1"/>
  <c r="D31" i="15"/>
  <c r="D30" i="15"/>
  <c r="D28" i="15"/>
  <c r="D27" i="15"/>
  <c r="D38" i="15"/>
  <c r="G39" i="15"/>
  <c r="G59" i="15"/>
  <c r="G40" i="15"/>
  <c r="S38" i="15"/>
  <c r="S27" i="15"/>
  <c r="S28" i="15"/>
  <c r="S31" i="15"/>
  <c r="S64" i="15"/>
  <c r="H153" i="1"/>
  <c r="H148" i="1"/>
  <c r="G150" i="1"/>
  <c r="H151" i="1" s="1"/>
  <c r="J118" i="1"/>
  <c r="R18" i="8"/>
  <c r="S18" i="8"/>
  <c r="Q18" i="8"/>
  <c r="P18" i="8"/>
  <c r="O18" i="8"/>
  <c r="N18" i="8"/>
  <c r="R16" i="8"/>
  <c r="S16" i="8"/>
  <c r="Q16" i="8"/>
  <c r="P16" i="8"/>
  <c r="O16" i="8"/>
  <c r="N16" i="8"/>
  <c r="R14" i="8"/>
  <c r="S14" i="8"/>
  <c r="Q14" i="8"/>
  <c r="P14" i="8"/>
  <c r="O14" i="8"/>
  <c r="N14" i="8"/>
  <c r="R12" i="8"/>
  <c r="S12" i="8"/>
  <c r="Q12" i="8"/>
  <c r="P12" i="8"/>
  <c r="O12" i="8"/>
  <c r="N12" i="8"/>
  <c r="Q4" i="11"/>
  <c r="R4" i="11"/>
  <c r="P4" i="11"/>
  <c r="O4" i="11"/>
  <c r="N4" i="11"/>
  <c r="M4" i="11"/>
  <c r="R6" i="11"/>
  <c r="Q6" i="11"/>
  <c r="P6" i="11"/>
  <c r="O6" i="11"/>
  <c r="N6" i="11"/>
  <c r="M6" i="11"/>
  <c r="F81" i="2"/>
  <c r="E81" i="2"/>
  <c r="H75" i="2"/>
  <c r="G75" i="2"/>
  <c r="F75" i="2"/>
  <c r="E75" i="2"/>
  <c r="H72" i="2"/>
  <c r="G72" i="2"/>
  <c r="F72" i="2"/>
  <c r="E72" i="2"/>
  <c r="H69" i="2"/>
  <c r="G69" i="2"/>
  <c r="F69" i="2"/>
  <c r="E69" i="2"/>
  <c r="H62" i="2"/>
  <c r="I63" i="2" s="1"/>
  <c r="G62" i="2"/>
  <c r="F62" i="2"/>
  <c r="E62" i="2"/>
  <c r="D62" i="2"/>
  <c r="H29" i="2"/>
  <c r="I30" i="2" s="1"/>
  <c r="G29" i="2"/>
  <c r="F29" i="2"/>
  <c r="E29" i="2"/>
  <c r="D29" i="2"/>
  <c r="H41" i="2"/>
  <c r="I42" i="2" s="1"/>
  <c r="G41" i="2"/>
  <c r="F41" i="2"/>
  <c r="E41" i="2"/>
  <c r="D41" i="2"/>
  <c r="E66" i="2"/>
  <c r="F66" i="2"/>
  <c r="G66" i="2"/>
  <c r="H66" i="2"/>
  <c r="H51" i="2"/>
  <c r="G51" i="2"/>
  <c r="F51" i="2"/>
  <c r="E51" i="2"/>
  <c r="H48" i="2"/>
  <c r="G48" i="2"/>
  <c r="F48" i="2"/>
  <c r="E48" i="2"/>
  <c r="H45" i="2"/>
  <c r="G45" i="2"/>
  <c r="F45" i="2"/>
  <c r="E45" i="2"/>
  <c r="H36" i="2"/>
  <c r="G36" i="2"/>
  <c r="F36" i="2"/>
  <c r="E36" i="2"/>
  <c r="H33" i="2"/>
  <c r="G33" i="2"/>
  <c r="F33" i="2"/>
  <c r="E33" i="2"/>
  <c r="H24" i="2"/>
  <c r="G24" i="2"/>
  <c r="F24" i="2"/>
  <c r="E24" i="2"/>
  <c r="H21" i="2"/>
  <c r="G21" i="2"/>
  <c r="F21" i="2"/>
  <c r="E21" i="2"/>
  <c r="H15" i="2"/>
  <c r="G15" i="2"/>
  <c r="F15" i="2"/>
  <c r="E15" i="2"/>
  <c r="H12" i="2"/>
  <c r="G12" i="2"/>
  <c r="F12" i="2"/>
  <c r="E12" i="2"/>
  <c r="H9" i="2"/>
  <c r="G9" i="2"/>
  <c r="F9" i="2"/>
  <c r="E9" i="2"/>
  <c r="D3" i="2"/>
  <c r="E6" i="2"/>
  <c r="H6" i="2"/>
  <c r="G6" i="2"/>
  <c r="F6" i="2"/>
  <c r="I5" i="5"/>
  <c r="H5" i="5"/>
  <c r="D5" i="5"/>
  <c r="C5" i="5"/>
  <c r="B5" i="5"/>
  <c r="F121" i="1"/>
  <c r="E121" i="1"/>
  <c r="D121" i="1"/>
  <c r="C121" i="1"/>
  <c r="F118" i="1"/>
  <c r="E118" i="1"/>
  <c r="D118" i="1"/>
  <c r="C118" i="1"/>
  <c r="D115" i="1"/>
  <c r="C115" i="1"/>
  <c r="F112" i="1"/>
  <c r="E112" i="1"/>
  <c r="D112" i="1"/>
  <c r="C112" i="1"/>
  <c r="D109" i="1"/>
  <c r="C109" i="1"/>
  <c r="I102" i="1"/>
  <c r="D102" i="1"/>
  <c r="B102" i="1"/>
  <c r="C102" i="1"/>
  <c r="C113" i="1" s="1"/>
  <c r="C90" i="1"/>
  <c r="B90" i="1"/>
  <c r="F106" i="1"/>
  <c r="E106" i="1"/>
  <c r="D106" i="1"/>
  <c r="C106" i="1"/>
  <c r="F100" i="1"/>
  <c r="E100" i="1"/>
  <c r="D100" i="1"/>
  <c r="C100" i="1"/>
  <c r="E94" i="1"/>
  <c r="D94" i="1"/>
  <c r="C94" i="1"/>
  <c r="I90" i="1"/>
  <c r="E90" i="1"/>
  <c r="D90" i="1"/>
  <c r="F97" i="1"/>
  <c r="E97" i="1"/>
  <c r="D97" i="1"/>
  <c r="C97" i="1"/>
  <c r="F79" i="1"/>
  <c r="E79" i="1"/>
  <c r="D79" i="1"/>
  <c r="C79" i="1"/>
  <c r="D76" i="1"/>
  <c r="C76" i="1"/>
  <c r="F88" i="1"/>
  <c r="E88" i="1"/>
  <c r="D88" i="1"/>
  <c r="C88" i="1"/>
  <c r="J64" i="1"/>
  <c r="F64" i="1"/>
  <c r="E64" i="1"/>
  <c r="D64" i="1"/>
  <c r="C64" i="1"/>
  <c r="E70" i="1"/>
  <c r="D70" i="1"/>
  <c r="C70" i="1"/>
  <c r="F61" i="1"/>
  <c r="E61" i="1"/>
  <c r="D61" i="1"/>
  <c r="C61" i="1"/>
  <c r="F82" i="1"/>
  <c r="E82" i="1"/>
  <c r="D82" i="1"/>
  <c r="C82" i="1"/>
  <c r="F73" i="1"/>
  <c r="E73" i="1"/>
  <c r="D73" i="1"/>
  <c r="C73" i="1"/>
  <c r="E58" i="1"/>
  <c r="F49" i="1"/>
  <c r="E49" i="1"/>
  <c r="D49" i="1"/>
  <c r="C49" i="1"/>
  <c r="F46" i="1"/>
  <c r="E46" i="1"/>
  <c r="D46" i="1"/>
  <c r="C46" i="1"/>
  <c r="F43" i="1"/>
  <c r="E43" i="1"/>
  <c r="D43" i="1"/>
  <c r="C43" i="1"/>
  <c r="F40" i="1"/>
  <c r="E40" i="1"/>
  <c r="D40" i="1"/>
  <c r="C40" i="1"/>
  <c r="D37" i="1"/>
  <c r="C37" i="1"/>
  <c r="D31" i="1"/>
  <c r="C31" i="1"/>
  <c r="D28" i="1"/>
  <c r="C28" i="1"/>
  <c r="F25" i="1"/>
  <c r="D22" i="1"/>
  <c r="C22" i="1"/>
  <c r="F19" i="1"/>
  <c r="E19" i="1"/>
  <c r="D19" i="1"/>
  <c r="C19" i="1"/>
  <c r="D16" i="1"/>
  <c r="C16" i="1"/>
  <c r="F13" i="1"/>
  <c r="E13" i="1"/>
  <c r="D13" i="1"/>
  <c r="C13" i="1"/>
  <c r="F10" i="1"/>
  <c r="E10" i="1"/>
  <c r="D10" i="1"/>
  <c r="C10" i="1"/>
  <c r="E16" i="1"/>
  <c r="D7" i="1"/>
  <c r="C7" i="1"/>
  <c r="E108" i="1"/>
  <c r="F108" i="1"/>
  <c r="G109" i="1" s="1"/>
  <c r="E114" i="1"/>
  <c r="E115" i="1" s="1"/>
  <c r="F114" i="1"/>
  <c r="G115" i="1" s="1"/>
  <c r="Q3" i="1"/>
  <c r="C9" i="12"/>
  <c r="D9" i="12"/>
  <c r="E9" i="12"/>
  <c r="B9" i="12"/>
  <c r="J55" i="2" l="1"/>
  <c r="J54" i="2"/>
  <c r="I85" i="2"/>
  <c r="J79" i="2"/>
  <c r="J78" i="2"/>
  <c r="J83" i="2"/>
  <c r="F76" i="15"/>
  <c r="F73" i="15"/>
  <c r="F70" i="15"/>
  <c r="F82" i="15"/>
  <c r="F77" i="15"/>
  <c r="F83" i="15" s="1"/>
  <c r="F85" i="15" s="1"/>
  <c r="F53" i="15"/>
  <c r="F55" i="15" s="1"/>
  <c r="P85" i="15"/>
  <c r="P84" i="15"/>
  <c r="Q85" i="15"/>
  <c r="Q84" i="15"/>
  <c r="O85" i="15"/>
  <c r="O84" i="15"/>
  <c r="N85" i="15"/>
  <c r="N84" i="15"/>
  <c r="M85" i="15"/>
  <c r="M84" i="15"/>
  <c r="L85" i="15"/>
  <c r="L84" i="15"/>
  <c r="K85" i="15"/>
  <c r="K84" i="15"/>
  <c r="J85" i="15"/>
  <c r="J84" i="15"/>
  <c r="I85" i="15"/>
  <c r="I84" i="15"/>
  <c r="H85" i="15"/>
  <c r="H84" i="15"/>
  <c r="D40" i="15"/>
  <c r="D39" i="15"/>
  <c r="D59" i="15"/>
  <c r="G76" i="15"/>
  <c r="G82" i="15"/>
  <c r="G77" i="15"/>
  <c r="G61" i="15"/>
  <c r="G53" i="15"/>
  <c r="G60" i="15"/>
  <c r="G70" i="15"/>
  <c r="G73" i="15"/>
  <c r="S59" i="15"/>
  <c r="S39" i="15"/>
  <c r="S40" i="15"/>
  <c r="B68" i="1"/>
  <c r="B86" i="1"/>
  <c r="B98" i="1"/>
  <c r="G152" i="1"/>
  <c r="G153" i="1"/>
  <c r="W15" i="11"/>
  <c r="F46" i="2"/>
  <c r="F49" i="2"/>
  <c r="F52" i="2"/>
  <c r="G46" i="2"/>
  <c r="G49" i="2"/>
  <c r="G52" i="2"/>
  <c r="D52" i="2"/>
  <c r="D49" i="2"/>
  <c r="D46" i="2"/>
  <c r="E46" i="2"/>
  <c r="E52" i="2"/>
  <c r="E49" i="2"/>
  <c r="G9" i="12"/>
  <c r="H46" i="2"/>
  <c r="H52" i="2"/>
  <c r="H49" i="2"/>
  <c r="D7" i="2"/>
  <c r="V10" i="11"/>
  <c r="V5" i="11"/>
  <c r="W5" i="11"/>
  <c r="W10" i="11"/>
  <c r="B119" i="1"/>
  <c r="J115" i="1"/>
  <c r="H16" i="11"/>
  <c r="G3" i="9"/>
  <c r="F63" i="2"/>
  <c r="H63" i="2"/>
  <c r="G63" i="2"/>
  <c r="E63" i="2"/>
  <c r="D16" i="2"/>
  <c r="D13" i="2"/>
  <c r="D10" i="2"/>
  <c r="C122" i="1"/>
  <c r="B122" i="1"/>
  <c r="B116" i="1"/>
  <c r="C110" i="1"/>
  <c r="C119" i="1"/>
  <c r="C116" i="1"/>
  <c r="F115" i="1"/>
  <c r="F102" i="1"/>
  <c r="B113" i="1"/>
  <c r="B101" i="1"/>
  <c r="J109" i="1"/>
  <c r="E102" i="1"/>
  <c r="B110" i="1"/>
  <c r="E109" i="1"/>
  <c r="F109" i="1"/>
  <c r="B107" i="1"/>
  <c r="B95" i="1"/>
  <c r="B80" i="1"/>
  <c r="B77" i="1"/>
  <c r="B65" i="1"/>
  <c r="B89" i="1"/>
  <c r="B62" i="1"/>
  <c r="B71" i="1"/>
  <c r="B83" i="1"/>
  <c r="B74" i="1"/>
  <c r="B59" i="1"/>
  <c r="F16" i="1"/>
  <c r="H120" i="1" l="1"/>
  <c r="J84" i="2"/>
  <c r="J85" i="2"/>
  <c r="F79" i="15"/>
  <c r="D53" i="15"/>
  <c r="D60" i="15"/>
  <c r="D77" i="15"/>
  <c r="D61" i="15"/>
  <c r="D70" i="15"/>
  <c r="D73" i="15"/>
  <c r="D76" i="15"/>
  <c r="D82" i="15"/>
  <c r="G54" i="15"/>
  <c r="G55" i="15"/>
  <c r="S60" i="15"/>
  <c r="S77" i="15"/>
  <c r="S61" i="15"/>
  <c r="S53" i="15"/>
  <c r="S70" i="15"/>
  <c r="S82" i="15"/>
  <c r="S73" i="15"/>
  <c r="S76" i="15"/>
  <c r="G83" i="15"/>
  <c r="G79" i="15"/>
  <c r="G78" i="15"/>
  <c r="V7" i="11"/>
  <c r="AI5" i="11"/>
  <c r="V12" i="11"/>
  <c r="AI10" i="11"/>
  <c r="W17" i="11"/>
  <c r="AI15" i="11"/>
  <c r="AJ15" i="11" s="1"/>
  <c r="V29" i="11"/>
  <c r="W16" i="11"/>
  <c r="X16" i="11"/>
  <c r="V20" i="11"/>
  <c r="H7" i="11"/>
  <c r="H18" i="11" s="1"/>
  <c r="W12" i="11"/>
  <c r="W11" i="11"/>
  <c r="X11" i="11"/>
  <c r="X6" i="11"/>
  <c r="W6" i="11"/>
  <c r="W20" i="11"/>
  <c r="W7" i="11"/>
  <c r="J120" i="1" l="1"/>
  <c r="H102" i="1"/>
  <c r="H123" i="1" s="1"/>
  <c r="H122" i="1"/>
  <c r="D54" i="15"/>
  <c r="D55" i="15"/>
  <c r="D79" i="15"/>
  <c r="D83" i="15"/>
  <c r="D78" i="15"/>
  <c r="D87" i="15"/>
  <c r="S78" i="15"/>
  <c r="S83" i="15"/>
  <c r="S79" i="15"/>
  <c r="S54" i="15"/>
  <c r="S55" i="15"/>
  <c r="G85" i="15"/>
  <c r="G84" i="15"/>
  <c r="AE28" i="11"/>
  <c r="AE29" i="11" s="1"/>
  <c r="V31" i="11"/>
  <c r="V30" i="11"/>
  <c r="AJ10" i="11"/>
  <c r="AL10" i="11"/>
  <c r="AL6" i="11"/>
  <c r="AJ5" i="11"/>
  <c r="V22" i="11"/>
  <c r="AI20" i="11"/>
  <c r="H10" i="11"/>
  <c r="H13" i="11"/>
  <c r="W21" i="11"/>
  <c r="W22" i="11"/>
  <c r="X21" i="11"/>
  <c r="H104" i="1" l="1"/>
  <c r="H56" i="1"/>
  <c r="H92" i="1"/>
  <c r="H125" i="1"/>
  <c r="H124" i="1"/>
  <c r="D85" i="15"/>
  <c r="D84" i="15"/>
  <c r="S84" i="15"/>
  <c r="S85" i="15"/>
  <c r="AK10" i="11"/>
  <c r="AK11" i="11" s="1"/>
  <c r="AL11" i="11"/>
  <c r="AJ20" i="11"/>
  <c r="AI22" i="11"/>
  <c r="AL7" i="11"/>
  <c r="AL5" i="11"/>
  <c r="H5" i="11"/>
  <c r="H9" i="11" s="1"/>
  <c r="AJ21" i="11" l="1"/>
  <c r="AI23" i="11"/>
  <c r="H15" i="11"/>
  <c r="H12" i="11"/>
  <c r="R11" i="9" l="1"/>
  <c r="S11" i="9"/>
  <c r="Q11" i="9"/>
  <c r="P11" i="9"/>
  <c r="O11" i="9"/>
  <c r="N11" i="9"/>
  <c r="M11" i="9"/>
  <c r="R9" i="9"/>
  <c r="S9" i="9"/>
  <c r="Q9" i="9"/>
  <c r="P9" i="9"/>
  <c r="O9" i="9"/>
  <c r="N9" i="9"/>
  <c r="M9" i="9"/>
  <c r="O3" i="1"/>
  <c r="N3" i="1"/>
  <c r="M3" i="1"/>
  <c r="R2" i="7"/>
  <c r="Q2" i="7"/>
  <c r="P2" i="7"/>
  <c r="O2" i="7"/>
  <c r="N2" i="7"/>
  <c r="M2" i="8"/>
  <c r="N2" i="8"/>
  <c r="O2" i="8"/>
  <c r="P2" i="8"/>
  <c r="Q2" i="8"/>
  <c r="S2" i="8"/>
  <c r="R2" i="8"/>
  <c r="B3" i="6"/>
  <c r="G7" i="11"/>
  <c r="G10" i="11"/>
  <c r="G13" i="11"/>
  <c r="G16" i="11"/>
  <c r="F13" i="11"/>
  <c r="H14" i="11" s="1"/>
  <c r="E13" i="11"/>
  <c r="D13" i="11"/>
  <c r="F10" i="11"/>
  <c r="H11" i="11" s="1"/>
  <c r="D7" i="11"/>
  <c r="C10" i="11"/>
  <c r="D10" i="11"/>
  <c r="E10" i="11"/>
  <c r="C13" i="11"/>
  <c r="C16" i="11"/>
  <c r="D16" i="11"/>
  <c r="E16" i="11"/>
  <c r="F16" i="11"/>
  <c r="H17" i="11" s="1"/>
  <c r="F7" i="11"/>
  <c r="H8" i="11" s="1"/>
  <c r="E7" i="11"/>
  <c r="C7" i="11"/>
  <c r="M7" i="11"/>
  <c r="N7" i="11"/>
  <c r="O7" i="11"/>
  <c r="P7" i="11"/>
  <c r="Q7" i="11"/>
  <c r="L7" i="11"/>
  <c r="L10" i="11" s="1"/>
  <c r="L13" i="11" s="1"/>
  <c r="L16" i="11" s="1"/>
  <c r="J111" i="1"/>
  <c r="F6" i="1"/>
  <c r="E6" i="1"/>
  <c r="H3" i="2"/>
  <c r="I4" i="2" s="1"/>
  <c r="G3" i="2"/>
  <c r="F3" i="2"/>
  <c r="E3" i="2"/>
  <c r="H17" i="2"/>
  <c r="I18" i="2" s="1"/>
  <c r="G17" i="2"/>
  <c r="F17" i="2"/>
  <c r="E17" i="2"/>
  <c r="D17" i="2"/>
  <c r="G5" i="11" l="1"/>
  <c r="G7" i="1"/>
  <c r="E5" i="5"/>
  <c r="F5" i="5"/>
  <c r="F58" i="2"/>
  <c r="F19" i="2"/>
  <c r="F25" i="2"/>
  <c r="F22" i="2"/>
  <c r="G58" i="2"/>
  <c r="G19" i="2"/>
  <c r="G22" i="2"/>
  <c r="G25" i="2"/>
  <c r="D22" i="2"/>
  <c r="D19" i="2"/>
  <c r="D25" i="2"/>
  <c r="E22" i="2"/>
  <c r="E58" i="2"/>
  <c r="E19" i="2"/>
  <c r="E25" i="2"/>
  <c r="H22" i="2"/>
  <c r="H25" i="2"/>
  <c r="H58" i="2"/>
  <c r="H19" i="2"/>
  <c r="E67" i="2"/>
  <c r="F67" i="2"/>
  <c r="G67" i="2"/>
  <c r="H67" i="2"/>
  <c r="P10" i="11"/>
  <c r="R8" i="11"/>
  <c r="P8" i="11"/>
  <c r="O10" i="11"/>
  <c r="O8" i="11"/>
  <c r="N10" i="11"/>
  <c r="N8" i="11"/>
  <c r="Q10" i="11"/>
  <c r="Q8" i="11"/>
  <c r="M10" i="11"/>
  <c r="M8" i="11"/>
  <c r="G42" i="2"/>
  <c r="F42" i="2"/>
  <c r="H42" i="2"/>
  <c r="D37" i="2"/>
  <c r="E34" i="2"/>
  <c r="E37" i="2"/>
  <c r="F34" i="2"/>
  <c r="F37" i="2"/>
  <c r="G34" i="2"/>
  <c r="G37" i="2"/>
  <c r="H34" i="2"/>
  <c r="H37" i="2"/>
  <c r="H30" i="2"/>
  <c r="F30" i="2"/>
  <c r="E18" i="11"/>
  <c r="E18" i="2"/>
  <c r="F18" i="2"/>
  <c r="G18" i="2"/>
  <c r="H18" i="2"/>
  <c r="E13" i="2"/>
  <c r="E16" i="2"/>
  <c r="H13" i="2"/>
  <c r="H16" i="2"/>
  <c r="F13" i="2"/>
  <c r="F16" i="2"/>
  <c r="G13" i="2"/>
  <c r="G16" i="2"/>
  <c r="G10" i="2"/>
  <c r="H10" i="2"/>
  <c r="E10" i="2"/>
  <c r="E4" i="2"/>
  <c r="F10" i="2"/>
  <c r="E7" i="2"/>
  <c r="C18" i="11"/>
  <c r="F7" i="2"/>
  <c r="G7" i="2"/>
  <c r="H7" i="2"/>
  <c r="F18" i="11"/>
  <c r="D18" i="11"/>
  <c r="H4" i="2"/>
  <c r="G18" i="11"/>
  <c r="F4" i="2"/>
  <c r="G4" i="2"/>
  <c r="J112" i="1"/>
  <c r="E7" i="1"/>
  <c r="F7" i="1"/>
  <c r="D5" i="11"/>
  <c r="D9" i="11" s="1"/>
  <c r="G9" i="11"/>
  <c r="C5" i="11"/>
  <c r="C9" i="11" s="1"/>
  <c r="E5" i="11"/>
  <c r="E15" i="11" s="1"/>
  <c r="F5" i="11"/>
  <c r="H6" i="11" s="1"/>
  <c r="B9" i="6"/>
  <c r="E26" i="2"/>
  <c r="F26" i="2"/>
  <c r="H26" i="2"/>
  <c r="I27" i="2" s="1"/>
  <c r="D26" i="2"/>
  <c r="G26" i="2"/>
  <c r="C20" i="2"/>
  <c r="C23" i="2"/>
  <c r="C26" i="2" l="1"/>
  <c r="F43" i="2"/>
  <c r="F64" i="2"/>
  <c r="F31" i="2"/>
  <c r="G31" i="2"/>
  <c r="G43" i="2"/>
  <c r="G64" i="2"/>
  <c r="E31" i="2"/>
  <c r="E64" i="2"/>
  <c r="E43" i="2"/>
  <c r="C56" i="2"/>
  <c r="D64" i="2"/>
  <c r="D43" i="2"/>
  <c r="D31" i="2"/>
  <c r="H31" i="2"/>
  <c r="H43" i="2"/>
  <c r="H64" i="2"/>
  <c r="Q13" i="11"/>
  <c r="Q11" i="11"/>
  <c r="N13" i="11"/>
  <c r="N11" i="11"/>
  <c r="O13" i="11"/>
  <c r="O11" i="11"/>
  <c r="M13" i="11"/>
  <c r="M11" i="11"/>
  <c r="P13" i="11"/>
  <c r="R11" i="11"/>
  <c r="P11" i="11"/>
  <c r="C71" i="2"/>
  <c r="C74" i="2"/>
  <c r="C47" i="2"/>
  <c r="C65" i="2"/>
  <c r="C32" i="2"/>
  <c r="C50" i="2"/>
  <c r="C35" i="2"/>
  <c r="C44" i="2"/>
  <c r="D28" i="2"/>
  <c r="C62" i="2"/>
  <c r="G30" i="2"/>
  <c r="G27" i="2"/>
  <c r="G28" i="2"/>
  <c r="H28" i="2"/>
  <c r="H27" i="2"/>
  <c r="F27" i="2"/>
  <c r="F28" i="2"/>
  <c r="E28" i="2"/>
  <c r="E27" i="2"/>
  <c r="D15" i="11"/>
  <c r="F6" i="11"/>
  <c r="G12" i="11"/>
  <c r="E9" i="11"/>
  <c r="G15" i="11"/>
  <c r="C12" i="11"/>
  <c r="C15" i="11"/>
  <c r="E12" i="11"/>
  <c r="D12" i="11"/>
  <c r="F12" i="11"/>
  <c r="F15" i="11"/>
  <c r="F9" i="11"/>
  <c r="E6" i="11"/>
  <c r="D6" i="11"/>
  <c r="G6" i="11"/>
  <c r="E38" i="2"/>
  <c r="G38" i="2"/>
  <c r="C68" i="2"/>
  <c r="H38" i="2"/>
  <c r="I39" i="2" s="1"/>
  <c r="F38" i="2"/>
  <c r="M16" i="11" l="1"/>
  <c r="M17" i="11" s="1"/>
  <c r="M14" i="11"/>
  <c r="N16" i="11"/>
  <c r="N17" i="11" s="1"/>
  <c r="N14" i="11"/>
  <c r="O16" i="11"/>
  <c r="O17" i="11" s="1"/>
  <c r="O14" i="11"/>
  <c r="P16" i="11"/>
  <c r="R14" i="11"/>
  <c r="P14" i="11"/>
  <c r="Q16" i="11"/>
  <c r="Q14" i="11"/>
  <c r="H59" i="2"/>
  <c r="H40" i="2"/>
  <c r="F3" i="8" s="1"/>
  <c r="H39" i="2"/>
  <c r="G59" i="2"/>
  <c r="G53" i="2" s="1"/>
  <c r="G39" i="2"/>
  <c r="G40" i="2"/>
  <c r="E3" i="8" s="1"/>
  <c r="E59" i="2"/>
  <c r="E53" i="2" s="1"/>
  <c r="E40" i="2"/>
  <c r="C3" i="8" s="1"/>
  <c r="F59" i="2"/>
  <c r="F53" i="2" s="1"/>
  <c r="F39" i="2"/>
  <c r="F40" i="2"/>
  <c r="D3" i="8" s="1"/>
  <c r="I6" i="5"/>
  <c r="H53" i="2" l="1"/>
  <c r="I54" i="2" s="1"/>
  <c r="I60" i="2"/>
  <c r="E3" i="12"/>
  <c r="E5" i="12"/>
  <c r="F5" i="12"/>
  <c r="F3" i="12"/>
  <c r="C3" i="12"/>
  <c r="C5" i="12"/>
  <c r="D3" i="12"/>
  <c r="D5" i="12"/>
  <c r="R17" i="11"/>
  <c r="P17" i="11"/>
  <c r="Q17" i="11"/>
  <c r="E82" i="2"/>
  <c r="F82" i="2"/>
  <c r="E76" i="2"/>
  <c r="E77" i="2"/>
  <c r="E87" i="2" s="1"/>
  <c r="G76" i="2"/>
  <c r="G77" i="2"/>
  <c r="G87" i="2" s="1"/>
  <c r="F76" i="2"/>
  <c r="F77" i="2"/>
  <c r="F87" i="2" s="1"/>
  <c r="H76" i="2"/>
  <c r="H77" i="2"/>
  <c r="I78" i="2" s="1"/>
  <c r="E73" i="2"/>
  <c r="E70" i="2"/>
  <c r="G70" i="2"/>
  <c r="G73" i="2"/>
  <c r="F70" i="2"/>
  <c r="F73" i="2"/>
  <c r="H70" i="2"/>
  <c r="H73" i="2"/>
  <c r="E61" i="2"/>
  <c r="G60" i="2"/>
  <c r="G61" i="2"/>
  <c r="F60" i="2"/>
  <c r="F61" i="2"/>
  <c r="H60" i="2"/>
  <c r="H61" i="2"/>
  <c r="F11" i="11"/>
  <c r="B7" i="11"/>
  <c r="B10" i="11"/>
  <c r="B13" i="11"/>
  <c r="B16" i="11"/>
  <c r="B132" i="1"/>
  <c r="R2" i="11"/>
  <c r="Q2" i="11"/>
  <c r="P2" i="11"/>
  <c r="O2" i="11"/>
  <c r="N2" i="11"/>
  <c r="M2" i="11"/>
  <c r="L2" i="11"/>
  <c r="B7" i="7"/>
  <c r="S2" i="9"/>
  <c r="R2" i="9"/>
  <c r="Q2" i="9"/>
  <c r="P2" i="9"/>
  <c r="O2" i="9"/>
  <c r="N2" i="9"/>
  <c r="M2" i="9"/>
  <c r="D3" i="9"/>
  <c r="C3" i="9"/>
  <c r="B3" i="9"/>
  <c r="M2" i="7"/>
  <c r="R2" i="6"/>
  <c r="Q2" i="6"/>
  <c r="P2" i="6"/>
  <c r="O2" i="6"/>
  <c r="N2" i="6"/>
  <c r="M2" i="6"/>
  <c r="I144" i="1"/>
  <c r="I141" i="1"/>
  <c r="I135" i="1"/>
  <c r="H11" i="5"/>
  <c r="H87" i="2" l="1"/>
  <c r="G78" i="2"/>
  <c r="G79" i="2"/>
  <c r="H78" i="2"/>
  <c r="H79" i="2"/>
  <c r="E79" i="2"/>
  <c r="F78" i="2"/>
  <c r="F79" i="2"/>
  <c r="E55" i="2"/>
  <c r="C5" i="8" s="1"/>
  <c r="H54" i="2"/>
  <c r="H55" i="2"/>
  <c r="F5" i="8" s="1"/>
  <c r="F54" i="2"/>
  <c r="F55" i="2"/>
  <c r="D5" i="8" s="1"/>
  <c r="G54" i="2"/>
  <c r="G55" i="2"/>
  <c r="E5" i="8" s="1"/>
  <c r="H3" i="5"/>
  <c r="B18" i="11"/>
  <c r="J106" i="1"/>
  <c r="J100" i="1"/>
  <c r="J90" i="1"/>
  <c r="J97" i="1"/>
  <c r="J79" i="1"/>
  <c r="J88" i="1"/>
  <c r="J61" i="1"/>
  <c r="J82" i="1"/>
  <c r="B5" i="11"/>
  <c r="C6" i="11" s="1"/>
  <c r="F14" i="11"/>
  <c r="D14" i="11"/>
  <c r="E8" i="11"/>
  <c r="E14" i="11"/>
  <c r="G14" i="11"/>
  <c r="G17" i="11"/>
  <c r="D11" i="11"/>
  <c r="G8" i="11"/>
  <c r="E11" i="11"/>
  <c r="G11" i="11"/>
  <c r="D8" i="11"/>
  <c r="C8" i="11"/>
  <c r="F8" i="11"/>
  <c r="I138" i="1"/>
  <c r="H22" i="5"/>
  <c r="H16" i="5"/>
  <c r="H3" i="9"/>
  <c r="I16" i="5"/>
  <c r="D4" i="9"/>
  <c r="C4" i="9"/>
  <c r="I51" i="1"/>
  <c r="I123" i="1"/>
  <c r="I132" i="1"/>
  <c r="I126" i="1" s="1"/>
  <c r="J54" i="1" l="1"/>
  <c r="H14" i="5"/>
  <c r="G19" i="9"/>
  <c r="B15" i="11"/>
  <c r="B12" i="11"/>
  <c r="J76" i="1"/>
  <c r="J73" i="1"/>
  <c r="G9" i="6"/>
  <c r="J34" i="1"/>
  <c r="J132" i="1"/>
  <c r="B9" i="11"/>
  <c r="G16" i="5"/>
  <c r="J144" i="1"/>
  <c r="J135" i="1"/>
  <c r="I124" i="1"/>
  <c r="G3" i="11"/>
  <c r="J141" i="1"/>
  <c r="G5" i="7"/>
  <c r="J68" i="1" l="1"/>
  <c r="J86" i="1"/>
  <c r="H9" i="9"/>
  <c r="H3" i="11"/>
  <c r="G3" i="8"/>
  <c r="J116" i="1"/>
  <c r="J119" i="1"/>
  <c r="J110" i="1"/>
  <c r="J113" i="1"/>
  <c r="J101" i="1"/>
  <c r="J107" i="1"/>
  <c r="J98" i="1"/>
  <c r="J95" i="1"/>
  <c r="J89" i="1"/>
  <c r="J80" i="1"/>
  <c r="J77" i="1"/>
  <c r="J62" i="1"/>
  <c r="J65" i="1"/>
  <c r="J71" i="1"/>
  <c r="J83" i="1"/>
  <c r="J74" i="1"/>
  <c r="J59" i="1"/>
  <c r="G9" i="9"/>
  <c r="J126" i="1"/>
  <c r="J138" i="1"/>
  <c r="G3" i="12" l="1"/>
  <c r="G5" i="12"/>
  <c r="G140" i="1"/>
  <c r="G128" i="1"/>
  <c r="G149" i="1"/>
  <c r="G13" i="7"/>
  <c r="J146" i="1"/>
  <c r="J137" i="1"/>
  <c r="J143" i="1"/>
  <c r="J131" i="1"/>
  <c r="J134" i="1"/>
  <c r="F69" i="1"/>
  <c r="F93" i="1"/>
  <c r="G94" i="1" s="1"/>
  <c r="F27" i="1"/>
  <c r="G28" i="1" s="1"/>
  <c r="H140" i="1" l="1"/>
  <c r="H128" i="1"/>
  <c r="H149" i="1"/>
  <c r="G70" i="1"/>
  <c r="F54" i="1"/>
  <c r="H7" i="9"/>
  <c r="G5" i="8"/>
  <c r="B2" i="13"/>
  <c r="B5" i="13" s="1"/>
  <c r="B6" i="13" s="1"/>
  <c r="B7" i="13" s="1"/>
  <c r="B10" i="13" s="1"/>
  <c r="F90" i="1"/>
  <c r="G91" i="1" s="1"/>
  <c r="F94" i="1"/>
  <c r="J94" i="1"/>
  <c r="F70" i="1"/>
  <c r="J70" i="1"/>
  <c r="F58" i="1"/>
  <c r="J58" i="1"/>
  <c r="F3" i="9"/>
  <c r="H4" i="9" s="1"/>
  <c r="G130" i="1"/>
  <c r="F132" i="1"/>
  <c r="G133" i="1" s="1"/>
  <c r="G120" i="1" l="1"/>
  <c r="G10" i="12"/>
  <c r="F68" i="1"/>
  <c r="F86" i="1"/>
  <c r="G55" i="1"/>
  <c r="J133" i="1"/>
  <c r="G7" i="8"/>
  <c r="G4" i="12" s="1"/>
  <c r="H11" i="9"/>
  <c r="B9" i="13"/>
  <c r="B11" i="13" s="1"/>
  <c r="J128" i="1"/>
  <c r="F119" i="1"/>
  <c r="F122" i="1"/>
  <c r="F113" i="1"/>
  <c r="F116" i="1"/>
  <c r="F107" i="1"/>
  <c r="F110" i="1"/>
  <c r="F98" i="1"/>
  <c r="F101" i="1"/>
  <c r="F95" i="1"/>
  <c r="F80" i="1"/>
  <c r="F89" i="1"/>
  <c r="F77" i="1"/>
  <c r="F71" i="1"/>
  <c r="F65" i="1"/>
  <c r="F83" i="1"/>
  <c r="F62" i="1"/>
  <c r="F74" i="1"/>
  <c r="F59" i="1"/>
  <c r="J130" i="1"/>
  <c r="G4" i="9"/>
  <c r="G13" i="8"/>
  <c r="G11" i="9"/>
  <c r="G121" i="1" l="1"/>
  <c r="G102" i="1"/>
  <c r="G7" i="7" s="1"/>
  <c r="H121" i="1"/>
  <c r="G122" i="1"/>
  <c r="H13" i="9"/>
  <c r="G13" i="9"/>
  <c r="B16" i="5"/>
  <c r="F144" i="1"/>
  <c r="E144" i="1"/>
  <c r="D144" i="1"/>
  <c r="C144" i="1"/>
  <c r="F141" i="1"/>
  <c r="G142" i="1" s="1"/>
  <c r="E141" i="1"/>
  <c r="D141" i="1"/>
  <c r="C141" i="1"/>
  <c r="F135" i="1"/>
  <c r="G136" i="1" s="1"/>
  <c r="E135" i="1"/>
  <c r="D135" i="1"/>
  <c r="C135" i="1"/>
  <c r="B135" i="1"/>
  <c r="B144" i="1"/>
  <c r="B141" i="1"/>
  <c r="G3" i="7" l="1"/>
  <c r="I22" i="5"/>
  <c r="I14" i="5" s="1"/>
  <c r="G123" i="1"/>
  <c r="H103" i="1"/>
  <c r="G104" i="1"/>
  <c r="G103" i="1"/>
  <c r="G11" i="8"/>
  <c r="J145" i="1"/>
  <c r="G145" i="1"/>
  <c r="C136" i="1"/>
  <c r="J142" i="1"/>
  <c r="F13" i="7"/>
  <c r="G14" i="7" s="1"/>
  <c r="F136" i="1"/>
  <c r="J136" i="1"/>
  <c r="D136" i="1"/>
  <c r="E136" i="1"/>
  <c r="I20" i="5"/>
  <c r="G20" i="5"/>
  <c r="D58" i="1"/>
  <c r="C58" i="1"/>
  <c r="C145" i="1"/>
  <c r="D145" i="1"/>
  <c r="E145" i="1"/>
  <c r="F145" i="1"/>
  <c r="C142" i="1"/>
  <c r="D142" i="1"/>
  <c r="E142" i="1"/>
  <c r="F142" i="1"/>
  <c r="F126" i="1"/>
  <c r="G127" i="1" s="1"/>
  <c r="B126" i="1"/>
  <c r="E138" i="1"/>
  <c r="E146" i="1" s="1"/>
  <c r="F138" i="1"/>
  <c r="G139" i="1" s="1"/>
  <c r="C138" i="1"/>
  <c r="B138" i="1"/>
  <c r="D138" i="1"/>
  <c r="D146" i="1" s="1"/>
  <c r="D24" i="1"/>
  <c r="D3" i="1" s="1"/>
  <c r="G92" i="1" l="1"/>
  <c r="G125" i="1"/>
  <c r="G56" i="1"/>
  <c r="G124" i="1"/>
  <c r="C146" i="1"/>
  <c r="C139" i="1"/>
  <c r="F146" i="1"/>
  <c r="F139" i="1"/>
  <c r="J139" i="1"/>
  <c r="J127" i="1"/>
  <c r="E25" i="1"/>
  <c r="B137" i="1"/>
  <c r="F128" i="1"/>
  <c r="B146" i="1"/>
  <c r="B143" i="1"/>
  <c r="E139" i="1"/>
  <c r="F143" i="1"/>
  <c r="C143" i="1"/>
  <c r="E143" i="1"/>
  <c r="D139" i="1"/>
  <c r="D143" i="1"/>
  <c r="F134" i="1"/>
  <c r="F131" i="1"/>
  <c r="B131" i="1"/>
  <c r="B134" i="1"/>
  <c r="F137" i="1"/>
  <c r="C8" i="9"/>
  <c r="D8" i="9"/>
  <c r="H80" i="2"/>
  <c r="I81" i="2" s="1"/>
  <c r="G80" i="2"/>
  <c r="B22" i="5"/>
  <c r="E75" i="1"/>
  <c r="E54" i="1" s="1"/>
  <c r="D54" i="1"/>
  <c r="F36" i="1"/>
  <c r="F33" i="1" s="1"/>
  <c r="E36" i="1"/>
  <c r="E33" i="1" s="1"/>
  <c r="E27" i="1"/>
  <c r="C24" i="1"/>
  <c r="C3" i="1" s="1"/>
  <c r="F21" i="1"/>
  <c r="E21" i="1"/>
  <c r="D68" i="1" l="1"/>
  <c r="D86" i="1"/>
  <c r="E68" i="1"/>
  <c r="E86" i="1"/>
  <c r="J7" i="1"/>
  <c r="J3" i="1"/>
  <c r="J4" i="1" s="1"/>
  <c r="E3" i="1"/>
  <c r="E32" i="1" s="1"/>
  <c r="G22" i="1"/>
  <c r="F3" i="1"/>
  <c r="G11" i="12"/>
  <c r="J102" i="1"/>
  <c r="J121" i="1"/>
  <c r="J122" i="1"/>
  <c r="H82" i="2"/>
  <c r="H81" i="2"/>
  <c r="G82" i="2"/>
  <c r="G81" i="2"/>
  <c r="B14" i="5"/>
  <c r="B21" i="5" s="1"/>
  <c r="D91" i="1"/>
  <c r="J91" i="1"/>
  <c r="C91" i="1"/>
  <c r="F130" i="1"/>
  <c r="F76" i="1"/>
  <c r="E76" i="1"/>
  <c r="C130" i="1"/>
  <c r="E37" i="1"/>
  <c r="F37" i="1"/>
  <c r="E3" i="9"/>
  <c r="F4" i="9" s="1"/>
  <c r="E28" i="1"/>
  <c r="F28" i="1"/>
  <c r="C25" i="1"/>
  <c r="D25" i="1"/>
  <c r="F22" i="1"/>
  <c r="E22" i="1"/>
  <c r="C132" i="1"/>
  <c r="D132" i="1"/>
  <c r="E132" i="1"/>
  <c r="E7" i="7"/>
  <c r="F7" i="7"/>
  <c r="H8" i="9"/>
  <c r="B3" i="7"/>
  <c r="B5" i="7"/>
  <c r="C16" i="5"/>
  <c r="F22" i="5"/>
  <c r="D16" i="5"/>
  <c r="F16" i="5"/>
  <c r="E16" i="5"/>
  <c r="B123" i="1"/>
  <c r="B104" i="1" s="1"/>
  <c r="F3" i="11"/>
  <c r="H4" i="11" l="1"/>
  <c r="T27" i="11"/>
  <c r="T28" i="11" s="1"/>
  <c r="C68" i="1"/>
  <c r="C86" i="1"/>
  <c r="B24" i="5"/>
  <c r="F32" i="1"/>
  <c r="G4" i="1"/>
  <c r="E13" i="7"/>
  <c r="F14" i="7" s="1"/>
  <c r="D133" i="1"/>
  <c r="D13" i="7"/>
  <c r="C133" i="1"/>
  <c r="C13" i="7"/>
  <c r="E133" i="1"/>
  <c r="F133" i="1"/>
  <c r="D122" i="1"/>
  <c r="J103" i="1"/>
  <c r="G22" i="5"/>
  <c r="G14" i="5" s="1"/>
  <c r="J123" i="1"/>
  <c r="G5" i="5"/>
  <c r="H19" i="9" s="1"/>
  <c r="F14" i="5"/>
  <c r="I23" i="5"/>
  <c r="C20" i="5"/>
  <c r="E20" i="5"/>
  <c r="F20" i="5"/>
  <c r="D20" i="5"/>
  <c r="E17" i="5"/>
  <c r="F17" i="5"/>
  <c r="I17" i="5"/>
  <c r="G17" i="5"/>
  <c r="D17" i="5"/>
  <c r="C17" i="5"/>
  <c r="E119" i="1"/>
  <c r="E122" i="1"/>
  <c r="D116" i="1"/>
  <c r="D119" i="1"/>
  <c r="E113" i="1"/>
  <c r="E116" i="1"/>
  <c r="D110" i="1"/>
  <c r="D113" i="1"/>
  <c r="E107" i="1"/>
  <c r="F103" i="1" s="1"/>
  <c r="E110" i="1"/>
  <c r="C101" i="1"/>
  <c r="D101" i="1"/>
  <c r="D107" i="1"/>
  <c r="E95" i="1"/>
  <c r="E101" i="1"/>
  <c r="C98" i="1"/>
  <c r="C95" i="1"/>
  <c r="D98" i="1"/>
  <c r="D95" i="1"/>
  <c r="E77" i="1"/>
  <c r="E98" i="1"/>
  <c r="E130" i="1"/>
  <c r="D80" i="1"/>
  <c r="B124" i="1"/>
  <c r="B92" i="1"/>
  <c r="B56" i="1"/>
  <c r="C80" i="1"/>
  <c r="E80" i="1"/>
  <c r="D130" i="1"/>
  <c r="D89" i="1"/>
  <c r="D77" i="1"/>
  <c r="C89" i="1"/>
  <c r="C77" i="1"/>
  <c r="C126" i="1"/>
  <c r="E65" i="1"/>
  <c r="E89" i="1"/>
  <c r="C71" i="1"/>
  <c r="C65" i="1"/>
  <c r="D71" i="1"/>
  <c r="D65" i="1"/>
  <c r="E62" i="1"/>
  <c r="E71" i="1"/>
  <c r="D83" i="1"/>
  <c r="D62" i="1"/>
  <c r="C83" i="1"/>
  <c r="C62" i="1"/>
  <c r="E83" i="1"/>
  <c r="D74" i="1"/>
  <c r="E74" i="1"/>
  <c r="C74" i="1"/>
  <c r="E59" i="1"/>
  <c r="D59" i="1"/>
  <c r="C59" i="1"/>
  <c r="E9" i="6"/>
  <c r="E55" i="1"/>
  <c r="D9" i="6"/>
  <c r="D55" i="1"/>
  <c r="C9" i="6"/>
  <c r="C10" i="6" s="1"/>
  <c r="C55" i="1"/>
  <c r="F55" i="1"/>
  <c r="J55" i="1"/>
  <c r="E4" i="9"/>
  <c r="D126" i="1"/>
  <c r="E126" i="1"/>
  <c r="F19" i="9"/>
  <c r="E8" i="9"/>
  <c r="F8" i="9"/>
  <c r="G8" i="9"/>
  <c r="F9" i="6"/>
  <c r="F8" i="7"/>
  <c r="G8" i="7"/>
  <c r="D3" i="11"/>
  <c r="H6" i="9"/>
  <c r="E3" i="11"/>
  <c r="G4" i="11"/>
  <c r="H26" i="5"/>
  <c r="E5" i="7"/>
  <c r="E3" i="7"/>
  <c r="D5" i="7"/>
  <c r="D3" i="7"/>
  <c r="C5" i="7"/>
  <c r="C6" i="7" s="1"/>
  <c r="F3" i="7"/>
  <c r="F5" i="7"/>
  <c r="D123" i="1"/>
  <c r="F123" i="1"/>
  <c r="F104" i="1" s="1"/>
  <c r="E123" i="1"/>
  <c r="D14" i="7" l="1"/>
  <c r="E127" i="1"/>
  <c r="F127" i="1"/>
  <c r="D134" i="1"/>
  <c r="D127" i="1"/>
  <c r="C134" i="1"/>
  <c r="C127" i="1"/>
  <c r="E14" i="7"/>
  <c r="H20" i="9"/>
  <c r="G23" i="5"/>
  <c r="G6" i="5"/>
  <c r="J104" i="1"/>
  <c r="J56" i="1"/>
  <c r="J92" i="1"/>
  <c r="I15" i="5"/>
  <c r="G15" i="5"/>
  <c r="D7" i="7"/>
  <c r="E103" i="1"/>
  <c r="D22" i="5"/>
  <c r="E91" i="1"/>
  <c r="E22" i="5"/>
  <c r="F91" i="1"/>
  <c r="E92" i="1"/>
  <c r="E104" i="1"/>
  <c r="D92" i="1"/>
  <c r="D104" i="1"/>
  <c r="C128" i="1"/>
  <c r="F56" i="1"/>
  <c r="F92" i="1"/>
  <c r="C137" i="1"/>
  <c r="D56" i="1"/>
  <c r="E56" i="1"/>
  <c r="C131" i="1"/>
  <c r="D131" i="1"/>
  <c r="D137" i="1"/>
  <c r="D128" i="1"/>
  <c r="E134" i="1"/>
  <c r="E128" i="1"/>
  <c r="E137" i="1"/>
  <c r="E131" i="1"/>
  <c r="G20" i="9"/>
  <c r="E6" i="7"/>
  <c r="E6" i="9"/>
  <c r="F6" i="9"/>
  <c r="G6" i="9"/>
  <c r="F6" i="7"/>
  <c r="G6" i="7"/>
  <c r="D6" i="7"/>
  <c r="G4" i="7"/>
  <c r="D10" i="6"/>
  <c r="F10" i="6"/>
  <c r="G10" i="6"/>
  <c r="E10" i="6"/>
  <c r="F9" i="9"/>
  <c r="H10" i="9" s="1"/>
  <c r="F11" i="9"/>
  <c r="H12" i="9" s="1"/>
  <c r="E11" i="9"/>
  <c r="E9" i="9"/>
  <c r="E4" i="11"/>
  <c r="D11" i="9"/>
  <c r="D9" i="9"/>
  <c r="F4" i="11"/>
  <c r="E4" i="7"/>
  <c r="F4" i="7"/>
  <c r="D14" i="5" l="1"/>
  <c r="E14" i="5"/>
  <c r="E23" i="5"/>
  <c r="F23" i="5"/>
  <c r="E8" i="7"/>
  <c r="E10" i="9"/>
  <c r="E13" i="9"/>
  <c r="E12" i="9"/>
  <c r="F13" i="9"/>
  <c r="H14" i="9" s="1"/>
  <c r="F12" i="9"/>
  <c r="G12" i="9"/>
  <c r="F10" i="9"/>
  <c r="G10" i="9"/>
  <c r="F4" i="8"/>
  <c r="G4" i="8"/>
  <c r="E4" i="8"/>
  <c r="D13" i="9"/>
  <c r="E15" i="5" l="1"/>
  <c r="F15" i="5"/>
  <c r="F14" i="9"/>
  <c r="G14" i="9"/>
  <c r="E14" i="9"/>
  <c r="G83" i="2"/>
  <c r="H83" i="2"/>
  <c r="I84" i="2" s="1"/>
  <c r="F83" i="2"/>
  <c r="F10" i="12" l="1"/>
  <c r="H85" i="2"/>
  <c r="F7" i="8" s="1"/>
  <c r="F4" i="12" s="1"/>
  <c r="H84" i="2"/>
  <c r="E10" i="12"/>
  <c r="G85" i="2"/>
  <c r="E7" i="8" s="1"/>
  <c r="E4" i="12" s="1"/>
  <c r="G84" i="2"/>
  <c r="D10" i="12"/>
  <c r="F85" i="2"/>
  <c r="D7" i="8" s="1"/>
  <c r="D4" i="12" s="1"/>
  <c r="F13" i="8"/>
  <c r="E13" i="8"/>
  <c r="D13" i="8"/>
  <c r="F6" i="8"/>
  <c r="G6" i="8"/>
  <c r="E6" i="8"/>
  <c r="E11" i="8"/>
  <c r="F11" i="8"/>
  <c r="D11" i="8"/>
  <c r="E11" i="12" l="1"/>
  <c r="F11" i="12"/>
  <c r="D11" i="12"/>
  <c r="G8" i="8"/>
  <c r="F8" i="8"/>
  <c r="E8" i="8"/>
  <c r="E12" i="8"/>
  <c r="E14" i="8"/>
  <c r="F12" i="8"/>
  <c r="G12" i="8"/>
  <c r="F14" i="8"/>
  <c r="G14" i="8"/>
  <c r="B9" i="9" l="1"/>
  <c r="B3" i="11"/>
  <c r="B11" i="9" l="1"/>
  <c r="B13" i="9" s="1"/>
  <c r="C80" i="2" l="1"/>
  <c r="C8" i="2"/>
  <c r="C11" i="2"/>
  <c r="C5" i="2"/>
  <c r="C14" i="2"/>
  <c r="C3" i="11" l="1"/>
  <c r="C4" i="11" s="1"/>
  <c r="C6" i="9" l="1"/>
  <c r="D6" i="9"/>
  <c r="D4" i="11"/>
  <c r="C11" i="9"/>
  <c r="C9" i="9"/>
  <c r="C10" i="9" l="1"/>
  <c r="D10" i="9"/>
  <c r="C12" i="9"/>
  <c r="D12" i="9"/>
  <c r="D4" i="8"/>
  <c r="E83" i="2"/>
  <c r="C13" i="9"/>
  <c r="C10" i="12" l="1"/>
  <c r="E85" i="2"/>
  <c r="C7" i="8" s="1"/>
  <c r="C4" i="12" s="1"/>
  <c r="F84" i="2"/>
  <c r="C14" i="9"/>
  <c r="D14" i="9"/>
  <c r="C13" i="8"/>
  <c r="C11" i="12" l="1"/>
  <c r="D14" i="8"/>
  <c r="D8" i="8"/>
  <c r="B147" i="1" l="1"/>
  <c r="B150" i="1" s="1"/>
  <c r="C147" i="1"/>
  <c r="C150" i="1" s="1"/>
  <c r="C6" i="12" l="1"/>
  <c r="C7" i="12" s="1"/>
  <c r="C151" i="1"/>
  <c r="C152" i="1"/>
  <c r="C153" i="1"/>
  <c r="B6" i="12"/>
  <c r="B153" i="1"/>
  <c r="C148" i="1"/>
  <c r="C149" i="1"/>
  <c r="D147" i="1"/>
  <c r="D150" i="1" s="1"/>
  <c r="D140" i="1"/>
  <c r="E140" i="1"/>
  <c r="E147" i="1"/>
  <c r="E150" i="1" s="1"/>
  <c r="E151" i="1" l="1"/>
  <c r="E152" i="1"/>
  <c r="E6" i="12"/>
  <c r="E7" i="12" s="1"/>
  <c r="E153" i="1"/>
  <c r="D151" i="1"/>
  <c r="D6" i="12"/>
  <c r="D7" i="12" s="1"/>
  <c r="D152" i="1"/>
  <c r="D153" i="1"/>
  <c r="D149" i="1"/>
  <c r="D148" i="1"/>
  <c r="E149" i="1"/>
  <c r="E148" i="1"/>
  <c r="F140" i="1"/>
  <c r="F147" i="1"/>
  <c r="F150" i="1" l="1"/>
  <c r="G151" i="1" s="1"/>
  <c r="G148" i="1"/>
  <c r="F6" i="12"/>
  <c r="F7" i="12" s="1"/>
  <c r="F152" i="1"/>
  <c r="F153" i="1"/>
  <c r="F148" i="1"/>
  <c r="F149" i="1"/>
  <c r="J140" i="1"/>
  <c r="J147" i="1"/>
  <c r="J150" i="1" s="1"/>
  <c r="F151" i="1" l="1"/>
  <c r="J153" i="1"/>
  <c r="J151" i="1"/>
  <c r="J152" i="1"/>
  <c r="J148" i="1"/>
  <c r="J149" i="1"/>
  <c r="I147" i="1"/>
  <c r="I150" i="1" s="1"/>
  <c r="I153" i="1" s="1"/>
  <c r="G6" i="12" l="1"/>
  <c r="G7" i="12" s="1"/>
  <c r="H17" i="9"/>
  <c r="H21" i="9" s="1"/>
  <c r="D13" i="12"/>
  <c r="E13" i="12"/>
  <c r="C13" i="12"/>
  <c r="H15" i="9"/>
  <c r="B5" i="1"/>
  <c r="G13" i="12"/>
  <c r="F13" i="12" l="1"/>
  <c r="H23" i="9"/>
  <c r="D9" i="5"/>
  <c r="G9" i="5"/>
  <c r="I9" i="5"/>
  <c r="C9" i="5"/>
  <c r="F9" i="5"/>
  <c r="E9" i="5"/>
  <c r="G17" i="9"/>
  <c r="G21" i="9" s="1"/>
  <c r="B17" i="9"/>
  <c r="C17" i="9"/>
  <c r="D17" i="9"/>
  <c r="F17" i="9"/>
  <c r="E17" i="9"/>
  <c r="D4" i="1"/>
  <c r="E4" i="1"/>
  <c r="C4" i="1"/>
  <c r="F4" i="1"/>
  <c r="J50" i="1"/>
  <c r="E50" i="1"/>
  <c r="D50" i="1"/>
  <c r="C50" i="1"/>
  <c r="F50" i="1"/>
  <c r="E44" i="1"/>
  <c r="E47" i="1"/>
  <c r="D44" i="1"/>
  <c r="D47" i="1"/>
  <c r="J44" i="1"/>
  <c r="J47" i="1"/>
  <c r="C44" i="1"/>
  <c r="C47" i="1"/>
  <c r="F44" i="1"/>
  <c r="F47" i="1"/>
  <c r="C38" i="1"/>
  <c r="C41" i="1"/>
  <c r="D38" i="1"/>
  <c r="D41" i="1"/>
  <c r="J38" i="1"/>
  <c r="J41" i="1"/>
  <c r="F38" i="1"/>
  <c r="F41" i="1"/>
  <c r="E38" i="1"/>
  <c r="E41" i="1"/>
  <c r="D11" i="5"/>
  <c r="D3" i="5" s="1"/>
  <c r="D34" i="1"/>
  <c r="D9" i="7"/>
  <c r="C23" i="1"/>
  <c r="G9" i="7"/>
  <c r="I11" i="5"/>
  <c r="F9" i="7"/>
  <c r="F11" i="5"/>
  <c r="F3" i="5" s="1"/>
  <c r="F34" i="1"/>
  <c r="G11" i="5"/>
  <c r="C11" i="5"/>
  <c r="E11" i="5"/>
  <c r="E34" i="1"/>
  <c r="E9" i="7"/>
  <c r="J32" i="1"/>
  <c r="D32" i="1"/>
  <c r="E14" i="1"/>
  <c r="F15" i="9"/>
  <c r="H16" i="9" s="1"/>
  <c r="B14" i="1"/>
  <c r="B32" i="1"/>
  <c r="C14" i="1"/>
  <c r="C32" i="1"/>
  <c r="F23" i="1"/>
  <c r="E5" i="6"/>
  <c r="E29" i="1"/>
  <c r="E51" i="1"/>
  <c r="E5" i="1" s="1"/>
  <c r="C7" i="6"/>
  <c r="C29" i="1"/>
  <c r="C11" i="1"/>
  <c r="E23" i="1"/>
  <c r="G7" i="6"/>
  <c r="E7" i="6"/>
  <c r="J23" i="1"/>
  <c r="J29" i="1"/>
  <c r="D5" i="6"/>
  <c r="D29" i="1"/>
  <c r="B15" i="9"/>
  <c r="B29" i="1"/>
  <c r="E20" i="1"/>
  <c r="B11" i="1"/>
  <c r="F7" i="6"/>
  <c r="F29" i="1"/>
  <c r="F17" i="1"/>
  <c r="E15" i="9"/>
  <c r="C20" i="1"/>
  <c r="E11" i="1"/>
  <c r="F14" i="1"/>
  <c r="B17" i="1"/>
  <c r="C17" i="1"/>
  <c r="E26" i="1"/>
  <c r="C26" i="1"/>
  <c r="F8" i="1"/>
  <c r="E17" i="1"/>
  <c r="J51" i="1"/>
  <c r="J52" i="1" s="1"/>
  <c r="J14" i="1"/>
  <c r="D26" i="1"/>
  <c r="B20" i="1"/>
  <c r="J20" i="1"/>
  <c r="C5" i="6"/>
  <c r="F20" i="1"/>
  <c r="D23" i="1"/>
  <c r="D51" i="1"/>
  <c r="D15" i="9"/>
  <c r="C51" i="1"/>
  <c r="C5" i="1" s="1"/>
  <c r="B8" i="1"/>
  <c r="C8" i="1"/>
  <c r="C15" i="9"/>
  <c r="B7" i="6"/>
  <c r="J11" i="1"/>
  <c r="F26" i="1"/>
  <c r="D11" i="1"/>
  <c r="G5" i="6"/>
  <c r="D8" i="1"/>
  <c r="F5" i="6"/>
  <c r="F51" i="1"/>
  <c r="J26" i="1"/>
  <c r="D20" i="1"/>
  <c r="J17" i="1"/>
  <c r="D7" i="6"/>
  <c r="B26" i="1"/>
  <c r="B5" i="6"/>
  <c r="J8" i="1"/>
  <c r="D14" i="1"/>
  <c r="G15" i="9"/>
  <c r="B23" i="1"/>
  <c r="F11" i="1"/>
  <c r="D17" i="1"/>
  <c r="E8" i="1"/>
  <c r="F5" i="1" l="1"/>
  <c r="G52" i="1"/>
  <c r="J125" i="1"/>
  <c r="L51" i="1"/>
  <c r="L54" i="1"/>
  <c r="J124" i="1"/>
  <c r="D5" i="1"/>
  <c r="B9" i="8"/>
  <c r="F21" i="9"/>
  <c r="H22" i="9" s="1"/>
  <c r="H18" i="9"/>
  <c r="J5" i="1"/>
  <c r="C18" i="9"/>
  <c r="E18" i="9"/>
  <c r="D21" i="5"/>
  <c r="D24" i="5"/>
  <c r="F21" i="5"/>
  <c r="F24" i="5"/>
  <c r="D10" i="5"/>
  <c r="D18" i="5"/>
  <c r="F10" i="5"/>
  <c r="F18" i="5"/>
  <c r="E3" i="5"/>
  <c r="E24" i="5" s="1"/>
  <c r="E12" i="5"/>
  <c r="C3" i="5"/>
  <c r="C21" i="5" s="1"/>
  <c r="I3" i="5"/>
  <c r="I12" i="5"/>
  <c r="F12" i="5"/>
  <c r="F13" i="5"/>
  <c r="G3" i="5"/>
  <c r="G13" i="5" s="1"/>
  <c r="G12" i="5"/>
  <c r="D12" i="5"/>
  <c r="D13" i="5"/>
  <c r="F18" i="9"/>
  <c r="G18" i="9"/>
  <c r="F23" i="9"/>
  <c r="H24" i="9" s="1"/>
  <c r="B23" i="9"/>
  <c r="F7" i="5"/>
  <c r="F26" i="5"/>
  <c r="D18" i="9"/>
  <c r="E23" i="9"/>
  <c r="D6" i="5"/>
  <c r="E6" i="5"/>
  <c r="F6" i="5"/>
  <c r="C6" i="5"/>
  <c r="D35" i="1"/>
  <c r="D52" i="1"/>
  <c r="J35" i="1"/>
  <c r="E9" i="8"/>
  <c r="E52" i="1"/>
  <c r="F35" i="1"/>
  <c r="F52" i="1"/>
  <c r="C35" i="1"/>
  <c r="C52" i="1"/>
  <c r="E10" i="7"/>
  <c r="G10" i="7"/>
  <c r="E35" i="1"/>
  <c r="F10" i="7"/>
  <c r="E124" i="1"/>
  <c r="E15" i="8"/>
  <c r="F6" i="6"/>
  <c r="C9" i="8"/>
  <c r="D8" i="6"/>
  <c r="C6" i="6"/>
  <c r="F16" i="9"/>
  <c r="F8" i="6"/>
  <c r="E16" i="9"/>
  <c r="E3" i="6"/>
  <c r="C8" i="6"/>
  <c r="G8" i="6"/>
  <c r="E6" i="6"/>
  <c r="C16" i="9"/>
  <c r="C23" i="9"/>
  <c r="H17" i="8"/>
  <c r="H18" i="8" s="1"/>
  <c r="E19" i="9"/>
  <c r="G6" i="6"/>
  <c r="G15" i="8"/>
  <c r="G11" i="7" s="1"/>
  <c r="G9" i="8"/>
  <c r="G3" i="6"/>
  <c r="F9" i="8"/>
  <c r="F124" i="1"/>
  <c r="F15" i="8"/>
  <c r="F11" i="7" s="1"/>
  <c r="F3" i="6"/>
  <c r="C3" i="6"/>
  <c r="C4" i="6" s="1"/>
  <c r="C15" i="8"/>
  <c r="G16" i="9"/>
  <c r="G23" i="9"/>
  <c r="D9" i="8"/>
  <c r="D15" i="8"/>
  <c r="D11" i="7" s="1"/>
  <c r="D124" i="1"/>
  <c r="D3" i="6"/>
  <c r="D6" i="6"/>
  <c r="E8" i="6"/>
  <c r="D26" i="5"/>
  <c r="D19" i="9"/>
  <c r="C19" i="9"/>
  <c r="D23" i="9"/>
  <c r="D16" i="9"/>
  <c r="G22" i="9" l="1"/>
  <c r="E11" i="7"/>
  <c r="E12" i="7" s="1"/>
  <c r="E4" i="5"/>
  <c r="F12" i="7"/>
  <c r="F17" i="8"/>
  <c r="D17" i="8"/>
  <c r="G12" i="7"/>
  <c r="G17" i="8"/>
  <c r="E13" i="5"/>
  <c r="I21" i="5"/>
  <c r="I24" i="5"/>
  <c r="G21" i="5"/>
  <c r="G24" i="5"/>
  <c r="E18" i="5"/>
  <c r="E26" i="5" s="1"/>
  <c r="E21" i="5"/>
  <c r="C10" i="5"/>
  <c r="C18" i="5"/>
  <c r="G10" i="5"/>
  <c r="G18" i="5"/>
  <c r="G26" i="5" s="1"/>
  <c r="F4" i="5"/>
  <c r="E7" i="5"/>
  <c r="I10" i="5"/>
  <c r="I18" i="5"/>
  <c r="I26" i="5" s="1"/>
  <c r="E10" i="5"/>
  <c r="C13" i="5"/>
  <c r="I13" i="5"/>
  <c r="F24" i="9"/>
  <c r="I4" i="5"/>
  <c r="C7" i="5"/>
  <c r="D4" i="5"/>
  <c r="I7" i="5"/>
  <c r="C24" i="9"/>
  <c r="G7" i="5"/>
  <c r="G4" i="5"/>
  <c r="G24" i="9"/>
  <c r="B19" i="9"/>
  <c r="B21" i="9" s="1"/>
  <c r="D7" i="5"/>
  <c r="F10" i="8"/>
  <c r="F4" i="6"/>
  <c r="F16" i="8"/>
  <c r="D16" i="8"/>
  <c r="D24" i="9"/>
  <c r="C10" i="8"/>
  <c r="D4" i="6"/>
  <c r="E4" i="6"/>
  <c r="G16" i="8"/>
  <c r="D21" i="9"/>
  <c r="D20" i="9"/>
  <c r="G10" i="8"/>
  <c r="D10" i="8"/>
  <c r="E10" i="8"/>
  <c r="E16" i="8"/>
  <c r="F20" i="9"/>
  <c r="E20" i="9"/>
  <c r="E21" i="9"/>
  <c r="E24" i="9"/>
  <c r="C21" i="9"/>
  <c r="G4" i="6"/>
  <c r="E17" i="8" l="1"/>
  <c r="F18" i="8" s="1"/>
  <c r="G18" i="8"/>
  <c r="C20" i="9"/>
  <c r="C22" i="9"/>
  <c r="E22" i="9"/>
  <c r="F22" i="9"/>
  <c r="D22" i="9"/>
  <c r="E18" i="8" l="1"/>
  <c r="B50" i="1"/>
  <c r="B47" i="1"/>
  <c r="B11" i="5"/>
  <c r="C34" i="1"/>
  <c r="B44" i="1"/>
  <c r="B35" i="1"/>
  <c r="B9" i="7"/>
  <c r="B41" i="1"/>
  <c r="B38" i="1"/>
  <c r="C22" i="5"/>
  <c r="C9" i="7"/>
  <c r="D10" i="7" s="1"/>
  <c r="C11" i="8"/>
  <c r="C11" i="7" s="1"/>
  <c r="C7" i="7"/>
  <c r="D8" i="7" s="1"/>
  <c r="C3" i="7"/>
  <c r="C4" i="7" s="1"/>
  <c r="C123" i="1"/>
  <c r="C92" i="1" s="1"/>
  <c r="D103" i="1"/>
  <c r="C107" i="1"/>
  <c r="C103" i="1"/>
  <c r="D12" i="8" l="1"/>
  <c r="C23" i="5"/>
  <c r="C24" i="5"/>
  <c r="D23" i="5"/>
  <c r="C14" i="5"/>
  <c r="B3" i="5"/>
  <c r="B13" i="5" s="1"/>
  <c r="C12" i="5"/>
  <c r="B34" i="1"/>
  <c r="C8" i="7"/>
  <c r="C56" i="1"/>
  <c r="D4" i="7"/>
  <c r="C104" i="1"/>
  <c r="C10" i="7"/>
  <c r="C124" i="1"/>
  <c r="B18" i="5"/>
  <c r="C4" i="5" l="1"/>
  <c r="C17" i="8"/>
  <c r="D18" i="8" s="1"/>
  <c r="D12" i="7"/>
  <c r="C26" i="5"/>
  <c r="C15" i="5"/>
  <c r="D15" i="5"/>
  <c r="B7" i="5"/>
  <c r="B10" i="5"/>
  <c r="B26" i="5"/>
  <c r="D38" i="2"/>
  <c r="C29" i="2"/>
  <c r="E30" i="2"/>
  <c r="D34" i="2"/>
  <c r="C38" i="2" l="1"/>
  <c r="D40" i="2"/>
  <c r="B3" i="8" s="1"/>
  <c r="C4" i="8" s="1"/>
  <c r="E39" i="2"/>
  <c r="D59" i="2"/>
  <c r="D53" i="2" s="1"/>
  <c r="C41" i="2"/>
  <c r="E42" i="2"/>
  <c r="B5" i="12" l="1"/>
  <c r="B7" i="12" s="1"/>
  <c r="B3" i="12"/>
  <c r="B13" i="7"/>
  <c r="B152" i="1"/>
  <c r="D58" i="2"/>
  <c r="D82" i="2"/>
  <c r="D76" i="2"/>
  <c r="D77" i="2"/>
  <c r="D73" i="2"/>
  <c r="D70" i="2"/>
  <c r="D67" i="2"/>
  <c r="C59" i="2"/>
  <c r="D61" i="2"/>
  <c r="E60" i="2"/>
  <c r="D87" i="2" l="1"/>
  <c r="C14" i="7"/>
  <c r="D79" i="2"/>
  <c r="C77" i="2"/>
  <c r="E78" i="2"/>
  <c r="D55" i="2"/>
  <c r="B5" i="8" s="1"/>
  <c r="E54" i="2"/>
  <c r="D6" i="8" s="1"/>
  <c r="C53" i="2"/>
  <c r="C140" i="1"/>
  <c r="B140" i="1"/>
  <c r="B149" i="1"/>
  <c r="B128" i="1"/>
  <c r="C6" i="8" l="1"/>
  <c r="D83" i="2" l="1"/>
  <c r="D85" i="2" l="1"/>
  <c r="B7" i="8" s="1"/>
  <c r="C8" i="8" s="1"/>
  <c r="E84" i="2"/>
  <c r="B4" i="12"/>
  <c r="B13" i="12" s="1"/>
  <c r="C83" i="2"/>
  <c r="B15" i="8"/>
  <c r="C16" i="8" s="1"/>
  <c r="B11" i="8"/>
  <c r="B13" i="8"/>
  <c r="C14" i="8" s="1"/>
  <c r="B10" i="12"/>
  <c r="B11" i="7" l="1"/>
  <c r="B11" i="12"/>
  <c r="C12" i="8"/>
  <c r="C12" i="7"/>
  <c r="B17" i="8" l="1"/>
  <c r="C18" i="8" s="1"/>
</calcChain>
</file>

<file path=xl/sharedStrings.xml><?xml version="1.0" encoding="utf-8"?>
<sst xmlns="http://schemas.openxmlformats.org/spreadsheetml/2006/main" count="595" uniqueCount="253">
  <si>
    <t>ATIVO CIRCULANTE</t>
  </si>
  <si>
    <t>Estoque</t>
  </si>
  <si>
    <t>Imobilizado</t>
  </si>
  <si>
    <t>Investimentos</t>
  </si>
  <si>
    <t>Empréstimos e Financiamentos</t>
  </si>
  <si>
    <t>Impostos a recolher</t>
  </si>
  <si>
    <t>Contas a pagar</t>
  </si>
  <si>
    <t>Provisão 13º e Férias</t>
  </si>
  <si>
    <t>Parcelamento de Impostos</t>
  </si>
  <si>
    <t>Capital Social</t>
  </si>
  <si>
    <t>Lucros/ Prejuízos acumulados</t>
  </si>
  <si>
    <t>Depreciação</t>
  </si>
  <si>
    <t>Depósito Judicial</t>
  </si>
  <si>
    <t>Títulos de Capitalização</t>
  </si>
  <si>
    <t>Duplicatas Descontada</t>
  </si>
  <si>
    <t>Parcelamentos de Impostos</t>
  </si>
  <si>
    <t>Contigências fiscais</t>
  </si>
  <si>
    <t>Ajuste de Exercícios Anteriores</t>
  </si>
  <si>
    <t>Lucro/Prejuízos do Exercício</t>
  </si>
  <si>
    <t>Lucro Antecipados</t>
  </si>
  <si>
    <t>Obrigações Trabalhistas</t>
  </si>
  <si>
    <t>Obrigações Previdências</t>
  </si>
  <si>
    <t>Despesas Administrativas</t>
  </si>
  <si>
    <t>Despesas com Vendas</t>
  </si>
  <si>
    <t>Despesas Tributárias</t>
  </si>
  <si>
    <t>Receitas Financeiras</t>
  </si>
  <si>
    <t>Despesas Financeiras</t>
  </si>
  <si>
    <t>Receitas de Vendas M. Interno</t>
  </si>
  <si>
    <t>Receitas de Vendas M. Externo</t>
  </si>
  <si>
    <t>Tributos a Recuperar</t>
  </si>
  <si>
    <t>Créditos Diversos</t>
  </si>
  <si>
    <t>Adiantamento a Fornecedores</t>
  </si>
  <si>
    <t>Adiantamento de clientes</t>
  </si>
  <si>
    <t>Ativo Errático - Financeiro</t>
  </si>
  <si>
    <t>Ativo Cíclico - Operacional</t>
  </si>
  <si>
    <t>Ativo não Circulante</t>
  </si>
  <si>
    <t>Passivo Errático - Financeiro</t>
  </si>
  <si>
    <t>Pássivo Cíclico - Operacional</t>
  </si>
  <si>
    <t>Passivo Não Circulante + Patrimônio Líquido</t>
  </si>
  <si>
    <t>TOTAL DO PASSIVO</t>
  </si>
  <si>
    <t>ESTRUTURA DE CAPITAL</t>
  </si>
  <si>
    <t>Percental de obrigações que irão vencer em curto prazo com relação as obrigações totais</t>
  </si>
  <si>
    <t>Que percentual dos recuros não correntes foi destinado ao ativo fixo</t>
  </si>
  <si>
    <t>(AC+REAL.LP)/(PC-EXIG.LP)</t>
  </si>
  <si>
    <t>AC/PC</t>
  </si>
  <si>
    <t>(AC-E)/PC</t>
  </si>
  <si>
    <t>DISP/PC</t>
  </si>
  <si>
    <t>Quanto a empresa tomou de capital de terceiros para cada R$ 100,00 de capital próprio</t>
  </si>
  <si>
    <t>Quanto a empresa aplicou em ativo fixo e intagível para cada R$ 100,00 de patrimônio Líquido</t>
  </si>
  <si>
    <t>Lucro Líquido / Ativo Total</t>
  </si>
  <si>
    <t>Luicro Líquido / Patrimônio Líquido</t>
  </si>
  <si>
    <t>Revela quantos dias os produtos ficam armazenados no estoque até a data de sua venda.</t>
  </si>
  <si>
    <t>Determina o prazo médio em que a empresa demora em pagar suas compras</t>
  </si>
  <si>
    <t>Estoque / CMV * 360</t>
  </si>
  <si>
    <t>fornecedores a Pagar / Compras * 360</t>
  </si>
  <si>
    <t>Calcula a quantidade de dias que a empresa levar para receber suas vendas a prazo.</t>
  </si>
  <si>
    <t>Duplicatas a Receber / Receita Líquida * 360</t>
  </si>
  <si>
    <t>PMRV+PRME-PMPC</t>
  </si>
  <si>
    <t>PMRE+PRMV</t>
  </si>
  <si>
    <t>Período necessário para a produção, distribuição, venda e coleta do pagamento dos produtos vendidos pela empresa.</t>
  </si>
  <si>
    <t>Período que engloba todos os acontecimentos da operação -  rotatividade dos estoques, associado com a movimentação de caixa referente às operações empresariais.</t>
  </si>
  <si>
    <t>Receitas de Vendas de Veículos</t>
  </si>
  <si>
    <t>Devoluções das Vendas</t>
  </si>
  <si>
    <t>AC-PC</t>
  </si>
  <si>
    <t>Ativo Errático - Passivo Errático</t>
  </si>
  <si>
    <t>Outras Contas a Receber</t>
  </si>
  <si>
    <t>Capacidade da empresa de autofinanciar a gestão empresarial com recursos próprios através dos recursos disponíveis e/ou imobilizados.</t>
  </si>
  <si>
    <t>CDG/NCG</t>
  </si>
  <si>
    <t>ACC-PCC</t>
  </si>
  <si>
    <t>EBTIDA</t>
  </si>
  <si>
    <t>Diferença entre o ativo e o passivo circulante de uma empresa, é a parcela dos recursos próprios da companhia que se encontram disponíveis para investimentos</t>
  </si>
  <si>
    <t>Financiamentos LP</t>
  </si>
  <si>
    <t>Impostos + Parcelamentos LP</t>
  </si>
  <si>
    <t>Ajuste Caixa</t>
  </si>
  <si>
    <t>Quanto a empresa possui de ativo circulante mais realizável a longo prazo para cada real de dívida total</t>
  </si>
  <si>
    <t>Quanto a empresa possui de ativo circulante mais realizável a longo prazo para cada real dívida de curto prazo</t>
  </si>
  <si>
    <t>Quanto a empresa possui de ativo líquido para cada real passivo circulante</t>
  </si>
  <si>
    <t>Quanto a empresa possui de recursos imediatos  para cada real passivo circulante</t>
  </si>
  <si>
    <t>&lt; 0,5</t>
  </si>
  <si>
    <t>ÍNDICE</t>
  </si>
  <si>
    <t>FINALIDADE</t>
  </si>
  <si>
    <t>Capacidade de uma empresa de gerar caixa, pois exclui itens não caixa, como depreciação e amortização.</t>
  </si>
  <si>
    <t>&gt; 35%</t>
  </si>
  <si>
    <t>Porcentagem da receita líquida que uma empresa retém após deduzir o custo das mercadorias vendidas (CMV)</t>
  </si>
  <si>
    <t>Porcentagem da receita líquida que uma empresa retém após deduzir o custo das mercadorias vendidas (CMV) e despesas gerais</t>
  </si>
  <si>
    <t>Quanto à empresa obtém de lucro líquido para cada real próprio investido.</t>
  </si>
  <si>
    <t>Medir se uma empresa está utilizando devidamente o seu ativo (bens, investimentos, estoque etc.) para produzir riqueza, através da venda de seus produtos e/ou serviços.</t>
  </si>
  <si>
    <t>Quanto à empresa obtém de lucro líquido para cada real de capital dos sócios</t>
  </si>
  <si>
    <t>Quanto à empresa obtém de lucro líquido para cada real de recursos totais aplicados.</t>
  </si>
  <si>
    <t>Lucro Líquido / Receita Líquida</t>
  </si>
  <si>
    <t>Lucro Bruto + Amortização + Depreciação</t>
  </si>
  <si>
    <t>Lucro Bruto / Receita Líquida</t>
  </si>
  <si>
    <t>Receita Líquida / Total de Ativos</t>
  </si>
  <si>
    <t>&gt; 3</t>
  </si>
  <si>
    <t>Índice de Referência</t>
  </si>
  <si>
    <t>ÍNDICE DE LIQUIDEZ</t>
  </si>
  <si>
    <t>VALOR DE REFERÊNCIA</t>
  </si>
  <si>
    <t>INDICADORES DE ATIVIDADE E FLUXO DE CAIXA</t>
  </si>
  <si>
    <t>2024 PROJETADO</t>
  </si>
  <si>
    <t>AJUSTES</t>
  </si>
  <si>
    <t>MEMÓRIA DE CÁLCULO</t>
  </si>
  <si>
    <t>&gt; 25%</t>
  </si>
  <si>
    <t>&gt; Selic</t>
  </si>
  <si>
    <t>Lucro Líquido / Invesimento Operacional</t>
  </si>
  <si>
    <t>Memória de Cálculo</t>
  </si>
  <si>
    <t>MÉMORIA DE CÁLCULO</t>
  </si>
  <si>
    <t>Cutos Diretos na Produção</t>
  </si>
  <si>
    <t>&lt; 1,00</t>
  </si>
  <si>
    <t>ANC/(PNC+PL)</t>
  </si>
  <si>
    <t>(ATP)/PL</t>
  </si>
  <si>
    <t>&gt; selic</t>
  </si>
  <si>
    <t>Custos das Vendas e serviços prestados</t>
  </si>
  <si>
    <t>Mostra o descompasso entre as contas do ativo e do passivo, ligadas às atividades da empresa, estando, assim, diretamente relacionada ao ciclo financeiro.</t>
  </si>
  <si>
    <t xml:space="preserve">Indicador financeiro que mostra quantos ciclos financeiros o caixa de uma empresa tem por ano. </t>
  </si>
  <si>
    <t>365/CF</t>
  </si>
  <si>
    <t>ST/NCG</t>
  </si>
  <si>
    <t>Indicador do Efeito Tesoura</t>
  </si>
  <si>
    <t>&gt; 1</t>
  </si>
  <si>
    <t>Volume de dinheiro suficiente para lidar com obrigações financeiras de curto prazo sem reduzir os recursos alocados no ciclo operacional.</t>
  </si>
  <si>
    <t>Faturamento Líquido</t>
  </si>
  <si>
    <t>Faturamento Veículos</t>
  </si>
  <si>
    <t>INDICADORES DE FATURAMENTO</t>
  </si>
  <si>
    <t>2024 Projetado</t>
  </si>
  <si>
    <t>Ajustes Planejamento</t>
  </si>
  <si>
    <t>DRE - DEMONSTRAÇÃO DE RESULTADOS</t>
  </si>
  <si>
    <t>Impostos s/ vendas e serviços prestados</t>
  </si>
  <si>
    <t>Resultado Líquido do Exercício</t>
  </si>
  <si>
    <t>Imposto de Renda e Contribuição Social</t>
  </si>
  <si>
    <t>2024 REALIZADO</t>
  </si>
  <si>
    <t>MESES</t>
  </si>
  <si>
    <t>Custos das Mercadorias Vendidas</t>
  </si>
  <si>
    <t>Despesas Operacionais</t>
  </si>
  <si>
    <t>Receita Bruta de Vendas</t>
  </si>
  <si>
    <t>Deduções da Receita</t>
  </si>
  <si>
    <t>Receita Líquida</t>
  </si>
  <si>
    <t>Lucro Bruto</t>
  </si>
  <si>
    <t>Receitas de Serviços Prestados</t>
  </si>
  <si>
    <t>Financiamentos</t>
  </si>
  <si>
    <t>Impostos + Parcelamentos</t>
  </si>
  <si>
    <t>Endividamento de Curto Prazo</t>
  </si>
  <si>
    <t>Endividamento de Longo Prazo</t>
  </si>
  <si>
    <t>Endividamento Total</t>
  </si>
  <si>
    <t>Relação Endividamento x EBTIDA</t>
  </si>
  <si>
    <t>Bancos conta Movimento</t>
  </si>
  <si>
    <t>Aplicações Financeiras</t>
  </si>
  <si>
    <t>Caixa</t>
  </si>
  <si>
    <t>BALANÇO PATRIMONIAL</t>
  </si>
  <si>
    <t>BALANÇO PATRIMONIAL ESTRUTURA DE FLEURIET</t>
  </si>
  <si>
    <t>Faturamento Bruto Mercado Externo</t>
  </si>
  <si>
    <t>Faturamento Bruto Mercado Interno</t>
  </si>
  <si>
    <t>Faturamento Bruto Indústria</t>
  </si>
  <si>
    <t>Avaliar evolução do faturamento</t>
  </si>
  <si>
    <t>Índice 2019-2023</t>
  </si>
  <si>
    <t>(AC+REAL.LP)/(PC+EXIG.LP)</t>
  </si>
  <si>
    <t>&gt; Inflação</t>
  </si>
  <si>
    <t>ÍNDICE DE RENTABILIDADE</t>
  </si>
  <si>
    <t>ILG -  Índice de Liquidez Geral</t>
  </si>
  <si>
    <t>ILC - Índice de Liquidez Corrente</t>
  </si>
  <si>
    <t xml:space="preserve">ILS - Índice de Liquidez Seca </t>
  </si>
  <si>
    <t>ILI - Índice de Liquidez Imediata</t>
  </si>
  <si>
    <t>CT - Índice de Capital de Terceiros</t>
  </si>
  <si>
    <t>CE - Índice de Composição de Endividamento</t>
  </si>
  <si>
    <t>IMPL - Imobilização de Patrimônio Líquido</t>
  </si>
  <si>
    <t>IRNC - Imobilização de Recursos não Correntes</t>
  </si>
  <si>
    <t>&lt; 10%</t>
  </si>
  <si>
    <t>MB - Margem Bruta</t>
  </si>
  <si>
    <t>ML - Margem Líquida</t>
  </si>
  <si>
    <t>GA - Giro do Ativo</t>
  </si>
  <si>
    <t>ROE - Retorno sobre Patrimônio Líquido</t>
  </si>
  <si>
    <t>ROI - Retorno sobre Investimento</t>
  </si>
  <si>
    <t>ROA - Retorno sobre Ativo</t>
  </si>
  <si>
    <t>PMRE - Prazo Médio de Renovação de Estoque</t>
  </si>
  <si>
    <t>PMRV - Prazo Médio de Recebimento de Vendas</t>
  </si>
  <si>
    <t>PMPC - Prazo Médio de Pagamento de Compras</t>
  </si>
  <si>
    <t>CO - Ciclo Operacional</t>
  </si>
  <si>
    <t>CF - Ciclo Financeiro</t>
  </si>
  <si>
    <t>GC - Giro do Caixa</t>
  </si>
  <si>
    <t>CGL - Capital de Giro Líquido</t>
  </si>
  <si>
    <t>NCG - Necessidade de Capital de Giro</t>
  </si>
  <si>
    <t>ST - Saldo de Tesouraria</t>
  </si>
  <si>
    <t>IET - Índice de Efeito Tesoura</t>
  </si>
  <si>
    <t>IA - Índice de Autofinanciamento</t>
  </si>
  <si>
    <t xml:space="preserve">Margem líquida </t>
  </si>
  <si>
    <t>Despesa Financeira Nominal</t>
  </si>
  <si>
    <t>Lucro Nominal</t>
  </si>
  <si>
    <t>z</t>
  </si>
  <si>
    <t>Valuation (EBTIDA)</t>
  </si>
  <si>
    <t>jan</t>
  </si>
  <si>
    <t>fev</t>
  </si>
  <si>
    <t>Retirada Sócios</t>
  </si>
  <si>
    <t>Outras receitas operacionais</t>
  </si>
  <si>
    <t>Outras despesas operacionais</t>
  </si>
  <si>
    <t>Média</t>
  </si>
  <si>
    <t>Faturamento Bruto Total</t>
  </si>
  <si>
    <t>Análise Vertical</t>
  </si>
  <si>
    <t>Análise Horizontal</t>
  </si>
  <si>
    <t>Aná\lise Vertical</t>
  </si>
  <si>
    <t>Outras Receitas e Despesas Operacionais</t>
  </si>
  <si>
    <t>ROE - DUPONT</t>
  </si>
  <si>
    <t>GA x Alavancagem x ML</t>
  </si>
  <si>
    <t>Grau de Alavancagem Financeira</t>
  </si>
  <si>
    <t>EBIT</t>
  </si>
  <si>
    <t>LAIR</t>
  </si>
  <si>
    <t>Ebit / Lair</t>
  </si>
  <si>
    <t>Índice de Dívida / EBITDA</t>
  </si>
  <si>
    <t>\</t>
  </si>
  <si>
    <t>Quantos Períodos para pagamento da dívida líquida</t>
  </si>
  <si>
    <t>AC+ANC-Disp/EBTIDA</t>
  </si>
  <si>
    <t>BASE DE CÁLCULO</t>
  </si>
  <si>
    <t>PREJUÍZOS ANTERIORES A COMPENSAR</t>
  </si>
  <si>
    <t>BASE DE CÁLCULO PREVISTA</t>
  </si>
  <si>
    <t>IRPJ PREVISTO</t>
  </si>
  <si>
    <t>CSLL PREVISTA</t>
  </si>
  <si>
    <t>TOTAL PREVISTO A RECOLHER</t>
  </si>
  <si>
    <t>SALDO FATURAMENTO ANTECIPADO 4o TRIMESTRE 2023</t>
  </si>
  <si>
    <t>BASE DE CÁLCULO PROJETADA SEM RESULTADOS DE MARÇO E COMPENSAÇÕES</t>
  </si>
  <si>
    <t>Mar</t>
  </si>
  <si>
    <t>ATIVO NÃO CIRCULANTE</t>
  </si>
  <si>
    <t>TOTAL DO ATIVO</t>
  </si>
  <si>
    <t>PASSIVO NÃO CIRCULANTE</t>
  </si>
  <si>
    <t>PASSIVO CIRCULANTE</t>
  </si>
  <si>
    <t>PATRIMÔNIO LÍQUIDO</t>
  </si>
  <si>
    <t>Faturamento</t>
  </si>
  <si>
    <t>Meta</t>
  </si>
  <si>
    <t>Global</t>
  </si>
  <si>
    <t>Mercado Interno</t>
  </si>
  <si>
    <t>Mercado Externo</t>
  </si>
  <si>
    <t>Indústria</t>
  </si>
  <si>
    <t>Abr</t>
  </si>
  <si>
    <t>Dez</t>
  </si>
  <si>
    <t>Nov</t>
  </si>
  <si>
    <t>Out</t>
  </si>
  <si>
    <t>Set</t>
  </si>
  <si>
    <t>Ago</t>
  </si>
  <si>
    <t>Jul</t>
  </si>
  <si>
    <t>Jun</t>
  </si>
  <si>
    <t>Mai</t>
  </si>
  <si>
    <t xml:space="preserve"> </t>
  </si>
  <si>
    <t>o quanto do resultado está sendo comprometido por juros provenientes de capital de terceiros</t>
  </si>
  <si>
    <t>FATOR EBTIDA</t>
  </si>
  <si>
    <t>Valuation (EBITDA)</t>
  </si>
  <si>
    <t>Dívida Líquida sem Contas a Pagar</t>
  </si>
  <si>
    <t>Contas a Pagar</t>
  </si>
  <si>
    <t>Dívida Líquida</t>
  </si>
  <si>
    <t>Lucro Nominal x EBITDA</t>
  </si>
  <si>
    <t>Valuation Economico</t>
  </si>
  <si>
    <t>Fator de RL para pagamento Dívida Líquida CP</t>
  </si>
  <si>
    <t>Bancos Conta Garantia</t>
  </si>
  <si>
    <t>TOTAL</t>
  </si>
  <si>
    <t>Realizado</t>
  </si>
  <si>
    <t>2025 Projetado</t>
  </si>
  <si>
    <t>Contas a Receber</t>
  </si>
  <si>
    <t>Adiantamento de Contratos de Câmbio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</si>
</sst>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&quot;R$&quot;\ #,##0.00"/>
    <numFmt numFmtId="165" formatCode="0.0%"/>
    <numFmt numFmtId="166" formatCode="0.0"/>
    <numFmt numFmtId="167" formatCode="#,##0.0"/>
    <numFmt numFmtId="168" formatCode="#,##0;\(#,##0\);\-"/>
    <numFmt numFmtId="169" formatCode="0.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sz val="6"/>
      <color rgb="FF0070C0"/>
      <name val="Arial"/>
      <family val="2"/>
    </font>
    <font>
      <b/>
      <sz val="6"/>
      <color rgb="FF0070C0"/>
      <name val="Arial"/>
      <family val="2"/>
    </font>
    <font>
      <sz val="6"/>
      <color theme="8" tint="-0.249977111117893"/>
      <name val="Arial"/>
      <family val="2"/>
    </font>
    <font>
      <sz val="10"/>
      <name val="AriaL"/>
      <family val="2"/>
    </font>
    <font>
      <sz val="4"/>
      <color theme="8" tint="-0.249977111117893"/>
      <name val="Arial"/>
      <family val="2"/>
    </font>
    <font>
      <b/>
      <sz val="10"/>
      <name val="Arial"/>
      <family val="2"/>
    </font>
    <font>
      <b/>
      <sz val="6"/>
      <color theme="8" tint="-0.249977111117893"/>
      <name val="Arial"/>
      <family val="2"/>
    </font>
    <font>
      <sz val="6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9"/>
      <color theme="8" tint="-0.249977111117893"/>
      <name val="Arial"/>
      <family val="2"/>
    </font>
    <font>
      <b/>
      <sz val="6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6"/>
      <color rgb="FFC00000"/>
      <name val="Arial"/>
      <family val="2"/>
    </font>
    <font>
      <sz val="9"/>
      <color rgb="FFC00000"/>
      <name val="Arial"/>
      <family val="2"/>
    </font>
    <font>
      <sz val="7"/>
      <color theme="1"/>
      <name val="Helvetica"/>
      <family val="2"/>
    </font>
    <font>
      <b/>
      <sz val="7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theme="8" tint="-0.249977111117893"/>
      <name val="AriaL"/>
      <family val="2"/>
    </font>
    <font>
      <sz val="8"/>
      <color rgb="FFC00000"/>
      <name val="AriaL"/>
      <family val="2"/>
    </font>
    <font>
      <sz val="9"/>
      <color theme="8" tint="-0.249977111117893"/>
      <name val="AriaL"/>
      <family val="2"/>
    </font>
    <font>
      <b/>
      <sz val="16"/>
      <color rgb="FFFF0000"/>
      <name val="Arial"/>
      <family val="2"/>
    </font>
    <font>
      <i/>
      <sz val="6"/>
      <color theme="1"/>
      <name val="Helvetica"/>
      <family val="2"/>
    </font>
    <font>
      <sz val="6"/>
      <color rgb="FFFF0000"/>
      <name val="Arial"/>
      <family val="2"/>
    </font>
    <font>
      <sz val="7"/>
      <color theme="1"/>
      <name val="Arial"/>
      <family val="2"/>
    </font>
    <font>
      <b/>
      <sz val="18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2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4" fontId="4" fillId="0" borderId="0" xfId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164" fontId="6" fillId="0" borderId="0" xfId="0" applyNumberFormat="1" applyFont="1"/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  <xf numFmtId="0" fontId="0" fillId="4" borderId="0" xfId="0" applyFill="1"/>
    <xf numFmtId="0" fontId="5" fillId="4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4" fontId="6" fillId="4" borderId="0" xfId="0" applyNumberFormat="1" applyFont="1" applyFill="1" applyAlignment="1">
      <alignment vertical="center"/>
    </xf>
    <xf numFmtId="0" fontId="1" fillId="4" borderId="0" xfId="0" applyFont="1" applyFill="1"/>
    <xf numFmtId="0" fontId="6" fillId="4" borderId="0" xfId="0" applyFont="1" applyFill="1" applyAlignment="1">
      <alignment horizontal="left" vertical="center"/>
    </xf>
    <xf numFmtId="165" fontId="11" fillId="4" borderId="0" xfId="2" applyNumberFormat="1" applyFont="1" applyFill="1" applyBorder="1" applyAlignment="1">
      <alignment vertical="center"/>
    </xf>
    <xf numFmtId="4" fontId="5" fillId="4" borderId="4" xfId="0" applyNumberFormat="1" applyFont="1" applyFill="1" applyBorder="1" applyAlignment="1">
      <alignment vertical="center"/>
    </xf>
    <xf numFmtId="165" fontId="11" fillId="4" borderId="5" xfId="2" applyNumberFormat="1" applyFont="1" applyFill="1" applyBorder="1" applyAlignment="1">
      <alignment vertical="center"/>
    </xf>
    <xf numFmtId="165" fontId="11" fillId="4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5" fontId="11" fillId="4" borderId="4" xfId="2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5" fontId="13" fillId="0" borderId="0" xfId="2" applyNumberFormat="1" applyFont="1" applyBorder="1" applyAlignment="1">
      <alignment vertical="center"/>
    </xf>
    <xf numFmtId="165" fontId="13" fillId="0" borderId="0" xfId="2" applyNumberFormat="1" applyFont="1" applyBorder="1" applyAlignment="1">
      <alignment horizontal="right" vertical="center"/>
    </xf>
    <xf numFmtId="0" fontId="13" fillId="0" borderId="5" xfId="0" applyFont="1" applyBorder="1" applyAlignment="1">
      <alignment vertical="center"/>
    </xf>
    <xf numFmtId="44" fontId="4" fillId="0" borderId="0" xfId="0" applyNumberFormat="1" applyFont="1"/>
    <xf numFmtId="0" fontId="15" fillId="0" borderId="0" xfId="0" applyFont="1" applyAlignment="1">
      <alignment horizontal="center"/>
    </xf>
    <xf numFmtId="165" fontId="14" fillId="4" borderId="0" xfId="2" applyNumberFormat="1" applyFont="1" applyFill="1" applyAlignment="1">
      <alignment vertical="center"/>
    </xf>
    <xf numFmtId="0" fontId="14" fillId="4" borderId="0" xfId="0" applyFont="1" applyFill="1" applyAlignment="1">
      <alignment vertical="center"/>
    </xf>
    <xf numFmtId="165" fontId="13" fillId="4" borderId="5" xfId="2" applyNumberFormat="1" applyFont="1" applyFill="1" applyBorder="1" applyAlignment="1">
      <alignment horizontal="center" vertical="center"/>
    </xf>
    <xf numFmtId="2" fontId="13" fillId="4" borderId="5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165" fontId="13" fillId="4" borderId="5" xfId="2" applyNumberFormat="1" applyFont="1" applyFill="1" applyBorder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8" fillId="4" borderId="4" xfId="0" applyFont="1" applyFill="1" applyBorder="1" applyAlignment="1">
      <alignment horizontal="left" vertical="center" wrapText="1"/>
    </xf>
    <xf numFmtId="0" fontId="18" fillId="4" borderId="5" xfId="0" applyFont="1" applyFill="1" applyBorder="1" applyAlignment="1">
      <alignment horizontal="left" vertical="center" wrapText="1"/>
    </xf>
    <xf numFmtId="0" fontId="18" fillId="4" borderId="0" xfId="0" applyFont="1" applyFill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4" fontId="5" fillId="0" borderId="3" xfId="0" applyNumberFormat="1" applyFont="1" applyBorder="1" applyAlignment="1">
      <alignment vertical="center"/>
    </xf>
    <xf numFmtId="4" fontId="19" fillId="4" borderId="4" xfId="0" applyNumberFormat="1" applyFont="1" applyFill="1" applyBorder="1" applyAlignment="1">
      <alignment vertical="center"/>
    </xf>
    <xf numFmtId="4" fontId="19" fillId="4" borderId="4" xfId="0" applyNumberFormat="1" applyFont="1" applyFill="1" applyBorder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8" fillId="4" borderId="0" xfId="0" applyFont="1" applyFill="1" applyAlignment="1">
      <alignment horizontal="center" vertical="center"/>
    </xf>
    <xf numFmtId="165" fontId="13" fillId="4" borderId="0" xfId="2" applyNumberFormat="1" applyFont="1" applyFill="1" applyBorder="1" applyAlignment="1">
      <alignment horizontal="center" vertical="center"/>
    </xf>
    <xf numFmtId="165" fontId="13" fillId="4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 wrapText="1"/>
    </xf>
    <xf numFmtId="2" fontId="19" fillId="4" borderId="4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165" fontId="13" fillId="4" borderId="5" xfId="0" applyNumberFormat="1" applyFont="1" applyFill="1" applyBorder="1" applyAlignment="1">
      <alignment horizontal="center" vertical="center"/>
    </xf>
    <xf numFmtId="10" fontId="6" fillId="0" borderId="4" xfId="0" applyNumberFormat="1" applyFont="1" applyBorder="1" applyAlignment="1">
      <alignment vertical="center"/>
    </xf>
    <xf numFmtId="10" fontId="6" fillId="0" borderId="4" xfId="2" applyNumberFormat="1" applyFont="1" applyBorder="1" applyAlignment="1">
      <alignment vertical="center"/>
    </xf>
    <xf numFmtId="10" fontId="19" fillId="4" borderId="4" xfId="0" applyNumberFormat="1" applyFont="1" applyFill="1" applyBorder="1" applyAlignment="1">
      <alignment vertical="center"/>
    </xf>
    <xf numFmtId="165" fontId="8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2" fontId="14" fillId="4" borderId="0" xfId="0" applyNumberFormat="1" applyFont="1" applyFill="1" applyAlignment="1">
      <alignment horizontal="center" vertical="center"/>
    </xf>
    <xf numFmtId="165" fontId="19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2" fontId="18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2" fontId="19" fillId="4" borderId="0" xfId="2" applyNumberFormat="1" applyFont="1" applyFill="1" applyBorder="1" applyAlignment="1">
      <alignment horizontal="center" vertical="center"/>
    </xf>
    <xf numFmtId="2" fontId="19" fillId="4" borderId="4" xfId="2" applyNumberFormat="1" applyFont="1" applyFill="1" applyBorder="1" applyAlignment="1">
      <alignment horizontal="center" vertical="center"/>
    </xf>
    <xf numFmtId="165" fontId="19" fillId="4" borderId="4" xfId="2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24" fillId="4" borderId="0" xfId="0" applyFont="1" applyFill="1" applyAlignment="1">
      <alignment vertical="center"/>
    </xf>
    <xf numFmtId="0" fontId="24" fillId="4" borderId="0" xfId="0" applyFont="1" applyFill="1" applyAlignment="1">
      <alignment vertical="center" wrapText="1"/>
    </xf>
    <xf numFmtId="0" fontId="24" fillId="4" borderId="0" xfId="0" applyFont="1" applyFill="1" applyAlignment="1">
      <alignment horizontal="center" vertical="center"/>
    </xf>
    <xf numFmtId="165" fontId="18" fillId="4" borderId="0" xfId="2" applyNumberFormat="1" applyFont="1" applyFill="1" applyAlignment="1">
      <alignment vertical="center"/>
    </xf>
    <xf numFmtId="4" fontId="20" fillId="2" borderId="0" xfId="0" applyNumberFormat="1" applyFont="1" applyFill="1" applyAlignment="1">
      <alignment vertical="center"/>
    </xf>
    <xf numFmtId="4" fontId="20" fillId="2" borderId="0" xfId="0" applyNumberFormat="1" applyFont="1" applyFill="1" applyAlignment="1">
      <alignment horizontal="right" vertical="center"/>
    </xf>
    <xf numFmtId="4" fontId="19" fillId="4" borderId="0" xfId="0" applyNumberFormat="1" applyFont="1" applyFill="1" applyAlignment="1">
      <alignment vertical="center"/>
    </xf>
    <xf numFmtId="4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4" fontId="6" fillId="0" borderId="0" xfId="0" applyNumberFormat="1" applyFont="1"/>
    <xf numFmtId="2" fontId="21" fillId="0" borderId="0" xfId="0" applyNumberFormat="1" applyFont="1" applyAlignment="1">
      <alignment vertical="center"/>
    </xf>
    <xf numFmtId="4" fontId="23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vertical="center"/>
    </xf>
    <xf numFmtId="4" fontId="5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4" fontId="17" fillId="0" borderId="0" xfId="0" applyNumberFormat="1" applyFont="1" applyAlignment="1">
      <alignment horizontal="center" vertical="center"/>
    </xf>
    <xf numFmtId="4" fontId="19" fillId="4" borderId="0" xfId="0" applyNumberFormat="1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4" fontId="19" fillId="4" borderId="4" xfId="0" applyNumberFormat="1" applyFont="1" applyFill="1" applyBorder="1" applyAlignment="1">
      <alignment horizontal="center" vertical="center"/>
    </xf>
    <xf numFmtId="9" fontId="18" fillId="4" borderId="4" xfId="2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2" fontId="18" fillId="4" borderId="4" xfId="0" applyNumberFormat="1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165" fontId="6" fillId="0" borderId="0" xfId="2" applyNumberFormat="1" applyFont="1" applyAlignment="1">
      <alignment vertical="center"/>
    </xf>
    <xf numFmtId="165" fontId="6" fillId="0" borderId="0" xfId="2" applyNumberFormat="1" applyFont="1" applyFill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166" fontId="19" fillId="0" borderId="4" xfId="0" applyNumberFormat="1" applyFont="1" applyBorder="1" applyAlignment="1">
      <alignment horizontal="center" vertical="center"/>
    </xf>
    <xf numFmtId="1" fontId="19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7" fillId="0" borderId="0" xfId="0" applyFont="1"/>
    <xf numFmtId="4" fontId="27" fillId="0" borderId="0" xfId="0" applyNumberFormat="1" applyFont="1"/>
    <xf numFmtId="0" fontId="21" fillId="0" borderId="0" xfId="0" applyFont="1"/>
    <xf numFmtId="4" fontId="9" fillId="0" borderId="0" xfId="0" applyNumberFormat="1" applyFont="1" applyAlignment="1">
      <alignment vertical="center"/>
    </xf>
    <xf numFmtId="0" fontId="28" fillId="5" borderId="0" xfId="0" applyFont="1" applyFill="1" applyAlignment="1">
      <alignment horizontal="center" vertical="center" wrapText="1"/>
    </xf>
    <xf numFmtId="4" fontId="21" fillId="5" borderId="0" xfId="0" applyNumberFormat="1" applyFont="1" applyFill="1" applyAlignment="1">
      <alignment vertical="center"/>
    </xf>
    <xf numFmtId="4" fontId="28" fillId="5" borderId="0" xfId="0" applyNumberFormat="1" applyFont="1" applyFill="1" applyAlignment="1">
      <alignment vertical="center"/>
    </xf>
    <xf numFmtId="0" fontId="29" fillId="4" borderId="0" xfId="0" applyFont="1" applyFill="1" applyAlignment="1">
      <alignment vertical="center" wrapText="1"/>
    </xf>
    <xf numFmtId="165" fontId="13" fillId="4" borderId="0" xfId="2" applyNumberFormat="1" applyFont="1" applyFill="1" applyBorder="1" applyAlignment="1">
      <alignment horizontal="right" vertical="center"/>
    </xf>
    <xf numFmtId="9" fontId="4" fillId="0" borderId="0" xfId="2" applyFont="1" applyAlignment="1">
      <alignment vertical="center"/>
    </xf>
    <xf numFmtId="165" fontId="19" fillId="4" borderId="0" xfId="2" applyNumberFormat="1" applyFont="1" applyFill="1" applyBorder="1" applyAlignment="1">
      <alignment vertical="center"/>
    </xf>
    <xf numFmtId="10" fontId="19" fillId="4" borderId="0" xfId="0" applyNumberFormat="1" applyFont="1" applyFill="1" applyAlignment="1">
      <alignment vertical="center"/>
    </xf>
    <xf numFmtId="4" fontId="19" fillId="4" borderId="0" xfId="2" applyNumberFormat="1" applyFont="1" applyFill="1" applyBorder="1" applyAlignment="1">
      <alignment vertical="center"/>
    </xf>
    <xf numFmtId="0" fontId="22" fillId="4" borderId="0" xfId="0" applyFont="1" applyFill="1" applyAlignment="1">
      <alignment vertical="center" wrapText="1"/>
    </xf>
    <xf numFmtId="0" fontId="22" fillId="4" borderId="4" xfId="0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44" fontId="6" fillId="0" borderId="0" xfId="0" applyNumberFormat="1" applyFont="1" applyAlignment="1">
      <alignment vertical="center"/>
    </xf>
    <xf numFmtId="4" fontId="6" fillId="0" borderId="4" xfId="0" applyNumberFormat="1" applyFont="1" applyBorder="1" applyAlignment="1">
      <alignment vertical="center"/>
    </xf>
    <xf numFmtId="165" fontId="13" fillId="0" borderId="5" xfId="2" applyNumberFormat="1" applyFont="1" applyBorder="1" applyAlignment="1">
      <alignment vertical="center"/>
    </xf>
    <xf numFmtId="0" fontId="30" fillId="0" borderId="5" xfId="0" applyFont="1" applyBorder="1" applyAlignment="1">
      <alignment vertical="center"/>
    </xf>
    <xf numFmtId="165" fontId="30" fillId="0" borderId="5" xfId="2" applyNumberFormat="1" applyFont="1" applyBorder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2" applyNumberFormat="1" applyFont="1" applyBorder="1" applyAlignment="1">
      <alignment vertical="center"/>
    </xf>
    <xf numFmtId="4" fontId="5" fillId="0" borderId="0" xfId="0" applyNumberFormat="1" applyFont="1" applyAlignment="1">
      <alignment vertical="center"/>
    </xf>
    <xf numFmtId="0" fontId="5" fillId="0" borderId="6" xfId="0" applyFont="1" applyBorder="1" applyAlignment="1">
      <alignment vertical="center"/>
    </xf>
    <xf numFmtId="4" fontId="5" fillId="0" borderId="9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10" xfId="2" applyNumberFormat="1" applyFont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4" fontId="6" fillId="4" borderId="4" xfId="0" applyNumberFormat="1" applyFont="1" applyFill="1" applyBorder="1" applyAlignment="1">
      <alignment vertical="center"/>
    </xf>
    <xf numFmtId="0" fontId="5" fillId="4" borderId="0" xfId="0" applyFont="1" applyFill="1" applyAlignment="1">
      <alignment horizontal="left" vertical="center"/>
    </xf>
    <xf numFmtId="0" fontId="5" fillId="6" borderId="4" xfId="0" applyFont="1" applyFill="1" applyBorder="1" applyAlignment="1">
      <alignment vertical="center"/>
    </xf>
    <xf numFmtId="4" fontId="5" fillId="6" borderId="4" xfId="0" applyNumberFormat="1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165" fontId="11" fillId="6" borderId="0" xfId="2" applyNumberFormat="1" applyFont="1" applyFill="1" applyBorder="1" applyAlignment="1">
      <alignment vertical="center"/>
    </xf>
    <xf numFmtId="165" fontId="13" fillId="6" borderId="0" xfId="2" applyNumberFormat="1" applyFont="1" applyFill="1" applyBorder="1" applyAlignment="1">
      <alignment vertical="center"/>
    </xf>
    <xf numFmtId="0" fontId="30" fillId="6" borderId="5" xfId="0" applyFont="1" applyFill="1" applyBorder="1" applyAlignment="1">
      <alignment vertical="center"/>
    </xf>
    <xf numFmtId="165" fontId="11" fillId="6" borderId="5" xfId="2" applyNumberFormat="1" applyFont="1" applyFill="1" applyBorder="1" applyAlignment="1">
      <alignment vertical="center"/>
    </xf>
    <xf numFmtId="165" fontId="30" fillId="6" borderId="5" xfId="2" applyNumberFormat="1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165" fontId="11" fillId="6" borderId="4" xfId="2" applyNumberFormat="1" applyFont="1" applyFill="1" applyBorder="1" applyAlignment="1">
      <alignment horizontal="center" vertical="center"/>
    </xf>
    <xf numFmtId="0" fontId="30" fillId="6" borderId="0" xfId="0" applyFont="1" applyFill="1" applyAlignment="1">
      <alignment vertical="center"/>
    </xf>
    <xf numFmtId="165" fontId="30" fillId="6" borderId="0" xfId="2" applyNumberFormat="1" applyFont="1" applyFill="1" applyBorder="1" applyAlignment="1">
      <alignment vertical="center"/>
    </xf>
    <xf numFmtId="165" fontId="13" fillId="4" borderId="0" xfId="2" applyNumberFormat="1" applyFont="1" applyFill="1" applyBorder="1" applyAlignment="1">
      <alignment vertical="center"/>
    </xf>
    <xf numFmtId="0" fontId="30" fillId="4" borderId="5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left" vertical="center"/>
    </xf>
    <xf numFmtId="4" fontId="5" fillId="7" borderId="4" xfId="0" applyNumberFormat="1" applyFont="1" applyFill="1" applyBorder="1" applyAlignment="1">
      <alignment vertical="center"/>
    </xf>
    <xf numFmtId="0" fontId="13" fillId="7" borderId="0" xfId="0" applyFont="1" applyFill="1" applyAlignment="1">
      <alignment vertical="center"/>
    </xf>
    <xf numFmtId="165" fontId="13" fillId="7" borderId="0" xfId="2" applyNumberFormat="1" applyFont="1" applyFill="1" applyBorder="1" applyAlignment="1">
      <alignment vertical="center"/>
    </xf>
    <xf numFmtId="0" fontId="30" fillId="7" borderId="5" xfId="0" applyFont="1" applyFill="1" applyBorder="1" applyAlignment="1">
      <alignment vertical="center"/>
    </xf>
    <xf numFmtId="165" fontId="11" fillId="7" borderId="5" xfId="2" applyNumberFormat="1" applyFont="1" applyFill="1" applyBorder="1" applyAlignment="1">
      <alignment vertical="center"/>
    </xf>
    <xf numFmtId="165" fontId="30" fillId="7" borderId="5" xfId="2" applyNumberFormat="1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30" fillId="4" borderId="0" xfId="0" applyFont="1" applyFill="1" applyAlignment="1">
      <alignment vertical="center" wrapText="1"/>
    </xf>
    <xf numFmtId="165" fontId="30" fillId="4" borderId="0" xfId="2" applyNumberFormat="1" applyFont="1" applyFill="1" applyBorder="1" applyAlignment="1">
      <alignment horizontal="right" vertical="center"/>
    </xf>
    <xf numFmtId="0" fontId="30" fillId="4" borderId="0" xfId="0" applyFont="1" applyFill="1" applyAlignment="1">
      <alignment horizontal="right" vertical="center"/>
    </xf>
    <xf numFmtId="0" fontId="30" fillId="4" borderId="5" xfId="0" applyFont="1" applyFill="1" applyBorder="1" applyAlignment="1">
      <alignment vertical="center" wrapText="1"/>
    </xf>
    <xf numFmtId="165" fontId="30" fillId="4" borderId="5" xfId="2" applyNumberFormat="1" applyFont="1" applyFill="1" applyBorder="1" applyAlignment="1">
      <alignment horizontal="right" vertical="center"/>
    </xf>
    <xf numFmtId="165" fontId="30" fillId="4" borderId="0" xfId="2" applyNumberFormat="1" applyFont="1" applyFill="1" applyAlignment="1">
      <alignment horizontal="right" vertical="center"/>
    </xf>
    <xf numFmtId="0" fontId="5" fillId="0" borderId="4" xfId="0" applyFont="1" applyBorder="1" applyAlignment="1">
      <alignment vertical="center" wrapText="1"/>
    </xf>
    <xf numFmtId="0" fontId="30" fillId="4" borderId="5" xfId="0" applyFont="1" applyFill="1" applyBorder="1" applyAlignment="1">
      <alignment horizontal="left" vertical="center" wrapText="1"/>
    </xf>
    <xf numFmtId="0" fontId="31" fillId="4" borderId="5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right" vertical="center"/>
    </xf>
    <xf numFmtId="0" fontId="18" fillId="4" borderId="4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165" fontId="13" fillId="4" borderId="5" xfId="2" applyNumberFormat="1" applyFont="1" applyFill="1" applyBorder="1" applyAlignment="1">
      <alignment vertical="center"/>
    </xf>
    <xf numFmtId="10" fontId="18" fillId="4" borderId="4" xfId="2" applyNumberFormat="1" applyFont="1" applyFill="1" applyBorder="1" applyAlignment="1">
      <alignment horizontal="center" vertical="center"/>
    </xf>
    <xf numFmtId="10" fontId="18" fillId="4" borderId="4" xfId="0" applyNumberFormat="1" applyFont="1" applyFill="1" applyBorder="1" applyAlignment="1">
      <alignment horizontal="center" vertical="center"/>
    </xf>
    <xf numFmtId="10" fontId="14" fillId="4" borderId="0" xfId="0" applyNumberFormat="1" applyFont="1" applyFill="1" applyAlignment="1">
      <alignment vertical="center"/>
    </xf>
    <xf numFmtId="0" fontId="26" fillId="0" borderId="0" xfId="0" applyFont="1" applyAlignment="1">
      <alignment vertical="center" wrapText="1"/>
    </xf>
    <xf numFmtId="44" fontId="26" fillId="0" borderId="0" xfId="1" applyFont="1" applyAlignment="1">
      <alignment vertical="center" wrapText="1"/>
    </xf>
    <xf numFmtId="44" fontId="26" fillId="0" borderId="0" xfId="0" applyNumberFormat="1" applyFont="1" applyAlignment="1">
      <alignment vertical="center" wrapText="1"/>
    </xf>
    <xf numFmtId="0" fontId="25" fillId="0" borderId="3" xfId="0" applyFont="1" applyBorder="1" applyAlignment="1">
      <alignment vertical="center" wrapText="1"/>
    </xf>
    <xf numFmtId="44" fontId="25" fillId="0" borderId="3" xfId="0" applyNumberFormat="1" applyFont="1" applyBorder="1" applyAlignment="1">
      <alignment vertical="center" wrapText="1"/>
    </xf>
    <xf numFmtId="44" fontId="4" fillId="0" borderId="0" xfId="1" applyFont="1" applyAlignment="1">
      <alignment horizontal="center" vertical="center"/>
    </xf>
    <xf numFmtId="10" fontId="4" fillId="0" borderId="0" xfId="2" applyNumberFormat="1" applyFont="1" applyAlignment="1">
      <alignment vertical="center"/>
    </xf>
    <xf numFmtId="4" fontId="32" fillId="0" borderId="0" xfId="0" applyNumberFormat="1" applyFont="1"/>
    <xf numFmtId="44" fontId="6" fillId="0" borderId="0" xfId="1" applyFont="1" applyAlignment="1">
      <alignment vertical="center"/>
    </xf>
    <xf numFmtId="0" fontId="33" fillId="4" borderId="0" xfId="0" applyFont="1" applyFill="1" applyAlignment="1">
      <alignment horizontal="center" vertical="center"/>
    </xf>
    <xf numFmtId="0" fontId="33" fillId="4" borderId="0" xfId="0" applyFont="1" applyFill="1" applyAlignment="1">
      <alignment horizontal="center" vertical="center" wrapText="1"/>
    </xf>
    <xf numFmtId="17" fontId="4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7" fontId="34" fillId="0" borderId="0" xfId="0" applyNumberFormat="1" applyFont="1" applyAlignment="1">
      <alignment vertical="center"/>
    </xf>
    <xf numFmtId="0" fontId="35" fillId="4" borderId="0" xfId="0" applyFont="1" applyFill="1" applyAlignment="1">
      <alignment vertical="center"/>
    </xf>
    <xf numFmtId="0" fontId="36" fillId="4" borderId="0" xfId="0" applyFont="1" applyFill="1" applyAlignment="1">
      <alignment horizontal="right" vertical="center"/>
    </xf>
    <xf numFmtId="0" fontId="37" fillId="4" borderId="0" xfId="0" applyFont="1" applyFill="1" applyAlignment="1">
      <alignment horizontal="right" vertical="center"/>
    </xf>
    <xf numFmtId="17" fontId="6" fillId="0" borderId="0" xfId="0" applyNumberFormat="1" applyFont="1" applyAlignment="1">
      <alignment vertical="center"/>
    </xf>
    <xf numFmtId="17" fontId="38" fillId="4" borderId="0" xfId="0" applyNumberFormat="1" applyFont="1" applyFill="1" applyAlignment="1">
      <alignment horizontal="right" vertical="center"/>
    </xf>
    <xf numFmtId="0" fontId="22" fillId="4" borderId="0" xfId="0" applyFont="1" applyFill="1" applyAlignment="1">
      <alignment vertical="center"/>
    </xf>
    <xf numFmtId="0" fontId="23" fillId="4" borderId="0" xfId="0" applyFont="1" applyFill="1" applyAlignment="1">
      <alignment horizontal="right" vertical="center"/>
    </xf>
    <xf numFmtId="0" fontId="22" fillId="4" borderId="4" xfId="0" applyFont="1" applyFill="1" applyBorder="1" applyAlignment="1">
      <alignment vertical="center"/>
    </xf>
    <xf numFmtId="44" fontId="6" fillId="4" borderId="0" xfId="1" applyFont="1" applyFill="1" applyBorder="1" applyAlignment="1">
      <alignment horizontal="right" vertical="center"/>
    </xf>
    <xf numFmtId="44" fontId="6" fillId="4" borderId="0" xfId="0" applyNumberFormat="1" applyFont="1" applyFill="1" applyAlignment="1">
      <alignment horizontal="right" vertical="center"/>
    </xf>
    <xf numFmtId="44" fontId="6" fillId="0" borderId="4" xfId="0" applyNumberFormat="1" applyFont="1" applyBorder="1" applyAlignment="1">
      <alignment vertical="center"/>
    </xf>
    <xf numFmtId="44" fontId="6" fillId="0" borderId="4" xfId="1" applyFont="1" applyFill="1" applyBorder="1" applyAlignment="1">
      <alignment vertical="center"/>
    </xf>
    <xf numFmtId="4" fontId="30" fillId="0" borderId="0" xfId="0" applyNumberFormat="1" applyFont="1" applyAlignment="1">
      <alignment vertical="center"/>
    </xf>
    <xf numFmtId="0" fontId="39" fillId="8" borderId="0" xfId="0" applyFont="1" applyFill="1" applyAlignment="1">
      <alignment horizontal="center" wrapText="1"/>
    </xf>
    <xf numFmtId="10" fontId="6" fillId="0" borderId="0" xfId="2" applyNumberFormat="1" applyFont="1" applyAlignment="1">
      <alignment vertical="center"/>
    </xf>
    <xf numFmtId="4" fontId="40" fillId="0" borderId="0" xfId="0" applyNumberFormat="1" applyFont="1"/>
    <xf numFmtId="10" fontId="6" fillId="0" borderId="0" xfId="2" applyNumberFormat="1" applyFont="1"/>
    <xf numFmtId="44" fontId="6" fillId="0" borderId="0" xfId="1" applyFont="1"/>
    <xf numFmtId="0" fontId="39" fillId="8" borderId="0" xfId="0" applyFont="1" applyFill="1" applyAlignment="1">
      <alignment horizontal="center" vertical="center" wrapText="1"/>
    </xf>
    <xf numFmtId="0" fontId="5" fillId="9" borderId="4" xfId="0" applyFont="1" applyFill="1" applyBorder="1" applyAlignment="1">
      <alignment vertical="center"/>
    </xf>
    <xf numFmtId="4" fontId="5" fillId="9" borderId="4" xfId="0" applyNumberFormat="1" applyFont="1" applyFill="1" applyBorder="1" applyAlignment="1">
      <alignment vertical="center"/>
    </xf>
    <xf numFmtId="0" fontId="13" fillId="9" borderId="0" xfId="0" applyFont="1" applyFill="1" applyAlignment="1">
      <alignment vertical="center"/>
    </xf>
    <xf numFmtId="165" fontId="13" fillId="9" borderId="0" xfId="2" applyNumberFormat="1" applyFont="1" applyFill="1" applyBorder="1" applyAlignment="1">
      <alignment horizontal="right" vertical="center"/>
    </xf>
    <xf numFmtId="0" fontId="13" fillId="9" borderId="5" xfId="0" applyFont="1" applyFill="1" applyBorder="1" applyAlignment="1">
      <alignment vertical="center"/>
    </xf>
    <xf numFmtId="166" fontId="13" fillId="9" borderId="5" xfId="0" applyNumberFormat="1" applyFont="1" applyFill="1" applyBorder="1" applyAlignment="1">
      <alignment vertical="center"/>
    </xf>
    <xf numFmtId="165" fontId="13" fillId="9" borderId="0" xfId="2" applyNumberFormat="1" applyFont="1" applyFill="1" applyBorder="1" applyAlignment="1">
      <alignment vertical="center"/>
    </xf>
    <xf numFmtId="4" fontId="6" fillId="4" borderId="0" xfId="0" applyNumberFormat="1" applyFont="1" applyFill="1" applyAlignment="1">
      <alignment horizontal="right" vertical="center"/>
    </xf>
    <xf numFmtId="0" fontId="5" fillId="10" borderId="4" xfId="0" applyFont="1" applyFill="1" applyBorder="1" applyAlignment="1">
      <alignment vertical="center"/>
    </xf>
    <xf numFmtId="4" fontId="5" fillId="10" borderId="4" xfId="0" applyNumberFormat="1" applyFont="1" applyFill="1" applyBorder="1" applyAlignment="1">
      <alignment vertical="center"/>
    </xf>
    <xf numFmtId="0" fontId="13" fillId="10" borderId="0" xfId="0" applyFont="1" applyFill="1" applyAlignment="1">
      <alignment vertical="center"/>
    </xf>
    <xf numFmtId="165" fontId="13" fillId="10" borderId="0" xfId="2" applyNumberFormat="1" applyFont="1" applyFill="1" applyBorder="1" applyAlignment="1">
      <alignment horizontal="right" vertical="center"/>
    </xf>
    <xf numFmtId="0" fontId="13" fillId="10" borderId="5" xfId="0" applyFont="1" applyFill="1" applyBorder="1" applyAlignment="1">
      <alignment vertical="center"/>
    </xf>
    <xf numFmtId="166" fontId="13" fillId="10" borderId="5" xfId="0" applyNumberFormat="1" applyFont="1" applyFill="1" applyBorder="1" applyAlignment="1">
      <alignment vertical="center"/>
    </xf>
    <xf numFmtId="4" fontId="13" fillId="0" borderId="0" xfId="0" applyNumberFormat="1" applyFont="1" applyAlignment="1">
      <alignment vertical="center"/>
    </xf>
    <xf numFmtId="44" fontId="6" fillId="0" borderId="0" xfId="0" applyNumberFormat="1" applyFont="1"/>
    <xf numFmtId="0" fontId="41" fillId="0" borderId="5" xfId="0" applyFont="1" applyBorder="1" applyAlignment="1">
      <alignment vertical="center"/>
    </xf>
    <xf numFmtId="165" fontId="41" fillId="0" borderId="5" xfId="2" applyNumberFormat="1" applyFont="1" applyBorder="1" applyAlignment="1">
      <alignment vertical="center"/>
    </xf>
    <xf numFmtId="0" fontId="41" fillId="0" borderId="0" xfId="0" applyFont="1" applyAlignment="1">
      <alignment vertical="center"/>
    </xf>
    <xf numFmtId="165" fontId="6" fillId="0" borderId="0" xfId="2" applyNumberFormat="1" applyFont="1"/>
    <xf numFmtId="0" fontId="0" fillId="8" borderId="11" xfId="0" applyFill="1" applyBorder="1" applyAlignment="1">
      <alignment horizontal="center" wrapText="1"/>
    </xf>
    <xf numFmtId="0" fontId="0" fillId="8" borderId="12" xfId="0" applyFill="1" applyBorder="1" applyAlignment="1">
      <alignment horizontal="center" vertical="center"/>
    </xf>
    <xf numFmtId="165" fontId="12" fillId="6" borderId="4" xfId="2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vertical="center"/>
    </xf>
    <xf numFmtId="4" fontId="5" fillId="11" borderId="4" xfId="0" applyNumberFormat="1" applyFont="1" applyFill="1" applyBorder="1" applyAlignment="1">
      <alignment vertical="center"/>
    </xf>
    <xf numFmtId="0" fontId="13" fillId="11" borderId="0" xfId="0" applyFont="1" applyFill="1" applyAlignment="1">
      <alignment vertical="center"/>
    </xf>
    <xf numFmtId="165" fontId="13" fillId="11" borderId="0" xfId="2" applyNumberFormat="1" applyFont="1" applyFill="1" applyBorder="1" applyAlignment="1">
      <alignment horizontal="right" vertical="center"/>
    </xf>
    <xf numFmtId="0" fontId="13" fillId="11" borderId="5" xfId="0" applyFont="1" applyFill="1" applyBorder="1" applyAlignment="1">
      <alignment vertical="center"/>
    </xf>
    <xf numFmtId="166" fontId="13" fillId="11" borderId="5" xfId="0" applyNumberFormat="1" applyFont="1" applyFill="1" applyBorder="1" applyAlignment="1">
      <alignment vertical="center"/>
    </xf>
    <xf numFmtId="10" fontId="21" fillId="0" borderId="0" xfId="2" applyNumberFormat="1" applyFont="1"/>
    <xf numFmtId="44" fontId="21" fillId="0" borderId="0" xfId="1" applyFont="1"/>
    <xf numFmtId="168" fontId="21" fillId="0" borderId="0" xfId="0" applyNumberFormat="1" applyFont="1" applyAlignment="1">
      <alignment horizontal="right"/>
    </xf>
    <xf numFmtId="168" fontId="21" fillId="0" borderId="13" xfId="0" applyNumberFormat="1" applyFont="1" applyBorder="1"/>
    <xf numFmtId="168" fontId="21" fillId="0" borderId="13" xfId="0" applyNumberFormat="1" applyFont="1" applyBorder="1" applyAlignment="1">
      <alignment horizontal="right"/>
    </xf>
    <xf numFmtId="4" fontId="21" fillId="0" borderId="0" xfId="0" applyNumberFormat="1" applyFont="1"/>
    <xf numFmtId="0" fontId="21" fillId="0" borderId="13" xfId="0" applyFont="1" applyBorder="1"/>
    <xf numFmtId="10" fontId="21" fillId="0" borderId="13" xfId="2" applyNumberFormat="1" applyFont="1" applyBorder="1"/>
    <xf numFmtId="0" fontId="2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13" xfId="0" applyFont="1" applyBorder="1" applyAlignment="1">
      <alignment vertical="center" wrapText="1"/>
    </xf>
    <xf numFmtId="169" fontId="21" fillId="0" borderId="13" xfId="1" applyNumberFormat="1" applyFont="1" applyBorder="1" applyAlignment="1">
      <alignment vertical="center"/>
    </xf>
    <xf numFmtId="0" fontId="21" fillId="0" borderId="14" xfId="0" applyFont="1" applyBorder="1"/>
    <xf numFmtId="10" fontId="21" fillId="0" borderId="0" xfId="0" applyNumberFormat="1" applyFont="1" applyAlignment="1">
      <alignment horizontal="right" vertical="center"/>
    </xf>
    <xf numFmtId="44" fontId="21" fillId="0" borderId="0" xfId="0" applyNumberFormat="1" applyFont="1"/>
    <xf numFmtId="44" fontId="6" fillId="4" borderId="0" xfId="1" applyFont="1" applyFill="1" applyAlignment="1">
      <alignment horizontal="right" vertical="center"/>
    </xf>
    <xf numFmtId="44" fontId="6" fillId="4" borderId="0" xfId="1" applyFont="1" applyFill="1" applyAlignment="1">
      <alignment vertical="center"/>
    </xf>
    <xf numFmtId="0" fontId="42" fillId="0" borderId="0" xfId="0" applyFont="1" applyAlignment="1">
      <alignment vertical="center"/>
    </xf>
    <xf numFmtId="44" fontId="42" fillId="0" borderId="0" xfId="1" applyFont="1" applyAlignment="1">
      <alignment vertical="center"/>
    </xf>
    <xf numFmtId="44" fontId="42" fillId="0" borderId="0" xfId="0" applyNumberFormat="1" applyFont="1" applyAlignment="1">
      <alignment vertical="center"/>
    </xf>
    <xf numFmtId="10" fontId="42" fillId="0" borderId="0" xfId="2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17" fontId="13" fillId="4" borderId="0" xfId="0" applyNumberFormat="1" applyFont="1" applyFill="1" applyAlignment="1">
      <alignment horizontal="right" vertical="center"/>
    </xf>
    <xf numFmtId="44" fontId="9" fillId="0" borderId="0" xfId="2" applyNumberFormat="1" applyFont="1" applyAlignment="1">
      <alignment vertical="center"/>
    </xf>
    <xf numFmtId="10" fontId="9" fillId="0" borderId="0" xfId="2" applyNumberFormat="1" applyFont="1" applyAlignment="1">
      <alignment vertical="center"/>
    </xf>
    <xf numFmtId="44" fontId="9" fillId="0" borderId="0" xfId="0" applyNumberFormat="1" applyFont="1" applyAlignment="1">
      <alignment vertical="center"/>
    </xf>
    <xf numFmtId="44" fontId="35" fillId="4" borderId="0" xfId="0" applyNumberFormat="1" applyFont="1" applyFill="1" applyAlignment="1">
      <alignment vertical="center"/>
    </xf>
    <xf numFmtId="44" fontId="13" fillId="4" borderId="0" xfId="0" applyNumberFormat="1" applyFont="1" applyFill="1" applyAlignment="1">
      <alignment horizontal="right" vertical="center"/>
    </xf>
    <xf numFmtId="10" fontId="4" fillId="0" borderId="0" xfId="0" applyNumberFormat="1" applyFont="1" applyAlignment="1">
      <alignment vertical="center"/>
    </xf>
    <xf numFmtId="44" fontId="19" fillId="4" borderId="0" xfId="0" applyNumberFormat="1" applyFont="1" applyFill="1" applyAlignment="1">
      <alignment vertical="center"/>
    </xf>
    <xf numFmtId="165" fontId="37" fillId="4" borderId="0" xfId="2" applyNumberFormat="1" applyFont="1" applyFill="1" applyAlignment="1">
      <alignment horizontal="right" vertical="center"/>
    </xf>
    <xf numFmtId="44" fontId="34" fillId="0" borderId="0" xfId="0" applyNumberFormat="1" applyFont="1" applyAlignment="1">
      <alignment vertical="center"/>
    </xf>
    <xf numFmtId="10" fontId="30" fillId="0" borderId="0" xfId="2" applyNumberFormat="1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165" fontId="11" fillId="7" borderId="4" xfId="2" applyNumberFormat="1" applyFont="1" applyFill="1" applyBorder="1" applyAlignment="1">
      <alignment horizontal="center" vertical="center"/>
    </xf>
    <xf numFmtId="165" fontId="11" fillId="7" borderId="0" xfId="2" applyNumberFormat="1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 vertical="center" wrapText="1"/>
    </xf>
    <xf numFmtId="44" fontId="22" fillId="4" borderId="4" xfId="1" applyFont="1" applyFill="1" applyBorder="1" applyAlignment="1">
      <alignment horizontal="center" vertical="center" wrapText="1"/>
    </xf>
    <xf numFmtId="44" fontId="22" fillId="4" borderId="0" xfId="1" applyFont="1" applyFill="1" applyBorder="1" applyAlignment="1">
      <alignment horizontal="center" vertical="center" wrapText="1"/>
    </xf>
    <xf numFmtId="44" fontId="22" fillId="4" borderId="5" xfId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left" vertical="center" wrapText="1"/>
    </xf>
    <xf numFmtId="0" fontId="18" fillId="4" borderId="5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AAF2B"/>
      <color rgb="FFDAB02A"/>
      <color rgb="FFFFC700"/>
      <color rgb="FFFF52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Performance</c:v>
          </c:tx>
          <c:spPr>
            <a:ln w="34925" cap="rnd">
              <a:solidFill>
                <a:srgbClr val="DAAF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'Indicadores de Faturamento'!$L$2:$R$2</c:f>
              <c:strCach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2024 Projetado</c:v>
                </c:pt>
              </c:strCache>
            </c:strRef>
          </c:cat>
          <c:val>
            <c:numRef>
              <c:f>'Indicadores de Faturamento'!$B$3:$H$3</c:f>
              <c:numCache>
                <c:formatCode>#,##0.00</c:formatCode>
                <c:ptCount val="7"/>
                <c:pt idx="0">
                  <c:v>29627709.449999999</c:v>
                </c:pt>
                <c:pt idx="1">
                  <c:v>45281257.060000002</c:v>
                </c:pt>
                <c:pt idx="2">
                  <c:v>98007597.050000012</c:v>
                </c:pt>
                <c:pt idx="3">
                  <c:v>114931874.53</c:v>
                </c:pt>
                <c:pt idx="4">
                  <c:v>105955026.69000001</c:v>
                </c:pt>
                <c:pt idx="5">
                  <c:v>107321167.56999999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4-C546-BF8F-3F069EA0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RECEITA LÍQUIDA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288471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Meta</c:v>
          </c:tx>
          <c:spPr>
            <a:ln w="34925" cap="rnd">
              <a:solidFill>
                <a:srgbClr val="DAB02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Faturamento'!$V$2:$AG$2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'Indicadores de Faturamento'!$V$13:$AG$13</c:f>
              <c:numCache>
                <c:formatCode>_("R$"* #,##0.00_);_("R$"* \(#,##0.00\);_("R$"* "-"??_);_(@_)</c:formatCode>
                <c:ptCount val="12"/>
                <c:pt idx="0">
                  <c:v>1600000</c:v>
                </c:pt>
                <c:pt idx="1">
                  <c:v>1600000</c:v>
                </c:pt>
                <c:pt idx="2">
                  <c:v>1600000</c:v>
                </c:pt>
                <c:pt idx="3">
                  <c:v>2100000</c:v>
                </c:pt>
                <c:pt idx="4">
                  <c:v>2300000</c:v>
                </c:pt>
                <c:pt idx="5">
                  <c:v>2300000</c:v>
                </c:pt>
                <c:pt idx="6">
                  <c:v>2000000</c:v>
                </c:pt>
                <c:pt idx="7">
                  <c:v>2100000</c:v>
                </c:pt>
                <c:pt idx="8">
                  <c:v>2100000</c:v>
                </c:pt>
                <c:pt idx="9">
                  <c:v>2000000</c:v>
                </c:pt>
                <c:pt idx="10">
                  <c:v>2000000</c:v>
                </c:pt>
                <c:pt idx="11">
                  <c:v>2200000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2-EF4C-BE68-E10AB56B0A90}"/>
            </c:ext>
          </c:extLst>
        </c:ser>
        <c:ser>
          <c:idx val="0"/>
          <c:order val="1"/>
          <c:tx>
            <c:v>Faturamento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Faturamento'!$V$2:$AG$2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'Indicadores de Faturamento'!$V$15:$AG$15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2-EF4C-BE68-E10AB56B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dateAx>
        <c:axId val="2041036623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Offset val="100"/>
        <c:baseTimeUnit val="months"/>
      </c:dateAx>
      <c:valAx>
        <c:axId val="301792400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PRESTAÇÃO DE SERVICOS</a:t>
                </a:r>
              </a:p>
            </c:rich>
          </c:tx>
          <c:layout>
            <c:manualLayout>
              <c:xMode val="edge"/>
              <c:yMode val="edge"/>
              <c:x val="2.8555277777777777E-2"/>
              <c:y val="0.2284991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Meta</c:v>
          </c:tx>
          <c:spPr>
            <a:ln w="34925" cap="rnd">
              <a:solidFill>
                <a:srgbClr val="DAAF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Faturamento'!$V$2:$AG$2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'Indicadores de Faturamento'!$V$18:$AG$18</c:f>
              <c:numCache>
                <c:formatCode>_("R$"* #,##0.00_);_("R$"* \(#,##0.00\);_("R$"* "-"??_);_(@_)</c:formatCode>
                <c:ptCount val="12"/>
                <c:pt idx="0">
                  <c:v>9500000</c:v>
                </c:pt>
                <c:pt idx="1">
                  <c:v>11700000</c:v>
                </c:pt>
                <c:pt idx="2">
                  <c:v>12600000</c:v>
                </c:pt>
                <c:pt idx="3">
                  <c:v>12400000</c:v>
                </c:pt>
                <c:pt idx="4">
                  <c:v>13600000</c:v>
                </c:pt>
                <c:pt idx="5">
                  <c:v>13600000</c:v>
                </c:pt>
                <c:pt idx="6">
                  <c:v>14000000</c:v>
                </c:pt>
                <c:pt idx="7">
                  <c:v>15600000</c:v>
                </c:pt>
                <c:pt idx="8">
                  <c:v>15000000</c:v>
                </c:pt>
                <c:pt idx="9">
                  <c:v>13900000</c:v>
                </c:pt>
                <c:pt idx="10">
                  <c:v>12500000</c:v>
                </c:pt>
                <c:pt idx="11">
                  <c:v>9700000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243-A6E0-7863C8102F6C}"/>
            </c:ext>
          </c:extLst>
        </c:ser>
        <c:ser>
          <c:idx val="0"/>
          <c:order val="1"/>
          <c:tx>
            <c:v>Faturamento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Faturamento'!$V$2:$AG$2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'Indicadores de Faturamento'!$V$20:$AG$20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E-4243-A6E0-7863C810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dateAx>
        <c:axId val="2041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Offset val="100"/>
        <c:baseTimeUnit val="months"/>
      </c:dateAx>
      <c:valAx>
        <c:axId val="301792400"/>
        <c:scaling>
          <c:orientation val="minMax"/>
          <c:max val="2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GLOBAL</a:t>
                </a:r>
              </a:p>
            </c:rich>
          </c:tx>
          <c:layout>
            <c:manualLayout>
              <c:xMode val="edge"/>
              <c:yMode val="edge"/>
              <c:x val="2.8555277777777777E-2"/>
              <c:y val="0.2284991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4"/>
          <c:order val="0"/>
          <c:tx>
            <c:v>Performance</c:v>
          </c:tx>
          <c:spPr>
            <a:ln w="34925" cap="rnd">
              <a:solidFill>
                <a:srgbClr val="DAB02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Faturamento'!$L$2:$Q$2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'Indicadores de Faturamento'!$B$5:$G$5</c:f>
              <c:numCache>
                <c:formatCode>#,##0.00</c:formatCode>
                <c:ptCount val="6"/>
                <c:pt idx="0">
                  <c:v>32988040.059999999</c:v>
                </c:pt>
                <c:pt idx="1">
                  <c:v>48688781.230000004</c:v>
                </c:pt>
                <c:pt idx="2">
                  <c:v>105387486.90000001</c:v>
                </c:pt>
                <c:pt idx="3">
                  <c:v>128287177.67</c:v>
                </c:pt>
                <c:pt idx="4">
                  <c:v>118657544.68000001</c:v>
                </c:pt>
                <c:pt idx="5">
                  <c:v>119046441.11999999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9B48-B934-532C73C85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50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GLOBAL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2630863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barChart>
        <c:barDir val="bar"/>
        <c:grouping val="clustered"/>
        <c:varyColors val="0"/>
        <c:ser>
          <c:idx val="4"/>
          <c:order val="0"/>
          <c:tx>
            <c:v>Global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'Indicadores de Faturamento'!$AN$3:$AN$4</c:f>
              <c:numCache>
                <c:formatCode>General</c:formatCode>
                <c:ptCount val="2"/>
              </c:numCache>
            </c:numRef>
          </c:cat>
          <c:val>
            <c:numRef>
              <c:f>('Indicadores de Faturamento'!$AI$18,'Indicadores de Faturamento'!$AI$20)</c:f>
              <c:numCache>
                <c:formatCode>_("R$"* #,##0.00_);_("R$"* \(#,##0.00\);_("R$"* "-"??_);_(@_)</c:formatCode>
                <c:ptCount val="2"/>
                <c:pt idx="0">
                  <c:v>154100000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5F4C-8FC0-42D9E3BE2E5B}"/>
            </c:ext>
          </c:extLst>
        </c:ser>
        <c:ser>
          <c:idx val="0"/>
          <c:order val="1"/>
          <c:tx>
            <c:v>Mercado Interno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'Indicadores de Faturamento'!$AN$3:$AN$4</c:f>
              <c:numCache>
                <c:formatCode>General</c:formatCode>
                <c:ptCount val="2"/>
              </c:numCache>
            </c:numRef>
          </c:cat>
          <c:val>
            <c:numRef>
              <c:f>('Indicadores de Faturamento'!$AI$3,'Indicadores de Faturamento'!$AI$5)</c:f>
              <c:numCache>
                <c:formatCode>_("R$"* #,##0.00_);_("R$"* \(#,##0.00\);_("R$"* "-"??_);_(@_)</c:formatCode>
                <c:ptCount val="2"/>
                <c:pt idx="0">
                  <c:v>78000000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5F4C-8FC0-42D9E3BE2E5B}"/>
            </c:ext>
          </c:extLst>
        </c:ser>
        <c:ser>
          <c:idx val="1"/>
          <c:order val="2"/>
          <c:tx>
            <c:v>Mercado Externo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'Indicadores de Faturamento'!$AN$3:$AN$4</c:f>
              <c:numCache>
                <c:formatCode>General</c:formatCode>
                <c:ptCount val="2"/>
              </c:numCache>
            </c:numRef>
          </c:cat>
          <c:val>
            <c:numRef>
              <c:f>('Indicadores de Faturamento'!$AI$8,'Indicadores de Faturamento'!$AI$10)</c:f>
              <c:numCache>
                <c:formatCode>_("R$"* #,##0.00_);_("R$"* \(#,##0.00\);_("R$"* "-"??_);_(@_)</c:formatCode>
                <c:ptCount val="2"/>
                <c:pt idx="0">
                  <c:v>52200000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E-5F4C-8FC0-42D9E3BE2E5B}"/>
            </c:ext>
          </c:extLst>
        </c:ser>
        <c:ser>
          <c:idx val="2"/>
          <c:order val="3"/>
          <c:tx>
            <c:v>Indústria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'Indicadores de Faturamento'!$AN$3:$AN$4</c:f>
              <c:numCache>
                <c:formatCode>General</c:formatCode>
                <c:ptCount val="2"/>
              </c:numCache>
            </c:numRef>
          </c:cat>
          <c:val>
            <c:numRef>
              <c:f>('Indicadores de Faturamento'!$AI$13,'Indicadores de Faturamento'!$AI$15)</c:f>
              <c:numCache>
                <c:formatCode>_("R$"* #,##0.00_);_("R$"* \(#,##0.00\);_("R$"* "-"??_);_(@_)</c:formatCode>
                <c:ptCount val="2"/>
                <c:pt idx="0">
                  <c:v>23900000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E-5F4C-8FC0-42D9E3BE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041036623"/>
        <c:axId val="301792400"/>
      </c:barChart>
      <c:catAx>
        <c:axId val="204103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5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Liquidez'!$M$3:$S$3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4B-2946-A099-134BABB8E126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Liquidez'!$B$3:$H$3</c:f>
              <c:numCache>
                <c:formatCode>0.00</c:formatCode>
                <c:ptCount val="7"/>
                <c:pt idx="0">
                  <c:v>1.1556642668624335</c:v>
                </c:pt>
                <c:pt idx="1">
                  <c:v>1.1822698515989676</c:v>
                </c:pt>
                <c:pt idx="2">
                  <c:v>1.1568971430627557</c:v>
                </c:pt>
                <c:pt idx="3">
                  <c:v>1.1270420771052627</c:v>
                </c:pt>
                <c:pt idx="4">
                  <c:v>1.0941659042624905</c:v>
                </c:pt>
                <c:pt idx="5">
                  <c:v>1.0268460522210681</c:v>
                </c:pt>
                <c:pt idx="6">
                  <c:v>1.0144332405986523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4B-2946-A099-134BABB8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IDEAL &gt; 1,0</a:t>
                </a:r>
                <a:endParaRPr lang="pt-BR" sz="7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ÍNDICE DE LIQUIDEZ GERAL</a:t>
                </a:r>
              </a:p>
            </c:rich>
          </c:tx>
          <c:layout>
            <c:manualLayout>
              <c:xMode val="edge"/>
              <c:yMode val="edge"/>
              <c:x val="3.0319200259640772E-2"/>
              <c:y val="0.19674903275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  <c:min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Liquidez'!$M$3:$S$3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4-E64E-A161-43B5E2D7D5A2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Liquidez'!$B$5:$H$5</c:f>
              <c:numCache>
                <c:formatCode>0.00</c:formatCode>
                <c:ptCount val="7"/>
                <c:pt idx="0">
                  <c:v>1.6231740336984086</c:v>
                </c:pt>
                <c:pt idx="1">
                  <c:v>1.5792623085975654</c:v>
                </c:pt>
                <c:pt idx="2">
                  <c:v>1.1422298050194026</c:v>
                </c:pt>
                <c:pt idx="3">
                  <c:v>1.0720040585921169</c:v>
                </c:pt>
                <c:pt idx="4">
                  <c:v>1.0391099353030051</c:v>
                </c:pt>
                <c:pt idx="5">
                  <c:v>0.94025940410170894</c:v>
                </c:pt>
                <c:pt idx="6">
                  <c:v>0.92264903076923555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4-E64E-A161-43B5E2D7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&gt; 1,0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ÍNDICE DE LIQUIDEZ CORRENTE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99018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  <c:min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Liquidez'!$B$7:$H$7</c:f>
              <c:numCache>
                <c:formatCode>0.00</c:formatCode>
                <c:ptCount val="7"/>
                <c:pt idx="0">
                  <c:v>1.2982473777197456</c:v>
                </c:pt>
                <c:pt idx="1">
                  <c:v>1.2547803589384265</c:v>
                </c:pt>
                <c:pt idx="2">
                  <c:v>0.68675548235211159</c:v>
                </c:pt>
                <c:pt idx="3">
                  <c:v>0.68514281060705018</c:v>
                </c:pt>
                <c:pt idx="4">
                  <c:v>0.64368174149843682</c:v>
                </c:pt>
                <c:pt idx="5">
                  <c:v>0.73646074868596445</c:v>
                </c:pt>
                <c:pt idx="6">
                  <c:v>0.71851880147267511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E847-B908-EB66430AE4A7}"/>
            </c:ext>
          </c:extLst>
        </c:ser>
        <c:ser>
          <c:idx val="1"/>
          <c:order val="1"/>
          <c:tx>
            <c:v>Índice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Liquidez'!$M$3:$S$3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E847-B908-EB66430A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&gt; 1,0</a:t>
                </a:r>
              </a:p>
            </c:rich>
          </c:tx>
          <c:layout>
            <c:manualLayout>
              <c:xMode val="edge"/>
              <c:yMode val="edge"/>
              <c:x val="0.49031791666666658"/>
              <c:y val="0.87423527777777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ÍNDICE DE LIQUIDEZ SECA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939369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  <c:min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Liquidez'!$B$9:$H$9</c:f>
              <c:numCache>
                <c:formatCode>0.00</c:formatCode>
                <c:ptCount val="7"/>
                <c:pt idx="0">
                  <c:v>0.14980812979486499</c:v>
                </c:pt>
                <c:pt idx="1">
                  <c:v>1.4434590501325908E-2</c:v>
                </c:pt>
                <c:pt idx="2">
                  <c:v>2.1607950837579833E-2</c:v>
                </c:pt>
                <c:pt idx="3">
                  <c:v>3.9825210205431151E-2</c:v>
                </c:pt>
                <c:pt idx="4">
                  <c:v>3.1431969305825612E-2</c:v>
                </c:pt>
                <c:pt idx="5">
                  <c:v>7.2527380500144858E-2</c:v>
                </c:pt>
                <c:pt idx="6">
                  <c:v>6.9649973755960159E-2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F34E-86AB-7D745947E699}"/>
            </c:ext>
          </c:extLst>
        </c:ser>
        <c:ser>
          <c:idx val="1"/>
          <c:order val="1"/>
          <c:tx>
            <c:v>Índice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Liquidez'!$M$3:$S$3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2-F34E-86AB-7D745947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&gt; 1,0</a:t>
                </a:r>
              </a:p>
            </c:rich>
          </c:tx>
          <c:layout>
            <c:manualLayout>
              <c:xMode val="edge"/>
              <c:yMode val="edge"/>
              <c:x val="0.4996930555555556"/>
              <c:y val="0.86716612607628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ÍNDICE DE LIQUIDEZ IMEDIATA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927992750284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  <c:min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Geral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Liquidez'!$B$3:$H$3</c:f>
              <c:numCache>
                <c:formatCode>0.00</c:formatCode>
                <c:ptCount val="7"/>
                <c:pt idx="0">
                  <c:v>1.1556642668624335</c:v>
                </c:pt>
                <c:pt idx="1">
                  <c:v>1.1822698515989676</c:v>
                </c:pt>
                <c:pt idx="2">
                  <c:v>1.1568971430627557</c:v>
                </c:pt>
                <c:pt idx="3">
                  <c:v>1.1270420771052627</c:v>
                </c:pt>
                <c:pt idx="4">
                  <c:v>1.0941659042624905</c:v>
                </c:pt>
                <c:pt idx="5">
                  <c:v>1.0268460522210681</c:v>
                </c:pt>
                <c:pt idx="6">
                  <c:v>1.0144332405986523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C-8742-BB81-3B925EB42F2C}"/>
            </c:ext>
          </c:extLst>
        </c:ser>
        <c:ser>
          <c:idx val="2"/>
          <c:order val="1"/>
          <c:tx>
            <c:v>Corrente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'Índice de Liquidez'!$B$5:$H$5</c:f>
              <c:numCache>
                <c:formatCode>0.00</c:formatCode>
                <c:ptCount val="7"/>
                <c:pt idx="0">
                  <c:v>1.6231740336984086</c:v>
                </c:pt>
                <c:pt idx="1">
                  <c:v>1.5792623085975654</c:v>
                </c:pt>
                <c:pt idx="2">
                  <c:v>1.1422298050194026</c:v>
                </c:pt>
                <c:pt idx="3">
                  <c:v>1.0720040585921169</c:v>
                </c:pt>
                <c:pt idx="4">
                  <c:v>1.0391099353030051</c:v>
                </c:pt>
                <c:pt idx="5">
                  <c:v>0.94025940410170894</c:v>
                </c:pt>
                <c:pt idx="6">
                  <c:v>0.92264903076923555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C-8742-BB81-3B925EB42F2C}"/>
            </c:ext>
          </c:extLst>
        </c:ser>
        <c:ser>
          <c:idx val="3"/>
          <c:order val="2"/>
          <c:tx>
            <c:v>Seca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'Índice de Liquidez'!$B$7:$H$7</c:f>
              <c:numCache>
                <c:formatCode>0.00</c:formatCode>
                <c:ptCount val="7"/>
                <c:pt idx="0">
                  <c:v>1.2982473777197456</c:v>
                </c:pt>
                <c:pt idx="1">
                  <c:v>1.2547803589384265</c:v>
                </c:pt>
                <c:pt idx="2">
                  <c:v>0.68675548235211159</c:v>
                </c:pt>
                <c:pt idx="3">
                  <c:v>0.68514281060705018</c:v>
                </c:pt>
                <c:pt idx="4">
                  <c:v>0.64368174149843682</c:v>
                </c:pt>
                <c:pt idx="5">
                  <c:v>0.73646074868596445</c:v>
                </c:pt>
                <c:pt idx="6">
                  <c:v>0.71851880147267511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C-8742-BB81-3B925EB42F2C}"/>
            </c:ext>
          </c:extLst>
        </c:ser>
        <c:ser>
          <c:idx val="4"/>
          <c:order val="3"/>
          <c:tx>
            <c:v>Imediata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'Índice de Liquidez'!$B$9:$H$9</c:f>
              <c:numCache>
                <c:formatCode>0.00</c:formatCode>
                <c:ptCount val="7"/>
                <c:pt idx="0">
                  <c:v>0.14980812979486499</c:v>
                </c:pt>
                <c:pt idx="1">
                  <c:v>1.4434590501325908E-2</c:v>
                </c:pt>
                <c:pt idx="2">
                  <c:v>2.1607950837579833E-2</c:v>
                </c:pt>
                <c:pt idx="3">
                  <c:v>3.9825210205431151E-2</c:v>
                </c:pt>
                <c:pt idx="4">
                  <c:v>3.1431969305825612E-2</c:v>
                </c:pt>
                <c:pt idx="5">
                  <c:v>7.2527380500144858E-2</c:v>
                </c:pt>
                <c:pt idx="6">
                  <c:v>6.9649973755960159E-2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4C-8742-BB81-3B925EB42F2C}"/>
            </c:ext>
          </c:extLst>
        </c:ser>
        <c:ser>
          <c:idx val="1"/>
          <c:order val="4"/>
          <c:tx>
            <c:v>Índice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 de Liquidez'!$M$2:$S$2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 de Liquidez'!$M$3:$S$3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C-8742-BB81-3B925EB4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&gt; 1,0</a:t>
                </a:r>
              </a:p>
            </c:rich>
          </c:tx>
          <c:layout>
            <c:manualLayout>
              <c:xMode val="edge"/>
              <c:yMode val="edge"/>
              <c:x val="0.4996930555555556"/>
              <c:y val="0.86716612607628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ÍNIDCES DE LIQUIDEZ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927992750284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  <c:min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Rentabilidade'!$M$5:$S$5</c:f>
              <c:numCache>
                <c:formatCode>0%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6-B049-A37F-65353ED56F7B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Rentabilidade'!$B$5:$H$5</c:f>
              <c:numCache>
                <c:formatCode>0.0%</c:formatCode>
                <c:ptCount val="7"/>
                <c:pt idx="0">
                  <c:v>0.16110524365898962</c:v>
                </c:pt>
                <c:pt idx="1">
                  <c:v>0.22791594602431292</c:v>
                </c:pt>
                <c:pt idx="2">
                  <c:v>0.1842499764664928</c:v>
                </c:pt>
                <c:pt idx="3">
                  <c:v>9.4793307118263434E-2</c:v>
                </c:pt>
                <c:pt idx="4">
                  <c:v>0.10424420874637426</c:v>
                </c:pt>
                <c:pt idx="5">
                  <c:v>5.8514956482410195E-2</c:v>
                </c:pt>
                <c:pt idx="6">
                  <c:v>-0.11659745743039121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6-B049-A37F-65353ED5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600" b="0">
                    <a:latin typeface="Arial" panose="020B0604020202020204" pitchFamily="34" charset="0"/>
                    <a:cs typeface="Arial" panose="020B0604020202020204" pitchFamily="34" charset="0"/>
                  </a:rPr>
                  <a:t>Ideal</a:t>
                </a:r>
                <a:r>
                  <a:rPr lang="pt-BR" sz="6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pt-BR" sz="600" b="0">
                    <a:latin typeface="Arial" panose="020B0604020202020204" pitchFamily="34" charset="0"/>
                    <a:cs typeface="Arial" panose="020B0604020202020204" pitchFamily="34" charset="0"/>
                  </a:rPr>
                  <a:t>&gt; 25%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EBITDA</a:t>
                </a:r>
              </a:p>
            </c:rich>
          </c:tx>
          <c:layout>
            <c:manualLayout>
              <c:xMode val="edge"/>
              <c:yMode val="edge"/>
              <c:x val="3.0319185706534819E-2"/>
              <c:y val="0.287039901769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  <c:min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Performance</c:v>
          </c:tx>
          <c:spPr>
            <a:ln w="22225" cap="rnd">
              <a:solidFill>
                <a:srgbClr val="DAAF2B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'Indicadores de Faturamento'!$L$2:$Q$2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'Indicadores de Faturamento'!$B$7:$G$7</c:f>
              <c:numCache>
                <c:formatCode>#,##0.00</c:formatCode>
                <c:ptCount val="6"/>
                <c:pt idx="0">
                  <c:v>32988040.059999999</c:v>
                </c:pt>
                <c:pt idx="1">
                  <c:v>35059473.229999997</c:v>
                </c:pt>
                <c:pt idx="2">
                  <c:v>62145507.789999999</c:v>
                </c:pt>
                <c:pt idx="3">
                  <c:v>73117595.030000001</c:v>
                </c:pt>
                <c:pt idx="4">
                  <c:v>66436105.130000003</c:v>
                </c:pt>
                <c:pt idx="5">
                  <c:v>63375298.309999995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6-4B48-90BA-5DD98D5FA4F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8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BRUTO</a:t>
                </a:r>
              </a:p>
              <a:p>
                <a:pPr>
                  <a:defRPr/>
                </a:pPr>
                <a:r>
                  <a:rPr lang="pt-BR"/>
                  <a:t>MERCADO INTERNO</a:t>
                </a:r>
              </a:p>
            </c:rich>
          </c:tx>
          <c:layout>
            <c:manualLayout>
              <c:xMode val="edge"/>
              <c:yMode val="edge"/>
              <c:x val="3.0319149455330888E-2"/>
              <c:y val="0.31217688129839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Rentabilidade'!$M$3:$S$3</c:f>
              <c:numCache>
                <c:formatCode>0%</c:formatCode>
                <c:ptCount val="7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4-624B-B23E-A45A6ABD021D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Rentabilidade'!$B$3:$H$3</c:f>
              <c:numCache>
                <c:formatCode>0.0%</c:formatCode>
                <c:ptCount val="7"/>
                <c:pt idx="0">
                  <c:v>0.28291726952925145</c:v>
                </c:pt>
                <c:pt idx="1">
                  <c:v>0.39084296172585098</c:v>
                </c:pt>
                <c:pt idx="2">
                  <c:v>0.32884101437114061</c:v>
                </c:pt>
                <c:pt idx="3">
                  <c:v>0.2563255124000457</c:v>
                </c:pt>
                <c:pt idx="4">
                  <c:v>0.29775373161203261</c:v>
                </c:pt>
                <c:pt idx="5">
                  <c:v>0.24369757730171146</c:v>
                </c:pt>
                <c:pt idx="6">
                  <c:v>0.11068062797906732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4-624B-B23E-A45A6ABD0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Ideal &gt; 35%</a:t>
                </a:r>
                <a:endParaRPr lang="pt-BR" sz="7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MARGEM BRUTA</a:t>
                </a:r>
              </a:p>
            </c:rich>
          </c:tx>
          <c:layout>
            <c:manualLayout>
              <c:xMode val="edge"/>
              <c:yMode val="edge"/>
              <c:x val="3.0319185706534819E-2"/>
              <c:y val="0.287039901769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  <c:min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Rentabilidade'!$B$7:$H$7</c:f>
              <c:numCache>
                <c:formatCode>0.0%</c:formatCode>
                <c:ptCount val="7"/>
                <c:pt idx="0">
                  <c:v>5.0034427146712822E-2</c:v>
                </c:pt>
                <c:pt idx="1">
                  <c:v>0.11897738534204907</c:v>
                </c:pt>
                <c:pt idx="2">
                  <c:v>8.9086547398419327E-2</c:v>
                </c:pt>
                <c:pt idx="3">
                  <c:v>2.5894710341849273E-3</c:v>
                </c:pt>
                <c:pt idx="4">
                  <c:v>3.6533067103323019E-3</c:v>
                </c:pt>
                <c:pt idx="5">
                  <c:v>-3.6305644806357569E-2</c:v>
                </c:pt>
                <c:pt idx="6">
                  <c:v>-0.22309876740262555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E-F94B-8741-D676DE1EFE1F}"/>
            </c:ext>
          </c:extLst>
        </c:ser>
        <c:ser>
          <c:idx val="1"/>
          <c:order val="1"/>
          <c:tx>
            <c:v>Índice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Rentabilidade'!$M$7:$S$7</c:f>
              <c:numCache>
                <c:formatCode>0%</c:formatCode>
                <c:ptCount val="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E-F94B-8741-D676DE1E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ideal </a:t>
                </a:r>
                <a:r>
                  <a:rPr lang="pt-BR" sz="700" b="0">
                    <a:latin typeface="Arial" panose="020B0604020202020204" pitchFamily="34" charset="0"/>
                    <a:cs typeface="Arial" panose="020B0604020202020204" pitchFamily="34" charset="0"/>
                  </a:rPr>
                  <a:t>&gt;15%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MARGEM LÍQUIDA</a:t>
                </a:r>
              </a:p>
            </c:rich>
          </c:tx>
          <c:layout>
            <c:manualLayout>
              <c:xMode val="edge"/>
              <c:yMode val="edge"/>
              <c:x val="3.0319185706534819E-2"/>
              <c:y val="0.287039901769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1"/>
        <c:minorUnit val="0.05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Rentabilidade'!$B$9:$H$9</c:f>
              <c:numCache>
                <c:formatCode>0.00</c:formatCode>
                <c:ptCount val="7"/>
                <c:pt idx="0">
                  <c:v>0.39235924136934147</c:v>
                </c:pt>
                <c:pt idx="1">
                  <c:v>0.45434957642420792</c:v>
                </c:pt>
                <c:pt idx="2">
                  <c:v>1.2979129045350521</c:v>
                </c:pt>
                <c:pt idx="3">
                  <c:v>1.1532199391274078</c:v>
                </c:pt>
                <c:pt idx="4">
                  <c:v>0.98885897553780522</c:v>
                </c:pt>
                <c:pt idx="5">
                  <c:v>1.0706532235922113</c:v>
                </c:pt>
                <c:pt idx="6">
                  <c:v>5.6065572366794582E-2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0-384C-B156-D38B10FCD206}"/>
            </c:ext>
          </c:extLst>
        </c:ser>
        <c:ser>
          <c:idx val="1"/>
          <c:order val="1"/>
          <c:tx>
            <c:v>Índice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Rentabilidade'!$M$9:$S$9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0-384C-B156-D38B10FC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Ideal &gt; 3</a:t>
                </a:r>
                <a:endParaRPr lang="pt-BR" sz="7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GIRO DO ATIVO</a:t>
                </a:r>
              </a:p>
            </c:rich>
          </c:tx>
          <c:layout>
            <c:manualLayout>
              <c:xMode val="edge"/>
              <c:yMode val="edge"/>
              <c:x val="3.0319185706534819E-2"/>
              <c:y val="0.287039901769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5"/>
        <c:minorUnit val="0.25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Rentabilidade'!$B$11:$H$11</c:f>
              <c:numCache>
                <c:formatCode>0.0%</c:formatCode>
                <c:ptCount val="7"/>
                <c:pt idx="0">
                  <c:v>0.53993812981652789</c:v>
                </c:pt>
                <c:pt idx="1">
                  <c:v>0.81318278044285064</c:v>
                </c:pt>
                <c:pt idx="2">
                  <c:v>0.85258441843840271</c:v>
                </c:pt>
                <c:pt idx="3">
                  <c:v>2.6492060896748493E-2</c:v>
                </c:pt>
                <c:pt idx="4">
                  <c:v>4.1976864033302308E-2</c:v>
                </c:pt>
                <c:pt idx="5">
                  <c:v>1.4867840401187815</c:v>
                </c:pt>
                <c:pt idx="6">
                  <c:v>0.87912990059536766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A-6048-9752-AF343A401DB1}"/>
            </c:ext>
          </c:extLst>
        </c:ser>
        <c:ser>
          <c:idx val="1"/>
          <c:order val="1"/>
          <c:tx>
            <c:v>Índice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Rentabilidade'!$M$11:$S$11</c:f>
              <c:numCache>
                <c:formatCode>0.00%</c:formatCode>
                <c:ptCount val="7"/>
                <c:pt idx="0">
                  <c:v>4.4999999999999998E-2</c:v>
                </c:pt>
                <c:pt idx="1">
                  <c:v>0.02</c:v>
                </c:pt>
                <c:pt idx="2">
                  <c:v>9.2499999999999999E-2</c:v>
                </c:pt>
                <c:pt idx="3">
                  <c:v>0.13750000000000001</c:v>
                </c:pt>
                <c:pt idx="4">
                  <c:v>0.11749999999999999</c:v>
                </c:pt>
                <c:pt idx="5">
                  <c:v>0.105</c:v>
                </c:pt>
                <c:pt idx="6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A-6048-9752-AF343A40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>
                    <a:latin typeface="Arial" panose="020B0604020202020204" pitchFamily="34" charset="0"/>
                    <a:cs typeface="Arial" panose="020B0604020202020204" pitchFamily="34" charset="0"/>
                  </a:rPr>
                  <a:t>Ideal</a:t>
                </a:r>
                <a:r>
                  <a:rPr lang="pt-BR" sz="7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&gt; Selic</a:t>
                </a:r>
                <a:endParaRPr lang="pt-BR" sz="7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RETORNO SOBRE PATRIMÔNIO LÍQUIDO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5297616550775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Rentabilidade'!$B$13:$H$13</c:f>
              <c:numCache>
                <c:formatCode>0.0%</c:formatCode>
                <c:ptCount val="7"/>
                <c:pt idx="0">
                  <c:v>5.9643271212310861E-2</c:v>
                </c:pt>
                <c:pt idx="1">
                  <c:v>0.15369481787830053</c:v>
                </c:pt>
                <c:pt idx="2">
                  <c:v>0.10858973946594074</c:v>
                </c:pt>
                <c:pt idx="3">
                  <c:v>2.8267278668976004E-3</c:v>
                </c:pt>
                <c:pt idx="4">
                  <c:v>4.022458210809707E-3</c:v>
                </c:pt>
                <c:pt idx="5">
                  <c:v>-3.8064295856276111E-2</c:v>
                </c:pt>
                <c:pt idx="6">
                  <c:v>-0.19677763455212519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D-DD48-AB93-815E504C1BC5}"/>
            </c:ext>
          </c:extLst>
        </c:ser>
        <c:ser>
          <c:idx val="1"/>
          <c:order val="1"/>
          <c:tx>
            <c:v>Taxa Selic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Rentabilidade'!$M$13:$S$13</c:f>
              <c:numCache>
                <c:formatCode>0.00%</c:formatCode>
                <c:ptCount val="7"/>
                <c:pt idx="0">
                  <c:v>4.4999999999999998E-2</c:v>
                </c:pt>
                <c:pt idx="1">
                  <c:v>0.02</c:v>
                </c:pt>
                <c:pt idx="2">
                  <c:v>9.2499999999999999E-2</c:v>
                </c:pt>
                <c:pt idx="3">
                  <c:v>0.13750000000000001</c:v>
                </c:pt>
                <c:pt idx="4">
                  <c:v>0.11749999999999999</c:v>
                </c:pt>
                <c:pt idx="5">
                  <c:v>0.105</c:v>
                </c:pt>
                <c:pt idx="6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D-DD48-AB93-815E504C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&gt; Selic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RETORNO SOBRE INVESTIMENTO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63567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Rentabilidade'!$B$15:$H$15</c:f>
              <c:numCache>
                <c:formatCode>0.0%</c:formatCode>
                <c:ptCount val="7"/>
                <c:pt idx="0">
                  <c:v>7.2727932790681543E-2</c:v>
                </c:pt>
                <c:pt idx="1">
                  <c:v>0.12536791369051248</c:v>
                </c:pt>
                <c:pt idx="2">
                  <c:v>0.11562657948888204</c:v>
                </c:pt>
                <c:pt idx="3">
                  <c:v>2.9862296284149281E-3</c:v>
                </c:pt>
                <c:pt idx="4">
                  <c:v>3.6126051309045898E-3</c:v>
                </c:pt>
                <c:pt idx="5">
                  <c:v>-3.8870755646520559E-2</c:v>
                </c:pt>
                <c:pt idx="6">
                  <c:v>-1.2508160088754574E-2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C-0A48-8C7A-68FB132225CA}"/>
            </c:ext>
          </c:extLst>
        </c:ser>
        <c:ser>
          <c:idx val="1"/>
          <c:order val="1"/>
          <c:tx>
            <c:v>Taxa Selic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Rentabilidade'!$M$15:$S$15</c:f>
              <c:numCache>
                <c:formatCode>0.00%</c:formatCode>
                <c:ptCount val="7"/>
                <c:pt idx="0">
                  <c:v>4.4999999999999998E-2</c:v>
                </c:pt>
                <c:pt idx="1">
                  <c:v>0.02</c:v>
                </c:pt>
                <c:pt idx="2">
                  <c:v>9.2499999999999999E-2</c:v>
                </c:pt>
                <c:pt idx="3">
                  <c:v>0.13750000000000001</c:v>
                </c:pt>
                <c:pt idx="4">
                  <c:v>0.11749999999999999</c:v>
                </c:pt>
                <c:pt idx="5">
                  <c:v>0.105</c:v>
                </c:pt>
                <c:pt idx="6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C-0A48-8C7A-68FB1322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0">
                    <a:latin typeface="Arial" panose="020B0604020202020204" pitchFamily="34" charset="0"/>
                    <a:cs typeface="Arial" panose="020B0604020202020204" pitchFamily="34" charset="0"/>
                  </a:rPr>
                  <a:t>CENÁRIO IDEAL ACIMA DO</a:t>
                </a:r>
                <a:r>
                  <a:rPr lang="pt-BR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ÍNDICE DE REFERÊNCIA</a:t>
                </a:r>
                <a:endParaRPr lang="pt-BR" sz="8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RETORNO SOBRE ATIVO</a:t>
                </a:r>
              </a:p>
            </c:rich>
          </c:tx>
          <c:layout>
            <c:manualLayout>
              <c:xMode val="edge"/>
              <c:yMode val="edge"/>
              <c:x val="3.0319185706534819E-2"/>
              <c:y val="0.287039901769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Margem Bruta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Rentabilidade'!$B$3:$H$3</c:f>
              <c:numCache>
                <c:formatCode>0.0%</c:formatCode>
                <c:ptCount val="7"/>
                <c:pt idx="0">
                  <c:v>0.28291726952925145</c:v>
                </c:pt>
                <c:pt idx="1">
                  <c:v>0.39084296172585098</c:v>
                </c:pt>
                <c:pt idx="2">
                  <c:v>0.32884101437114061</c:v>
                </c:pt>
                <c:pt idx="3">
                  <c:v>0.2563255124000457</c:v>
                </c:pt>
                <c:pt idx="4">
                  <c:v>0.29775373161203261</c:v>
                </c:pt>
                <c:pt idx="5">
                  <c:v>0.24369757730171146</c:v>
                </c:pt>
                <c:pt idx="6">
                  <c:v>0.11068062797906732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3-9849-9A07-6CD5CE90122B}"/>
            </c:ext>
          </c:extLst>
        </c:ser>
        <c:ser>
          <c:idx val="0"/>
          <c:order val="1"/>
          <c:tx>
            <c:v>EBTIDA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Rentabilidade'!$B$5:$H$5</c:f>
              <c:numCache>
                <c:formatCode>0.0%</c:formatCode>
                <c:ptCount val="7"/>
                <c:pt idx="0">
                  <c:v>0.16110524365898962</c:v>
                </c:pt>
                <c:pt idx="1">
                  <c:v>0.22791594602431292</c:v>
                </c:pt>
                <c:pt idx="2">
                  <c:v>0.1842499764664928</c:v>
                </c:pt>
                <c:pt idx="3">
                  <c:v>9.4793307118263434E-2</c:v>
                </c:pt>
                <c:pt idx="4">
                  <c:v>0.10424420874637426</c:v>
                </c:pt>
                <c:pt idx="5">
                  <c:v>5.8514956482410195E-2</c:v>
                </c:pt>
                <c:pt idx="6">
                  <c:v>-0.11659745743039121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3-9849-9A07-6CD5CE90122B}"/>
            </c:ext>
          </c:extLst>
        </c:ser>
        <c:ser>
          <c:idx val="2"/>
          <c:order val="2"/>
          <c:tx>
            <c:v>Margem Líquida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'Índices de Rentabilidade'!$B$7:$H$7</c:f>
              <c:numCache>
                <c:formatCode>0.0%</c:formatCode>
                <c:ptCount val="7"/>
                <c:pt idx="0">
                  <c:v>5.0034427146712822E-2</c:v>
                </c:pt>
                <c:pt idx="1">
                  <c:v>0.11897738534204907</c:v>
                </c:pt>
                <c:pt idx="2">
                  <c:v>8.9086547398419327E-2</c:v>
                </c:pt>
                <c:pt idx="3">
                  <c:v>2.5894710341849273E-3</c:v>
                </c:pt>
                <c:pt idx="4">
                  <c:v>3.6533067103323019E-3</c:v>
                </c:pt>
                <c:pt idx="5">
                  <c:v>-3.6305644806357569E-2</c:v>
                </c:pt>
                <c:pt idx="6">
                  <c:v>-0.22309876740262555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3-9849-9A07-6CD5CE9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INDICES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LUCRATIVIDADE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319185706534819E-2"/>
              <c:y val="0.287039901769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05"/>
        <c:minorUnit val="2.5000000000000001E-2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3101944444444436"/>
        </c:manualLayout>
      </c:layout>
      <c:lineChart>
        <c:grouping val="standard"/>
        <c:varyColors val="0"/>
        <c:ser>
          <c:idx val="4"/>
          <c:order val="0"/>
          <c:tx>
            <c:v>Retorno sobre Patrimônio Líquido - Dupont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'Índices de Rentabilidade'!$B$17:$H$17</c:f>
              <c:numCache>
                <c:formatCode>0.0%</c:formatCode>
                <c:ptCount val="7"/>
                <c:pt idx="0">
                  <c:v>0.14574564028633075</c:v>
                </c:pt>
                <c:pt idx="1">
                  <c:v>0.35063585454468077</c:v>
                </c:pt>
                <c:pt idx="2">
                  <c:v>0.8525844184384026</c:v>
                </c:pt>
                <c:pt idx="3">
                  <c:v>2.6492060896748486E-2</c:v>
                </c:pt>
                <c:pt idx="4">
                  <c:v>4.1976864033302308E-2</c:v>
                </c:pt>
                <c:pt idx="5">
                  <c:v>1.4867840401187813</c:v>
                </c:pt>
                <c:pt idx="6">
                  <c:v>0.87912990059536777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C7-C24F-9715-D54EE2B3F890}"/>
            </c:ext>
          </c:extLst>
        </c:ser>
        <c:ser>
          <c:idx val="0"/>
          <c:order val="1"/>
          <c:tx>
            <c:v>Retorno Sobre Ativos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'Índices de Rentabilidade'!$M$2:$S$2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'Índices de Rentabilidade'!$B$15:$H$15</c:f>
              <c:numCache>
                <c:formatCode>0.0%</c:formatCode>
                <c:ptCount val="7"/>
                <c:pt idx="0">
                  <c:v>7.2727932790681543E-2</c:v>
                </c:pt>
                <c:pt idx="1">
                  <c:v>0.12536791369051248</c:v>
                </c:pt>
                <c:pt idx="2">
                  <c:v>0.11562657948888204</c:v>
                </c:pt>
                <c:pt idx="3">
                  <c:v>2.9862296284149281E-3</c:v>
                </c:pt>
                <c:pt idx="4">
                  <c:v>3.6126051309045898E-3</c:v>
                </c:pt>
                <c:pt idx="5">
                  <c:v>-3.8870755646520559E-2</c:v>
                </c:pt>
                <c:pt idx="6">
                  <c:v>-1.2508160088754574E-2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7-C24F-9715-D54EE2B3F890}"/>
            </c:ext>
          </c:extLst>
        </c:ser>
        <c:ser>
          <c:idx val="2"/>
          <c:order val="2"/>
          <c:tx>
            <c:v>Retorno sobre Investimento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'Índices de Rentabilidade'!$B$13:$H$13</c:f>
              <c:numCache>
                <c:formatCode>0.0%</c:formatCode>
                <c:ptCount val="7"/>
                <c:pt idx="0">
                  <c:v>5.9643271212310861E-2</c:v>
                </c:pt>
                <c:pt idx="1">
                  <c:v>0.15369481787830053</c:v>
                </c:pt>
                <c:pt idx="2">
                  <c:v>0.10858973946594074</c:v>
                </c:pt>
                <c:pt idx="3">
                  <c:v>2.8267278668976004E-3</c:v>
                </c:pt>
                <c:pt idx="4">
                  <c:v>4.022458210809707E-3</c:v>
                </c:pt>
                <c:pt idx="5">
                  <c:v>-3.8064295856276111E-2</c:v>
                </c:pt>
                <c:pt idx="6">
                  <c:v>-0.19677763455212519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7-C24F-9715-D54EE2B3F890}"/>
            </c:ext>
          </c:extLst>
        </c:ser>
        <c:ser>
          <c:idx val="3"/>
          <c:order val="3"/>
          <c:tx>
            <c:v>Taxa Selic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'Índices de Rentabilidade'!$M$11:$S$11</c:f>
              <c:numCache>
                <c:formatCode>0.00%</c:formatCode>
                <c:ptCount val="7"/>
                <c:pt idx="0">
                  <c:v>4.4999999999999998E-2</c:v>
                </c:pt>
                <c:pt idx="1">
                  <c:v>0.02</c:v>
                </c:pt>
                <c:pt idx="2">
                  <c:v>9.2499999999999999E-2</c:v>
                </c:pt>
                <c:pt idx="3">
                  <c:v>0.13750000000000001</c:v>
                </c:pt>
                <c:pt idx="4">
                  <c:v>0.11749999999999999</c:v>
                </c:pt>
                <c:pt idx="5">
                  <c:v>0.105</c:v>
                </c:pt>
                <c:pt idx="6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7-C24F-9715-D54EE2B3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INDICES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RENTABILIDADE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319166666666661E-2"/>
              <c:y val="0.223539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1"/>
        <c:minorUnit val="0.05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Capital'!$M$3:$S$3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1-5645-9B4C-5E6D20E9D790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Capital'!$B$3:$H$3</c:f>
              <c:numCache>
                <c:formatCode>0.00</c:formatCode>
                <c:ptCount val="7"/>
                <c:pt idx="0">
                  <c:v>6.4240819049611293</c:v>
                </c:pt>
                <c:pt idx="1">
                  <c:v>5.4863708464535952</c:v>
                </c:pt>
                <c:pt idx="2">
                  <c:v>6.37360235170134</c:v>
                </c:pt>
                <c:pt idx="3">
                  <c:v>7.8714078263332716</c:v>
                </c:pt>
                <c:pt idx="4">
                  <c:v>10.619555005944253</c:v>
                </c:pt>
                <c:pt idx="5">
                  <c:v>37.249424673890232</c:v>
                </c:pt>
                <c:pt idx="6">
                  <c:v>69.284509820572779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1-5645-9B4C-5E6D20E9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>
                    <a:latin typeface="Arial" panose="020B0604020202020204" pitchFamily="34" charset="0"/>
                    <a:cs typeface="Arial" panose="020B0604020202020204" pitchFamily="34" charset="0"/>
                  </a:rPr>
                  <a:t>ideal</a:t>
                </a:r>
                <a:r>
                  <a:rPr lang="pt-BR" sz="7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pt-BR" sz="700" b="0">
                    <a:latin typeface="Arial" panose="020B0604020202020204" pitchFamily="34" charset="0"/>
                    <a:cs typeface="Arial" panose="020B0604020202020204" pitchFamily="34" charset="0"/>
                  </a:rPr>
                  <a:t>&lt; 0,5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ÍNDICE DE CAPITAL DE TERCEIROS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937675000000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1"/>
        <c:minorUnit val="0.5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2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Capital'!$M$5:$S$5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44-104B-BBFC-E45C51D8C8EC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Capital'!$B$5:$H$5</c:f>
              <c:numCache>
                <c:formatCode>0.00</c:formatCode>
                <c:ptCount val="7"/>
                <c:pt idx="0">
                  <c:v>0.66911576903716075</c:v>
                </c:pt>
                <c:pt idx="1">
                  <c:v>0.72192792071293743</c:v>
                </c:pt>
                <c:pt idx="2">
                  <c:v>0.83546518866070563</c:v>
                </c:pt>
                <c:pt idx="3">
                  <c:v>0.85907166703642501</c:v>
                </c:pt>
                <c:pt idx="4">
                  <c:v>0.84609123744420456</c:v>
                </c:pt>
                <c:pt idx="5">
                  <c:v>0.8563000828093128</c:v>
                </c:pt>
                <c:pt idx="6">
                  <c:v>0.86068919402830324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44-104B-BBFC-E45C51D8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&lt; 0,50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COMPOSIÇÃO DE ENDIVIDAMENTO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902397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2"/>
        <c:min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34925" cap="rnd">
              <a:solidFill>
                <a:srgbClr val="DAB02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Faturamento'!$L$2:$Q$2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'Indicadores de Faturamento'!$B$10:$G$10</c:f>
              <c:numCache>
                <c:formatCode>#,##0.00</c:formatCode>
                <c:ptCount val="6"/>
                <c:pt idx="0">
                  <c:v>0</c:v>
                </c:pt>
                <c:pt idx="1">
                  <c:v>12756691.16</c:v>
                </c:pt>
                <c:pt idx="2">
                  <c:v>33723336.789999999</c:v>
                </c:pt>
                <c:pt idx="3">
                  <c:v>35078508.390000001</c:v>
                </c:pt>
                <c:pt idx="4">
                  <c:v>32988105.73</c:v>
                </c:pt>
                <c:pt idx="5">
                  <c:v>31791010.419999998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7-E94F-9CB7-2462A415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BRUTO</a:t>
                </a:r>
              </a:p>
              <a:p>
                <a:pPr>
                  <a:defRPr/>
                </a:pPr>
                <a:r>
                  <a:rPr lang="pt-BR"/>
                  <a:t>MERCADO EXTERNO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2433258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2"/>
          <c:order val="0"/>
          <c:tx>
            <c:v>'Índice de Referência"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Capital'!$M$7:$S$7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1E44-BE0F-271FBF5EF4D1}"/>
            </c:ext>
          </c:extLst>
        </c:ser>
        <c:ser>
          <c:idx val="3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Capital'!$B$7:$H$7</c:f>
              <c:numCache>
                <c:formatCode>0.00</c:formatCode>
                <c:ptCount val="7"/>
                <c:pt idx="0">
                  <c:v>0.43044663528947125</c:v>
                </c:pt>
                <c:pt idx="1">
                  <c:v>0.25564634243731105</c:v>
                </c:pt>
                <c:pt idx="2">
                  <c:v>1.3318517349615488</c:v>
                </c:pt>
                <c:pt idx="3">
                  <c:v>1.788462724657621</c:v>
                </c:pt>
                <c:pt idx="4">
                  <c:v>2.7397008087696477</c:v>
                </c:pt>
                <c:pt idx="5">
                  <c:v>11.111237881691499</c:v>
                </c:pt>
                <c:pt idx="6">
                  <c:v>20.557031660116863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4-1E44-BE0F-271FBF5E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700" b="0" i="0" u="none" strike="noStrike" kern="1200" baseline="0">
                    <a:solidFill>
                      <a:schemeClr val="tx1"/>
                    </a:solidFill>
                  </a:rPr>
                  <a:t>Ideal &lt; 0,5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IMOBILIZAÇÃO DE PATRIMÔNIO LÍQUIDO</a:t>
                </a:r>
              </a:p>
            </c:rich>
          </c:tx>
          <c:layout>
            <c:manualLayout>
              <c:xMode val="edge"/>
              <c:yMode val="edge"/>
              <c:x val="3.2083055555555559E-2"/>
              <c:y val="0.1479063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5"/>
        <c:minorUnit val="0.25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strRef>
              <c:f>'Índice de Liquidez'!#REF!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Capital'!$M$9:$S$9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3-144D-8245-D9D377E31CFF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Capital'!$B$9:$H$9</c:f>
              <c:numCache>
                <c:formatCode>#,##0.00</c:formatCode>
                <c:ptCount val="7"/>
                <c:pt idx="0">
                  <c:v>0.14299278557871001</c:v>
                </c:pt>
                <c:pt idx="1">
                  <c:v>9.157605263477693E-2</c:v>
                </c:pt>
                <c:pt idx="2">
                  <c:v>0.63031662142999234</c:v>
                </c:pt>
                <c:pt idx="3">
                  <c:v>0.76916613057304295</c:v>
                </c:pt>
                <c:pt idx="4">
                  <c:v>0.86661042829850377</c:v>
                </c:pt>
                <c:pt idx="5">
                  <c:v>1.2999535983830657</c:v>
                </c:pt>
                <c:pt idx="6">
                  <c:v>1.433025829940491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3-144D-8245-D9D377E3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&lt; 0,50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IMOBILIZAÇÃO DE RECURSOS NÃO CORRENTES</a:t>
                </a:r>
              </a:p>
            </c:rich>
          </c:tx>
          <c:layout>
            <c:manualLayout>
              <c:xMode val="edge"/>
              <c:yMode val="edge"/>
              <c:x val="3.0319132233300499E-2"/>
              <c:y val="9.4989661182754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4"/>
        <c:minorUnit val="0.2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5618008333333333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Capital'!$M$11:$S$11</c:f>
              <c:numCache>
                <c:formatCode>0.00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A-BC45-969F-2BAA261E84FF}"/>
            </c:ext>
          </c:extLst>
        </c:ser>
        <c:ser>
          <c:idx val="3"/>
          <c:order val="1"/>
          <c:tx>
            <c:v>Grau de Alavancagem Total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Capital'!$B$11:$H$11</c:f>
              <c:numCache>
                <c:formatCode>#,##0.00</c:formatCode>
                <c:ptCount val="7"/>
                <c:pt idx="0">
                  <c:v>7.4240819049611275</c:v>
                </c:pt>
                <c:pt idx="1">
                  <c:v>6.4863708464535952</c:v>
                </c:pt>
                <c:pt idx="2">
                  <c:v>7.3736023517013418</c:v>
                </c:pt>
                <c:pt idx="3">
                  <c:v>8.8714078263332716</c:v>
                </c:pt>
                <c:pt idx="4">
                  <c:v>11.61955500594425</c:v>
                </c:pt>
                <c:pt idx="5">
                  <c:v>-38.249424673890232</c:v>
                </c:pt>
                <c:pt idx="6">
                  <c:v>-70.284509820572808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BA-BC45-969F-2BAA261E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&lt; 2,00</a:t>
                </a:r>
              </a:p>
            </c:rich>
          </c:tx>
          <c:layout>
            <c:manualLayout>
              <c:xMode val="edge"/>
              <c:yMode val="edge"/>
              <c:x val="0.50138638888888898"/>
              <c:y val="0.77395472222222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GRAUDE ALVANCAGEM FINANCEIRA</a:t>
                </a:r>
              </a:p>
            </c:rich>
          </c:tx>
          <c:layout>
            <c:manualLayout>
              <c:xMode val="edge"/>
              <c:yMode val="edge"/>
              <c:x val="3.0319172721948489E-2"/>
              <c:y val="0.17952813395241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"/>
        <c:minorUnit val="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6213500000000003"/>
        </c:manualLayout>
      </c:layout>
      <c:lineChart>
        <c:grouping val="standard"/>
        <c:varyColors val="0"/>
        <c:ser>
          <c:idx val="3"/>
          <c:order val="0"/>
          <c:tx>
            <c:v>Capital de Terceiros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'Estrutura de Capital'!$B$3:$H$3</c:f>
              <c:numCache>
                <c:formatCode>0.00</c:formatCode>
                <c:ptCount val="7"/>
                <c:pt idx="0">
                  <c:v>6.4240819049611293</c:v>
                </c:pt>
                <c:pt idx="1">
                  <c:v>5.4863708464535952</c:v>
                </c:pt>
                <c:pt idx="2">
                  <c:v>6.37360235170134</c:v>
                </c:pt>
                <c:pt idx="3">
                  <c:v>7.8714078263332716</c:v>
                </c:pt>
                <c:pt idx="4">
                  <c:v>10.619555005944253</c:v>
                </c:pt>
                <c:pt idx="5">
                  <c:v>37.249424673890232</c:v>
                </c:pt>
                <c:pt idx="6">
                  <c:v>69.284509820572779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C-7B4A-8A82-F89A8EFF42BE}"/>
            </c:ext>
          </c:extLst>
        </c:ser>
        <c:ser>
          <c:idx val="2"/>
          <c:order val="1"/>
          <c:tx>
            <c:v>Composição de Dívida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'Estrutura de Capital'!$B$5:$H$5</c:f>
              <c:numCache>
                <c:formatCode>0.00</c:formatCode>
                <c:ptCount val="7"/>
                <c:pt idx="0">
                  <c:v>0.66911576903716075</c:v>
                </c:pt>
                <c:pt idx="1">
                  <c:v>0.72192792071293743</c:v>
                </c:pt>
                <c:pt idx="2">
                  <c:v>0.83546518866070563</c:v>
                </c:pt>
                <c:pt idx="3">
                  <c:v>0.85907166703642501</c:v>
                </c:pt>
                <c:pt idx="4">
                  <c:v>0.84609123744420456</c:v>
                </c:pt>
                <c:pt idx="5">
                  <c:v>0.8563000828093128</c:v>
                </c:pt>
                <c:pt idx="6">
                  <c:v>0.86068919402830324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C-7B4A-8A82-F89A8EFF42BE}"/>
            </c:ext>
          </c:extLst>
        </c:ser>
        <c:ser>
          <c:idx val="1"/>
          <c:order val="2"/>
          <c:tx>
            <c:v>Índice Dívida Líquida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Capital'!$B$13:$H$13</c:f>
              <c:numCache>
                <c:formatCode>0.00</c:formatCode>
                <c:ptCount val="7"/>
                <c:pt idx="0">
                  <c:v>1.6773704763471753</c:v>
                </c:pt>
                <c:pt idx="1">
                  <c:v>1.574303426625933</c:v>
                </c:pt>
                <c:pt idx="2">
                  <c:v>1.860231510507331</c:v>
                </c:pt>
                <c:pt idx="3">
                  <c:v>5.3263944645496579</c:v>
                </c:pt>
                <c:pt idx="4">
                  <c:v>5.348530539505254</c:v>
                </c:pt>
                <c:pt idx="5">
                  <c:v>9.2625371279189412</c:v>
                </c:pt>
                <c:pt idx="6">
                  <c:v>-86.127249198715916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D-C942-82EC-5935FB58747E}"/>
            </c:ext>
          </c:extLst>
        </c:ser>
        <c:ser>
          <c:idx val="6"/>
          <c:order val="3"/>
          <c:tx>
            <c:v>Grau de Alavancagem Financeira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'Estrutura de Capital'!$B$11:$H$11</c:f>
              <c:numCache>
                <c:formatCode>#,##0.00</c:formatCode>
                <c:ptCount val="7"/>
                <c:pt idx="0">
                  <c:v>7.4240819049611275</c:v>
                </c:pt>
                <c:pt idx="1">
                  <c:v>6.4863708464535952</c:v>
                </c:pt>
                <c:pt idx="2">
                  <c:v>7.3736023517013418</c:v>
                </c:pt>
                <c:pt idx="3">
                  <c:v>8.8714078263332716</c:v>
                </c:pt>
                <c:pt idx="4">
                  <c:v>11.61955500594425</c:v>
                </c:pt>
                <c:pt idx="5">
                  <c:v>-38.249424673890232</c:v>
                </c:pt>
                <c:pt idx="6">
                  <c:v>-70.284509820572808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C-7B4A-8A82-F89A8EFF42BE}"/>
            </c:ext>
          </c:extLst>
        </c:ser>
        <c:ser>
          <c:idx val="0"/>
          <c:order val="4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'Estrutura de Capital'!$M$2:$S$2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'Estrutura de Capital'!$M$13:$S$13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D-C942-82EC-5935FB58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7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Ideal &lt;</a:t>
                </a:r>
                <a:r>
                  <a:rPr lang="pt-BR" sz="700" b="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</a:t>
                </a:r>
                <a:endParaRPr lang="pt-BR" sz="700" b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0398805555555559"/>
              <c:y val="0.84890638888888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ÍNDICE DE ENDIVIDAMENTO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1831841666666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"/>
        <c:minorUnit val="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AT'!$M$3:$S$3</c:f>
              <c:numCache>
                <c:formatCode>0</c:formatCode>
                <c:ptCount val="7"/>
                <c:pt idx="0" formatCode="General">
                  <c:v>60</c:v>
                </c:pt>
                <c:pt idx="1">
                  <c:v>60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120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EA48-9CAD-C30945861269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AT'!$B$3:$H$3</c:f>
              <c:numCache>
                <c:formatCode>0</c:formatCode>
                <c:ptCount val="7"/>
                <c:pt idx="0">
                  <c:v>64.97643005308791</c:v>
                </c:pt>
                <c:pt idx="1">
                  <c:v>111.12685476089251</c:v>
                </c:pt>
                <c:pt idx="2">
                  <c:v>135.93429848154284</c:v>
                </c:pt>
                <c:pt idx="3">
                  <c:v>141.75592873917338</c:v>
                </c:pt>
                <c:pt idx="4">
                  <c:v>186.89369069689747</c:v>
                </c:pt>
                <c:pt idx="5">
                  <c:v>89.531004952157943</c:v>
                </c:pt>
                <c:pt idx="6">
                  <c:v>89.531004952157943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2-EA48-9CAD-C3094586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3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PRAZO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MÉDIO DE RENOVAÇÃO DO ESTOQUE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319146547924707E-2"/>
              <c:y val="0.10553501264643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0"/>
        <c:minorUnit val="10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AT'!$M$5:$S$5</c:f>
              <c:numCache>
                <c:formatCode>0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1-7A4C-8832-8429B54BB346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AT'!$B$7:$H$7</c:f>
              <c:numCache>
                <c:formatCode>0</c:formatCode>
                <c:ptCount val="7"/>
                <c:pt idx="0">
                  <c:v>90</c:v>
                </c:pt>
                <c:pt idx="1">
                  <c:v>156.37613104070462</c:v>
                </c:pt>
                <c:pt idx="2">
                  <c:v>102.83215171823906</c:v>
                </c:pt>
                <c:pt idx="3">
                  <c:v>97.52847575557071</c:v>
                </c:pt>
                <c:pt idx="4">
                  <c:v>148.62694490112531</c:v>
                </c:pt>
                <c:pt idx="5">
                  <c:v>172.17471178763017</c:v>
                </c:pt>
                <c:pt idx="6">
                  <c:v>172.17471178763017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1-7A4C-8832-8429B54B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3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PRAZO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MÉDIO DE RECEBIMENTO DE VENDAS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319146547924707E-2"/>
              <c:y val="0.10553501264643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0"/>
        <c:minorUnit val="10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AT'!$M$7:$S$7</c:f>
              <c:numCache>
                <c:formatCode>0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C-FB4C-9C88-2C121D9C263F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AT'!$B$7:$H$7</c:f>
              <c:numCache>
                <c:formatCode>0</c:formatCode>
                <c:ptCount val="7"/>
                <c:pt idx="0">
                  <c:v>90</c:v>
                </c:pt>
                <c:pt idx="1">
                  <c:v>156.37613104070462</c:v>
                </c:pt>
                <c:pt idx="2">
                  <c:v>102.83215171823906</c:v>
                </c:pt>
                <c:pt idx="3">
                  <c:v>97.52847575557071</c:v>
                </c:pt>
                <c:pt idx="4">
                  <c:v>148.62694490112531</c:v>
                </c:pt>
                <c:pt idx="5">
                  <c:v>172.17471178763017</c:v>
                </c:pt>
                <c:pt idx="6">
                  <c:v>172.17471178763017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C-FB4C-9C88-2C121D9C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3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PRAZO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MÉDIO DE PAGAMENTOS DE COMPRAS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319146547924707E-2"/>
              <c:y val="0.10553501264643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0"/>
        <c:minorUnit val="10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Ciclo Operacional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AT'!$B$9:$H$9</c:f>
              <c:numCache>
                <c:formatCode>0</c:formatCode>
                <c:ptCount val="7"/>
                <c:pt idx="0">
                  <c:v>181.6559244646952</c:v>
                </c:pt>
                <c:pt idx="1">
                  <c:v>264.41030641955547</c:v>
                </c:pt>
                <c:pt idx="2">
                  <c:v>236.14256961576507</c:v>
                </c:pt>
                <c:pt idx="3">
                  <c:v>264.51452906042061</c:v>
                </c:pt>
                <c:pt idx="4">
                  <c:v>314.37726249873288</c:v>
                </c:pt>
                <c:pt idx="5">
                  <c:v>227.39593798458566</c:v>
                </c:pt>
                <c:pt idx="6">
                  <c:v>2558.7880578865138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E-EE4C-8329-FBEF523D5630}"/>
            </c:ext>
          </c:extLst>
        </c:ser>
        <c:ser>
          <c:idx val="2"/>
          <c:order val="1"/>
          <c:tx>
            <c:v>Ciclo Financeiro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'Indicadores FC e AT'!$B$11:$H$11</c:f>
              <c:numCache>
                <c:formatCode>0</c:formatCode>
                <c:ptCount val="7"/>
                <c:pt idx="0">
                  <c:v>91.655924464695204</c:v>
                </c:pt>
                <c:pt idx="1">
                  <c:v>108.03417537885085</c:v>
                </c:pt>
                <c:pt idx="2">
                  <c:v>133.31041789752601</c:v>
                </c:pt>
                <c:pt idx="3">
                  <c:v>166.98605330484992</c:v>
                </c:pt>
                <c:pt idx="4">
                  <c:v>165.75031759760756</c:v>
                </c:pt>
                <c:pt idx="5">
                  <c:v>55.221226196955485</c:v>
                </c:pt>
                <c:pt idx="6">
                  <c:v>2386.6133460988835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0-2F4B-9FDE-539378AC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3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CICLO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OPERACIONAL E FINANCEIRO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997969116139712E-2"/>
              <c:y val="0.23834352577670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0"/>
        <c:minorUnit val="10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AT'!$M$11:$S$11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60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0-3B49-91D5-E641968A2615}"/>
            </c:ext>
          </c:extLst>
        </c:ser>
        <c:ser>
          <c:idx val="1"/>
          <c:order val="1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AT'!$B$11:$H$11</c:f>
              <c:numCache>
                <c:formatCode>0</c:formatCode>
                <c:ptCount val="7"/>
                <c:pt idx="0">
                  <c:v>91.655924464695204</c:v>
                </c:pt>
                <c:pt idx="1">
                  <c:v>108.03417537885085</c:v>
                </c:pt>
                <c:pt idx="2">
                  <c:v>133.31041789752601</c:v>
                </c:pt>
                <c:pt idx="3">
                  <c:v>166.98605330484992</c:v>
                </c:pt>
                <c:pt idx="4">
                  <c:v>165.75031759760756</c:v>
                </c:pt>
                <c:pt idx="5">
                  <c:v>55.221226196955485</c:v>
                </c:pt>
                <c:pt idx="6">
                  <c:v>2386.6133460988835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0-3B49-91D5-E641968A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3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CICLO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FINANCEIRO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997969116139712E-2"/>
              <c:y val="0.23834352577670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0"/>
        <c:minorUnit val="10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AT'!$B$13:$H$13</c:f>
              <c:numCache>
                <c:formatCode>0.0</c:formatCode>
                <c:ptCount val="7"/>
                <c:pt idx="0">
                  <c:v>3.9822848564534827</c:v>
                </c:pt>
                <c:pt idx="1">
                  <c:v>3.3785605223535007</c:v>
                </c:pt>
                <c:pt idx="2">
                  <c:v>2.7379705634151623</c:v>
                </c:pt>
                <c:pt idx="3">
                  <c:v>2.1858112864890318</c:v>
                </c:pt>
                <c:pt idx="4">
                  <c:v>2.202107394364766</c:v>
                </c:pt>
                <c:pt idx="5">
                  <c:v>6.6097771660876949</c:v>
                </c:pt>
                <c:pt idx="6">
                  <c:v>0.15293637764852971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D-564A-BF05-5EFF082349C5}"/>
            </c:ext>
          </c:extLst>
        </c:ser>
        <c:ser>
          <c:idx val="0"/>
          <c:order val="1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AT'!$M$13:$S$13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3-5E48-A9B7-9FD37630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GIRO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DO CAIXA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997969116139712E-2"/>
              <c:y val="0.23834352577670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"/>
        <c:minorUnit val="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34925" cap="rnd">
              <a:solidFill>
                <a:srgbClr val="DAB02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Faturamento'!$L$2:$Q$2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'Indicadores de Faturamento'!$B$13:$G$13</c:f>
              <c:numCache>
                <c:formatCode>#,##0.00</c:formatCode>
                <c:ptCount val="6"/>
                <c:pt idx="0">
                  <c:v>0</c:v>
                </c:pt>
                <c:pt idx="1">
                  <c:v>872616.84</c:v>
                </c:pt>
                <c:pt idx="2">
                  <c:v>9518642.3200000003</c:v>
                </c:pt>
                <c:pt idx="3">
                  <c:v>20091074.25</c:v>
                </c:pt>
                <c:pt idx="4">
                  <c:v>18296636.82</c:v>
                </c:pt>
                <c:pt idx="5">
                  <c:v>23625132.390000001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8-8E41-A1E7-4DF0B606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BRUTO</a:t>
                </a:r>
              </a:p>
              <a:p>
                <a:pPr>
                  <a:defRPr/>
                </a:pPr>
                <a:r>
                  <a:rPr lang="pt-BR"/>
                  <a:t>PRESTAÇÃO DE SERVIÇOS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2736420461283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AT'!$B$17:$H$17</c:f>
              <c:numCache>
                <c:formatCode>#,##0.00</c:formatCode>
                <c:ptCount val="7"/>
                <c:pt idx="0">
                  <c:v>10891112.270000001</c:v>
                </c:pt>
                <c:pt idx="1">
                  <c:v>26622146.829999998</c:v>
                </c:pt>
                <c:pt idx="2">
                  <c:v>37185910.650000006</c:v>
                </c:pt>
                <c:pt idx="3">
                  <c:v>53808733.189999998</c:v>
                </c:pt>
                <c:pt idx="4">
                  <c:v>49714462.620000005</c:v>
                </c:pt>
                <c:pt idx="5">
                  <c:v>0</c:v>
                </c:pt>
                <c:pt idx="6">
                  <c:v>37847817.599999987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B-1946-8FE6-40A22A8B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6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NECESSIDADE DE CAPITAL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GIRO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997916666666669E-2"/>
              <c:y val="0.29718364697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5000000"/>
        <c:minorUnit val="2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AT'!$B$19:$H$19</c:f>
              <c:numCache>
                <c:formatCode>#,##0.00</c:formatCode>
                <c:ptCount val="7"/>
                <c:pt idx="0">
                  <c:v>-3536755.5</c:v>
                </c:pt>
                <c:pt idx="1">
                  <c:v>-11421957.720000001</c:v>
                </c:pt>
                <c:pt idx="2">
                  <c:v>-29429899.66</c:v>
                </c:pt>
                <c:pt idx="3">
                  <c:v>-48338893.609999999</c:v>
                </c:pt>
                <c:pt idx="4">
                  <c:v>-46473990.25</c:v>
                </c:pt>
                <c:pt idx="5">
                  <c:v>-42841567.159999996</c:v>
                </c:pt>
                <c:pt idx="6">
                  <c:v>-41143096.839999989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6A44-8819-4D92B101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80000000"/>
          <c:min val="-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SALDO DE TESOURARIA</a:t>
                </a:r>
              </a:p>
            </c:rich>
          </c:tx>
          <c:layout>
            <c:manualLayout>
              <c:xMode val="edge"/>
              <c:yMode val="edge"/>
              <c:x val="3.3997916666666669E-2"/>
              <c:y val="0.28600802360375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AT'!$B$23:$H$23</c:f>
              <c:numCache>
                <c:formatCode>#,##0.00</c:formatCode>
                <c:ptCount val="7"/>
                <c:pt idx="0">
                  <c:v>0.67526223104483707</c:v>
                </c:pt>
                <c:pt idx="1">
                  <c:v>0.57096030635933492</c:v>
                </c:pt>
                <c:pt idx="2">
                  <c:v>0.20857391561553726</c:v>
                </c:pt>
                <c:pt idx="3">
                  <c:v>0.10165337958590953</c:v>
                </c:pt>
                <c:pt idx="4">
                  <c:v>6.5181683542856111E-2</c:v>
                </c:pt>
                <c:pt idx="5">
                  <c:v>0</c:v>
                </c:pt>
                <c:pt idx="6">
                  <c:v>-0.17276050363337167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3-7144-9D81-A855FEF7452C}"/>
            </c:ext>
          </c:extLst>
        </c:ser>
        <c:ser>
          <c:idx val="1"/>
          <c:order val="1"/>
          <c:tx>
            <c:v>Índice de Referência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AT'!$M$23:$S$23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3-7144-9D81-A855FEF7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ÍNDICE DE AUTOFINANCIAMENTO</a:t>
                </a:r>
              </a:p>
            </c:rich>
          </c:tx>
          <c:layout>
            <c:manualLayout>
              <c:xMode val="edge"/>
              <c:yMode val="edge"/>
              <c:x val="3.3997972680563579E-2"/>
              <c:y val="0.1488890269776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5"/>
        <c:minorUnit val="0.25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AT'!$B$15:$H$15</c:f>
              <c:numCache>
                <c:formatCode>#,##0.0</c:formatCode>
                <c:ptCount val="7"/>
                <c:pt idx="0">
                  <c:v>7354356.7700000014</c:v>
                </c:pt>
                <c:pt idx="1">
                  <c:v>15200189.109999996</c:v>
                </c:pt>
                <c:pt idx="2">
                  <c:v>7756010.9900000095</c:v>
                </c:pt>
                <c:pt idx="3">
                  <c:v>5469839.5799999982</c:v>
                </c:pt>
                <c:pt idx="4">
                  <c:v>3240472.3699999899</c:v>
                </c:pt>
                <c:pt idx="5" formatCode="#,##0.00">
                  <c:v>-4993749.5600000024</c:v>
                </c:pt>
                <c:pt idx="6" formatCode="#,##0.00">
                  <c:v>-6538608.0299999863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3-A646-A071-F7E60286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CAPITAL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GIRO LÍQUIDO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997972680563579E-2"/>
              <c:y val="0.1661252059132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2000000"/>
        <c:min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Capital de Giro Líquido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AT'!$B$15:$H$15</c:f>
              <c:numCache>
                <c:formatCode>#,##0.0</c:formatCode>
                <c:ptCount val="7"/>
                <c:pt idx="0">
                  <c:v>7354356.7700000014</c:v>
                </c:pt>
                <c:pt idx="1">
                  <c:v>15200189.109999996</c:v>
                </c:pt>
                <c:pt idx="2">
                  <c:v>7756010.9900000095</c:v>
                </c:pt>
                <c:pt idx="3">
                  <c:v>5469839.5799999982</c:v>
                </c:pt>
                <c:pt idx="4">
                  <c:v>3240472.3699999899</c:v>
                </c:pt>
                <c:pt idx="5" formatCode="#,##0.00">
                  <c:v>-4993749.5600000024</c:v>
                </c:pt>
                <c:pt idx="6" formatCode="#,##0.00">
                  <c:v>-6538608.0299999863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A-F648-9A1E-C69213FC5B77}"/>
            </c:ext>
          </c:extLst>
        </c:ser>
        <c:ser>
          <c:idx val="0"/>
          <c:order val="1"/>
          <c:tx>
            <c:v>Necessidade de Capital de Giro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71-D241-929C-0E47263157A4}"/>
              </c:ext>
            </c:extLst>
          </c:dPt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AT'!$B$17:$H$17</c:f>
              <c:numCache>
                <c:formatCode>#,##0.00</c:formatCode>
                <c:ptCount val="7"/>
                <c:pt idx="0">
                  <c:v>10891112.270000001</c:v>
                </c:pt>
                <c:pt idx="1">
                  <c:v>26622146.829999998</c:v>
                </c:pt>
                <c:pt idx="2">
                  <c:v>37185910.650000006</c:v>
                </c:pt>
                <c:pt idx="3">
                  <c:v>53808733.189999998</c:v>
                </c:pt>
                <c:pt idx="4">
                  <c:v>49714462.620000005</c:v>
                </c:pt>
                <c:pt idx="5">
                  <c:v>0</c:v>
                </c:pt>
                <c:pt idx="6">
                  <c:v>37847817.599999987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A-F648-9A1E-C69213FC5B77}"/>
            </c:ext>
          </c:extLst>
        </c:ser>
        <c:ser>
          <c:idx val="2"/>
          <c:order val="2"/>
          <c:tx>
            <c:v>Saldo de Tesouraria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AT'!$B$19:$H$19</c:f>
              <c:numCache>
                <c:formatCode>#,##0.00</c:formatCode>
                <c:ptCount val="7"/>
                <c:pt idx="0">
                  <c:v>-3536755.5</c:v>
                </c:pt>
                <c:pt idx="1">
                  <c:v>-11421957.720000001</c:v>
                </c:pt>
                <c:pt idx="2">
                  <c:v>-29429899.66</c:v>
                </c:pt>
                <c:pt idx="3">
                  <c:v>-48338893.609999999</c:v>
                </c:pt>
                <c:pt idx="4">
                  <c:v>-46473990.25</c:v>
                </c:pt>
                <c:pt idx="5">
                  <c:v>-42841567.159999996</c:v>
                </c:pt>
                <c:pt idx="6">
                  <c:v>-41143096.839999989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A-F648-9A1E-C69213FC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80000000"/>
          <c:min val="-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INDICADORES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FLUXO DE CAIXA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997916666666669E-2"/>
              <c:y val="0.20492310033839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'Indicadores FC e AT'!$M$2:$S$2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'Indicadores FC e AT'!$B$21:$H$21</c:f>
              <c:numCache>
                <c:formatCode>#,##0.00</c:formatCode>
                <c:ptCount val="7"/>
                <c:pt idx="0">
                  <c:v>0.32473776895516288</c:v>
                </c:pt>
                <c:pt idx="1">
                  <c:v>-0.42903969364066502</c:v>
                </c:pt>
                <c:pt idx="2">
                  <c:v>-0.79142608438446282</c:v>
                </c:pt>
                <c:pt idx="3">
                  <c:v>-0.89834662041409052</c:v>
                </c:pt>
                <c:pt idx="4">
                  <c:v>-0.93481831645714364</c:v>
                </c:pt>
                <c:pt idx="5">
                  <c:v>0</c:v>
                </c:pt>
                <c:pt idx="6">
                  <c:v>-1.0870665588918924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8-C648-BAF4-D8B41BFF0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ÍNDICE DE EFEITO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TESOURA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997963701687652E-2"/>
              <c:y val="0.22104248960885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1"/>
        <c:minorUnit val="0.5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'Indicadores de Faturamento'!$L$2:$R$2</c:f>
              <c:strCach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2024 Projetado</c:v>
                </c:pt>
              </c:strCache>
            </c:strRef>
          </c:cat>
          <c:val>
            <c:numRef>
              <c:f>'Indicadores de Faturamento'!$B$16:$H$16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936697</c:v>
                </c:pt>
                <c:pt idx="5">
                  <c:v>255000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5-B948-B2CA-6BDAF257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FATURAMENTO BRUTO</a:t>
                </a:r>
              </a:p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VENDA DE VEÍCULOS</a:t>
                </a:r>
              </a:p>
            </c:rich>
          </c:tx>
          <c:layout>
            <c:manualLayout>
              <c:xMode val="edge"/>
              <c:yMode val="edge"/>
              <c:x val="3.0319166666666661E-2"/>
              <c:y val="0.2630863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'Indicadores de Faturamento'!$L$2:$R$2</c:f>
              <c:strCach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2024 Projetado</c:v>
                </c:pt>
              </c:strCache>
            </c:strRef>
          </c:cat>
          <c:val>
            <c:numRef>
              <c:f>'Indicadores de Faturamento'!$B$4:$H$4</c:f>
              <c:numCache>
                <c:formatCode>0.0%</c:formatCode>
                <c:ptCount val="7"/>
                <c:pt idx="0">
                  <c:v>0</c:v>
                </c:pt>
                <c:pt idx="1">
                  <c:v>0.52834147156792799</c:v>
                </c:pt>
                <c:pt idx="2">
                  <c:v>1.1644186450065837</c:v>
                </c:pt>
                <c:pt idx="3">
                  <c:v>0.17268332240985185</c:v>
                </c:pt>
                <c:pt idx="4">
                  <c:v>-7.8105815960191394E-2</c:v>
                </c:pt>
                <c:pt idx="5">
                  <c:v>1.2893591957623629E-2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7-9D40-AF31-12886439A05B}"/>
            </c:ext>
          </c:extLst>
        </c:ser>
        <c:ser>
          <c:idx val="1"/>
          <c:order val="1"/>
          <c:tx>
            <c:v>Índice de Inflação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'Indicadores de Faturamento'!$L$2:$R$2</c:f>
              <c:strCach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2024 Projetado</c:v>
                </c:pt>
              </c:strCache>
            </c:strRef>
          </c:cat>
          <c:val>
            <c:numRef>
              <c:f>'Indicadores de Faturamento'!$L$3:$R$3</c:f>
              <c:numCache>
                <c:formatCode>0.00%</c:formatCode>
                <c:ptCount val="7"/>
                <c:pt idx="0">
                  <c:v>4.3099999999999999E-2</c:v>
                </c:pt>
                <c:pt idx="1">
                  <c:v>4.5199999999999997E-2</c:v>
                </c:pt>
                <c:pt idx="2">
                  <c:v>0.10059999999999999</c:v>
                </c:pt>
                <c:pt idx="3">
                  <c:v>5.79E-2</c:v>
                </c:pt>
                <c:pt idx="4">
                  <c:v>4.6199999999999998E-2</c:v>
                </c:pt>
                <c:pt idx="5">
                  <c:v>1.2500000000000001E-2</c:v>
                </c:pt>
                <c:pt idx="6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7-9D40-AF31-12886439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cat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.4"/>
          <c:min val="-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800" b="1">
                    <a:latin typeface="Arial" panose="020B0604020202020204" pitchFamily="34" charset="0"/>
                    <a:cs typeface="Arial" panose="020B0604020202020204" pitchFamily="34" charset="0"/>
                  </a:rPr>
                  <a:t>COMPARATIVO</a:t>
                </a: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CRESCIMENTO </a:t>
                </a:r>
              </a:p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RECEITA LÍQUIDA X ÍNDICE DE INFLAÇÃO</a:t>
                </a:r>
                <a:endParaRPr lang="pt-BR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28925E-2"/>
              <c:y val="0.1207175000000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41036623"/>
        <c:crosses val="autoZero"/>
        <c:crossBetween val="between"/>
        <c:majorUnit val="0.1"/>
      </c:valAx>
      <c:spPr>
        <a:noFill/>
        <a:ln w="9525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barChart>
        <c:barDir val="bar"/>
        <c:grouping val="clustered"/>
        <c:varyColors val="0"/>
        <c:ser>
          <c:idx val="4"/>
          <c:order val="0"/>
          <c:tx>
            <c:v>Global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'Indicadores de Faturamento'!$L$2:$Q$2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'Indicadores de Faturamento'!$B$5:$G$5</c:f>
              <c:numCache>
                <c:formatCode>#,##0.00</c:formatCode>
                <c:ptCount val="6"/>
                <c:pt idx="0">
                  <c:v>32988040.059999999</c:v>
                </c:pt>
                <c:pt idx="1">
                  <c:v>48688781.230000004</c:v>
                </c:pt>
                <c:pt idx="2">
                  <c:v>105387486.90000001</c:v>
                </c:pt>
                <c:pt idx="3">
                  <c:v>128287177.67</c:v>
                </c:pt>
                <c:pt idx="4">
                  <c:v>118657544.68000001</c:v>
                </c:pt>
                <c:pt idx="5">
                  <c:v>119046441.11999999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60-CC4E-BA9F-822F9E38A88B}"/>
            </c:ext>
          </c:extLst>
        </c:ser>
        <c:ser>
          <c:idx val="0"/>
          <c:order val="1"/>
          <c:tx>
            <c:v>Mercado Interno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'Indicadores de Faturamento'!$L$2:$Q$2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'Indicadores de Faturamento'!$B$7:$G$7</c:f>
              <c:numCache>
                <c:formatCode>#,##0.00</c:formatCode>
                <c:ptCount val="6"/>
                <c:pt idx="0">
                  <c:v>32988040.059999999</c:v>
                </c:pt>
                <c:pt idx="1">
                  <c:v>35059473.229999997</c:v>
                </c:pt>
                <c:pt idx="2">
                  <c:v>62145507.789999999</c:v>
                </c:pt>
                <c:pt idx="3">
                  <c:v>73117595.030000001</c:v>
                </c:pt>
                <c:pt idx="4">
                  <c:v>66436105.130000003</c:v>
                </c:pt>
                <c:pt idx="5">
                  <c:v>63375298.309999995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0-CC4E-BA9F-822F9E38A88B}"/>
            </c:ext>
          </c:extLst>
        </c:ser>
        <c:ser>
          <c:idx val="1"/>
          <c:order val="2"/>
          <c:tx>
            <c:v>Mercado Externo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'Indicadores de Faturamento'!$L$2:$Q$2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'Indicadores de Faturamento'!$B$10:$G$10</c:f>
              <c:numCache>
                <c:formatCode>#,##0.00</c:formatCode>
                <c:ptCount val="6"/>
                <c:pt idx="0">
                  <c:v>0</c:v>
                </c:pt>
                <c:pt idx="1">
                  <c:v>12756691.16</c:v>
                </c:pt>
                <c:pt idx="2">
                  <c:v>33723336.789999999</c:v>
                </c:pt>
                <c:pt idx="3">
                  <c:v>35078508.390000001</c:v>
                </c:pt>
                <c:pt idx="4">
                  <c:v>32988105.73</c:v>
                </c:pt>
                <c:pt idx="5">
                  <c:v>31791010.419999998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0-CC4E-BA9F-822F9E38A88B}"/>
            </c:ext>
          </c:extLst>
        </c:ser>
        <c:ser>
          <c:idx val="2"/>
          <c:order val="3"/>
          <c:tx>
            <c:v>Indústria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'Indicadores de Faturamento'!$L$2:$Q$2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'Indicadores de Faturamento'!$B$13:$G$13</c:f>
              <c:numCache>
                <c:formatCode>#,##0.00</c:formatCode>
                <c:ptCount val="6"/>
                <c:pt idx="0">
                  <c:v>0</c:v>
                </c:pt>
                <c:pt idx="1">
                  <c:v>872616.84</c:v>
                </c:pt>
                <c:pt idx="2">
                  <c:v>9518642.3200000003</c:v>
                </c:pt>
                <c:pt idx="3">
                  <c:v>20091074.25</c:v>
                </c:pt>
                <c:pt idx="4">
                  <c:v>18296636.82</c:v>
                </c:pt>
                <c:pt idx="5">
                  <c:v>23625132.390000001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0-CC4E-BA9F-822F9E38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041036623"/>
        <c:axId val="301792400"/>
      </c:barChart>
      <c:catAx>
        <c:axId val="204103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Algn val="ctr"/>
        <c:lblOffset val="100"/>
        <c:noMultiLvlLbl val="0"/>
      </c:catAx>
      <c:valAx>
        <c:axId val="301792400"/>
        <c:scaling>
          <c:orientation val="minMax"/>
          <c:max val="15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Meta</c:v>
          </c:tx>
          <c:spPr>
            <a:ln w="22225" cap="rnd">
              <a:solidFill>
                <a:srgbClr val="DAB02A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'Indicadores de Faturamento'!$V$2:$AG$2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'Indicadores de Faturamento'!$V$3:$AG$3</c:f>
              <c:numCache>
                <c:formatCode>_("R$"* #,##0.00_);_("R$"* \(#,##0.00\);_("R$"* "-"??_);_(@_)</c:formatCode>
                <c:ptCount val="12"/>
                <c:pt idx="0">
                  <c:v>4700000</c:v>
                </c:pt>
                <c:pt idx="1">
                  <c:v>5600000</c:v>
                </c:pt>
                <c:pt idx="2">
                  <c:v>6500000</c:v>
                </c:pt>
                <c:pt idx="3">
                  <c:v>5800000</c:v>
                </c:pt>
                <c:pt idx="4">
                  <c:v>6300000</c:v>
                </c:pt>
                <c:pt idx="5">
                  <c:v>6800000</c:v>
                </c:pt>
                <c:pt idx="6">
                  <c:v>7500000</c:v>
                </c:pt>
                <c:pt idx="7">
                  <c:v>8500000</c:v>
                </c:pt>
                <c:pt idx="8">
                  <c:v>7900000</c:v>
                </c:pt>
                <c:pt idx="9">
                  <c:v>7900000</c:v>
                </c:pt>
                <c:pt idx="10">
                  <c:v>6500000</c:v>
                </c:pt>
                <c:pt idx="11">
                  <c:v>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E-D342-A606-08F4ECA52A64}"/>
            </c:ext>
          </c:extLst>
        </c:ser>
        <c:ser>
          <c:idx val="0"/>
          <c:order val="1"/>
          <c:tx>
            <c:v>Realizado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'Indicadores de Faturamento'!$V$2:$AG$2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'Indicadores de Faturamento'!$V$5:$AG$5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E-D342-A606-08F4ECA5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dateAx>
        <c:axId val="2041036623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Offset val="100"/>
        <c:baseTimeUnit val="months"/>
      </c:dateAx>
      <c:valAx>
        <c:axId val="301792400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MERCADO INTERNO</a:t>
                </a:r>
              </a:p>
            </c:rich>
          </c:tx>
          <c:layout>
            <c:manualLayout>
              <c:xMode val="edge"/>
              <c:yMode val="edge"/>
              <c:x val="2.8555277777777777E-2"/>
              <c:y val="0.161471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235774796856"/>
          <c:y val="0.10823727239871828"/>
          <c:w val="0.83157370909519812"/>
          <c:h val="0.68746391571739862"/>
        </c:manualLayout>
      </c:layout>
      <c:lineChart>
        <c:grouping val="standard"/>
        <c:varyColors val="0"/>
        <c:ser>
          <c:idx val="1"/>
          <c:order val="0"/>
          <c:tx>
            <c:v>Meta</c:v>
          </c:tx>
          <c:spPr>
            <a:ln w="34925" cap="rnd">
              <a:solidFill>
                <a:srgbClr val="DAB02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Faturamento'!$V$2:$AG$2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'Indicadores de Faturamento'!$V$8:$AG$8</c:f>
              <c:numCache>
                <c:formatCode>_("R$"* #,##0.00_);_("R$"* \(#,##0.00\);_("R$"* "-"??_);_(@_)</c:formatCode>
                <c:ptCount val="12"/>
                <c:pt idx="0">
                  <c:v>3200000</c:v>
                </c:pt>
                <c:pt idx="1">
                  <c:v>4500000</c:v>
                </c:pt>
                <c:pt idx="2">
                  <c:v>4500000</c:v>
                </c:pt>
                <c:pt idx="3">
                  <c:v>4500000</c:v>
                </c:pt>
                <c:pt idx="4">
                  <c:v>5000000</c:v>
                </c:pt>
                <c:pt idx="5">
                  <c:v>4500000</c:v>
                </c:pt>
                <c:pt idx="6">
                  <c:v>4500000</c:v>
                </c:pt>
                <c:pt idx="7">
                  <c:v>5000000</c:v>
                </c:pt>
                <c:pt idx="8">
                  <c:v>5000000</c:v>
                </c:pt>
                <c:pt idx="9">
                  <c:v>4000000</c:v>
                </c:pt>
                <c:pt idx="10">
                  <c:v>4000000</c:v>
                </c:pt>
                <c:pt idx="11">
                  <c:v>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4-FF48-9B7B-09A0473F3ADA}"/>
            </c:ext>
          </c:extLst>
        </c:ser>
        <c:ser>
          <c:idx val="0"/>
          <c:order val="1"/>
          <c:tx>
            <c:v>Faturamento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'Indicadores de Faturamento'!$V$2:$AG$2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'Indicadores de Faturamento'!$V$10:$AG$10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4-FF48-9B7B-09A0473F3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36623"/>
        <c:axId val="301792400"/>
      </c:lineChart>
      <c:dateAx>
        <c:axId val="2041036623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792400"/>
        <c:crosses val="autoZero"/>
        <c:auto val="1"/>
        <c:lblOffset val="100"/>
        <c:baseTimeUnit val="months"/>
      </c:dateAx>
      <c:valAx>
        <c:axId val="301792400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MERCADO EXTERNO</a:t>
                </a:r>
              </a:p>
            </c:rich>
          </c:tx>
          <c:layout>
            <c:manualLayout>
              <c:xMode val="edge"/>
              <c:yMode val="edge"/>
              <c:x val="2.8555277777777777E-2"/>
              <c:y val="0.161471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036623"/>
        <c:crosses val="autoZero"/>
        <c:crossBetween val="between"/>
        <c:maj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image" Target="../media/image1.png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344536</xdr:colOff>
      <xdr:row>18</xdr:row>
      <xdr:rowOff>120109</xdr:rowOff>
    </xdr:from>
    <xdr:to>
      <xdr:col>5</xdr:col>
      <xdr:colOff>361416</xdr:colOff>
      <xdr:row>40</xdr:row>
      <xdr:rowOff>143789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FC72DD-ADFB-A640-B366-0F79C0944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354696</xdr:colOff>
      <xdr:row>41</xdr:row>
      <xdr:rowOff>120109</xdr:rowOff>
    </xdr:from>
    <xdr:to>
      <xdr:col>5</xdr:col>
      <xdr:colOff>371576</xdr:colOff>
      <xdr:row>63</xdr:row>
      <xdr:rowOff>143789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96E71E-9D9C-D144-9CE6-13AD07D9F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354696</xdr:colOff>
      <xdr:row>64</xdr:row>
      <xdr:rowOff>120109</xdr:rowOff>
    </xdr:from>
    <xdr:to>
      <xdr:col>5</xdr:col>
      <xdr:colOff>371576</xdr:colOff>
      <xdr:row>86</xdr:row>
      <xdr:rowOff>143789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93E347-53EB-C344-813D-6E7854088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353059</xdr:colOff>
      <xdr:row>87</xdr:row>
      <xdr:rowOff>127000</xdr:rowOff>
    </xdr:from>
    <xdr:to>
      <xdr:col>5</xdr:col>
      <xdr:colOff>369939</xdr:colOff>
      <xdr:row>109</xdr:row>
      <xdr:rowOff>151373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2418D9-D71C-4440-8C59-5EC7D671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345440</xdr:colOff>
      <xdr:row>111</xdr:row>
      <xdr:rowOff>60960</xdr:rowOff>
    </xdr:from>
    <xdr:to>
      <xdr:col>5</xdr:col>
      <xdr:colOff>362320</xdr:colOff>
      <xdr:row>133</xdr:row>
      <xdr:rowOff>84640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385004-9837-864F-A6C4-E86862E2E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335280</xdr:colOff>
      <xdr:row>134</xdr:row>
      <xdr:rowOff>111760</xdr:rowOff>
    </xdr:from>
    <xdr:to>
      <xdr:col>5</xdr:col>
      <xdr:colOff>352160</xdr:colOff>
      <xdr:row>156</xdr:row>
      <xdr:rowOff>135440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F8B36B-5E93-8A4B-A124-1FA0F646D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335280</xdr:colOff>
      <xdr:row>158</xdr:row>
      <xdr:rowOff>0</xdr:rowOff>
    </xdr:from>
    <xdr:to>
      <xdr:col>5</xdr:col>
      <xdr:colOff>352160</xdr:colOff>
      <xdr:row>180</xdr:row>
      <xdr:rowOff>23680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BFA027B-67F5-B149-8D0F-E36F3809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538480</xdr:colOff>
      <xdr:row>18</xdr:row>
      <xdr:rowOff>121920</xdr:rowOff>
    </xdr:from>
    <xdr:to>
      <xdr:col>11</xdr:col>
      <xdr:colOff>728080</xdr:colOff>
      <xdr:row>40</xdr:row>
      <xdr:rowOff>145600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6ACE5A2-4E23-A94A-A3D9-79735125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538480</xdr:colOff>
      <xdr:row>41</xdr:row>
      <xdr:rowOff>132080</xdr:rowOff>
    </xdr:from>
    <xdr:to>
      <xdr:col>11</xdr:col>
      <xdr:colOff>728080</xdr:colOff>
      <xdr:row>63</xdr:row>
      <xdr:rowOff>155760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1A8369-8011-8E45-B621-D40F04193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538480</xdr:colOff>
      <xdr:row>64</xdr:row>
      <xdr:rowOff>121920</xdr:rowOff>
    </xdr:from>
    <xdr:to>
      <xdr:col>11</xdr:col>
      <xdr:colOff>728080</xdr:colOff>
      <xdr:row>86</xdr:row>
      <xdr:rowOff>145600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7E87CF6-EC5E-1644-A678-2BFBD89BC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538480</xdr:colOff>
      <xdr:row>87</xdr:row>
      <xdr:rowOff>132080</xdr:rowOff>
    </xdr:from>
    <xdr:to>
      <xdr:col>11</xdr:col>
      <xdr:colOff>728080</xdr:colOff>
      <xdr:row>109</xdr:row>
      <xdr:rowOff>155760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4084668-C311-7A4B-9E08-E7329D67F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580123</xdr:colOff>
      <xdr:row>111</xdr:row>
      <xdr:rowOff>62716</xdr:rowOff>
    </xdr:from>
    <xdr:to>
      <xdr:col>11</xdr:col>
      <xdr:colOff>753794</xdr:colOff>
      <xdr:row>133</xdr:row>
      <xdr:rowOff>86396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39A3303-0638-2640-ADD3-6AEBFFAAA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584200</xdr:colOff>
      <xdr:row>134</xdr:row>
      <xdr:rowOff>93133</xdr:rowOff>
    </xdr:from>
    <xdr:to>
      <xdr:col>11</xdr:col>
      <xdr:colOff>761947</xdr:colOff>
      <xdr:row>156</xdr:row>
      <xdr:rowOff>116813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F4F912-275C-8846-9250-26EC2C9C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344536</xdr:colOff>
      <xdr:row>11</xdr:row>
      <xdr:rowOff>120109</xdr:rowOff>
    </xdr:from>
    <xdr:to>
      <xdr:col>7</xdr:col>
      <xdr:colOff>209016</xdr:colOff>
      <xdr:row>33</xdr:row>
      <xdr:rowOff>143789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277939-D546-C1ED-C9C1-BBB3EAEB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344536</xdr:colOff>
      <xdr:row>35</xdr:row>
      <xdr:rowOff>28669</xdr:rowOff>
    </xdr:from>
    <xdr:to>
      <xdr:col>7</xdr:col>
      <xdr:colOff>209016</xdr:colOff>
      <xdr:row>57</xdr:row>
      <xdr:rowOff>52349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0EF259-3B4D-1049-B9C9-BD61EC26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334376</xdr:colOff>
      <xdr:row>58</xdr:row>
      <xdr:rowOff>38829</xdr:rowOff>
    </xdr:from>
    <xdr:to>
      <xdr:col>7</xdr:col>
      <xdr:colOff>198856</xdr:colOff>
      <xdr:row>80</xdr:row>
      <xdr:rowOff>62509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C26E06-4B61-BB43-BC01-499BBB9B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332738</xdr:colOff>
      <xdr:row>81</xdr:row>
      <xdr:rowOff>86360</xdr:rowOff>
    </xdr:from>
    <xdr:to>
      <xdr:col>7</xdr:col>
      <xdr:colOff>197218</xdr:colOff>
      <xdr:row>103</xdr:row>
      <xdr:rowOff>110733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97E8A4-559D-B54F-846C-576C276DC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104</xdr:row>
      <xdr:rowOff>152400</xdr:rowOff>
    </xdr:from>
    <xdr:to>
      <xdr:col>7</xdr:col>
      <xdr:colOff>169280</xdr:colOff>
      <xdr:row>127</xdr:row>
      <xdr:rowOff>14213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35551A-8CF8-3C40-A3F0-2490B3050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344536</xdr:colOff>
      <xdr:row>19</xdr:row>
      <xdr:rowOff>120109</xdr:rowOff>
    </xdr:from>
    <xdr:to>
      <xdr:col>5</xdr:col>
      <xdr:colOff>361416</xdr:colOff>
      <xdr:row>41</xdr:row>
      <xdr:rowOff>143789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3BD394-6AFF-DC4E-8A42-55CA6E56C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344536</xdr:colOff>
      <xdr:row>42</xdr:row>
      <xdr:rowOff>84549</xdr:rowOff>
    </xdr:from>
    <xdr:to>
      <xdr:col>5</xdr:col>
      <xdr:colOff>361416</xdr:colOff>
      <xdr:row>66</xdr:row>
      <xdr:rowOff>38211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EB2B51-2905-CD4D-A9FE-0B0CD76EA58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344536</xdr:colOff>
      <xdr:row>67</xdr:row>
      <xdr:rowOff>38829</xdr:rowOff>
    </xdr:from>
    <xdr:to>
      <xdr:col>5</xdr:col>
      <xdr:colOff>361416</xdr:colOff>
      <xdr:row>89</xdr:row>
      <xdr:rowOff>62509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00A78C-DD56-F84B-9027-B35B77DFE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90</xdr:row>
      <xdr:rowOff>45720</xdr:rowOff>
    </xdr:from>
    <xdr:to>
      <xdr:col>5</xdr:col>
      <xdr:colOff>359780</xdr:colOff>
      <xdr:row>112</xdr:row>
      <xdr:rowOff>69400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DE8693-CC29-A445-BB38-57466D9F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341770</xdr:colOff>
      <xdr:row>113</xdr:row>
      <xdr:rowOff>30479</xdr:rowOff>
    </xdr:from>
    <xdr:to>
      <xdr:col>5</xdr:col>
      <xdr:colOff>358650</xdr:colOff>
      <xdr:row>135</xdr:row>
      <xdr:rowOff>54159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ED987F-11CE-B94C-A535-35DA95D93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339230</xdr:colOff>
      <xdr:row>136</xdr:row>
      <xdr:rowOff>72247</xdr:rowOff>
    </xdr:from>
    <xdr:to>
      <xdr:col>5</xdr:col>
      <xdr:colOff>356110</xdr:colOff>
      <xdr:row>158</xdr:row>
      <xdr:rowOff>95927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DDF864-1FAE-884B-A53C-D3579634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332174</xdr:colOff>
      <xdr:row>159</xdr:row>
      <xdr:rowOff>96237</xdr:rowOff>
    </xdr:from>
    <xdr:to>
      <xdr:col>5</xdr:col>
      <xdr:colOff>349054</xdr:colOff>
      <xdr:row>181</xdr:row>
      <xdr:rowOff>119917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8E3F59-BD6B-884E-843A-063E6804B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325120</xdr:colOff>
      <xdr:row>182</xdr:row>
      <xdr:rowOff>111760</xdr:rowOff>
    </xdr:from>
    <xdr:to>
      <xdr:col>5</xdr:col>
      <xdr:colOff>342000</xdr:colOff>
      <xdr:row>204</xdr:row>
      <xdr:rowOff>135440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911F31C-E3AC-3B4B-BF1C-9AC4E119E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335280</xdr:colOff>
      <xdr:row>205</xdr:row>
      <xdr:rowOff>121920</xdr:rowOff>
    </xdr:from>
    <xdr:to>
      <xdr:col>5</xdr:col>
      <xdr:colOff>352160</xdr:colOff>
      <xdr:row>227</xdr:row>
      <xdr:rowOff>145600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D98B102-0FA9-2842-A4E2-5210CED9F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90536</xdr:colOff>
      <xdr:row>15</xdr:row>
      <xdr:rowOff>99789</xdr:rowOff>
    </xdr:from>
    <xdr:to>
      <xdr:col>5</xdr:col>
      <xdr:colOff>107416</xdr:colOff>
      <xdr:row>37</xdr:row>
      <xdr:rowOff>123469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548749-898B-FB43-9CFE-B61789952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94446</xdr:colOff>
      <xdr:row>38</xdr:row>
      <xdr:rowOff>70476</xdr:rowOff>
    </xdr:from>
    <xdr:to>
      <xdr:col>5</xdr:col>
      <xdr:colOff>111326</xdr:colOff>
      <xdr:row>60</xdr:row>
      <xdr:rowOff>94156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474E0E-A65E-FF44-9FB3-B5FD1D324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92548</xdr:colOff>
      <xdr:row>61</xdr:row>
      <xdr:rowOff>123174</xdr:rowOff>
    </xdr:from>
    <xdr:to>
      <xdr:col>5</xdr:col>
      <xdr:colOff>109428</xdr:colOff>
      <xdr:row>83</xdr:row>
      <xdr:rowOff>146854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CE3A7A-E2EF-7C43-BB5A-8234B0C44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92548</xdr:colOff>
      <xdr:row>84</xdr:row>
      <xdr:rowOff>143465</xdr:rowOff>
    </xdr:from>
    <xdr:to>
      <xdr:col>5</xdr:col>
      <xdr:colOff>109428</xdr:colOff>
      <xdr:row>107</xdr:row>
      <xdr:rowOff>4585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2436A2-7BF3-6548-AC5E-2126D3EF8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121918</xdr:colOff>
      <xdr:row>108</xdr:row>
      <xdr:rowOff>6350</xdr:rowOff>
    </xdr:from>
    <xdr:to>
      <xdr:col>5</xdr:col>
      <xdr:colOff>138798</xdr:colOff>
      <xdr:row>130</xdr:row>
      <xdr:rowOff>30030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8BF88-242D-DF42-84F9-047C6E8E4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119380</xdr:colOff>
      <xdr:row>130</xdr:row>
      <xdr:rowOff>139700</xdr:rowOff>
    </xdr:from>
    <xdr:to>
      <xdr:col>5</xdr:col>
      <xdr:colOff>136260</xdr:colOff>
      <xdr:row>153</xdr:row>
      <xdr:rowOff>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A7CCC9-3199-A346-AFB8-7B73583CD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344536</xdr:colOff>
      <xdr:row>25</xdr:row>
      <xdr:rowOff>120109</xdr:rowOff>
    </xdr:from>
    <xdr:to>
      <xdr:col>5</xdr:col>
      <xdr:colOff>372771</xdr:colOff>
      <xdr:row>48</xdr:row>
      <xdr:rowOff>38177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E7B0C4-A96B-E741-BDDF-68905A69C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352648</xdr:colOff>
      <xdr:row>49</xdr:row>
      <xdr:rowOff>26332</xdr:rowOff>
    </xdr:from>
    <xdr:to>
      <xdr:col>5</xdr:col>
      <xdr:colOff>380883</xdr:colOff>
      <xdr:row>71</xdr:row>
      <xdr:rowOff>104483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130EC1-BCA3-D54F-B563-EFB12723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345109</xdr:colOff>
      <xdr:row>72</xdr:row>
      <xdr:rowOff>77839</xdr:rowOff>
    </xdr:from>
    <xdr:to>
      <xdr:col>5</xdr:col>
      <xdr:colOff>373344</xdr:colOff>
      <xdr:row>94</xdr:row>
      <xdr:rowOff>155990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80E464-CA31-2547-912E-EAE3A8DDA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345110</xdr:colOff>
      <xdr:row>95</xdr:row>
      <xdr:rowOff>110435</xdr:rowOff>
    </xdr:from>
    <xdr:to>
      <xdr:col>5</xdr:col>
      <xdr:colOff>373345</xdr:colOff>
      <xdr:row>118</xdr:row>
      <xdr:rowOff>28502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CF4DFA3-68CA-D84F-9FE0-6EEF18B37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341977</xdr:colOff>
      <xdr:row>118</xdr:row>
      <xdr:rowOff>139318</xdr:rowOff>
    </xdr:from>
    <xdr:to>
      <xdr:col>5</xdr:col>
      <xdr:colOff>370212</xdr:colOff>
      <xdr:row>141</xdr:row>
      <xdr:rowOff>57385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39D313-4338-724B-99D9-253C82C91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328173</xdr:colOff>
      <xdr:row>142</xdr:row>
      <xdr:rowOff>41412</xdr:rowOff>
    </xdr:from>
    <xdr:to>
      <xdr:col>5</xdr:col>
      <xdr:colOff>356408</xdr:colOff>
      <xdr:row>164</xdr:row>
      <xdr:rowOff>119564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8CC4F8-A59D-6B4D-85D7-826C6756C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329276</xdr:colOff>
      <xdr:row>188</xdr:row>
      <xdr:rowOff>118145</xdr:rowOff>
    </xdr:from>
    <xdr:to>
      <xdr:col>5</xdr:col>
      <xdr:colOff>357511</xdr:colOff>
      <xdr:row>216</xdr:row>
      <xdr:rowOff>132991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212276F-F9AC-6143-A313-7252D1DA278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338844</xdr:colOff>
      <xdr:row>217</xdr:row>
      <xdr:rowOff>100106</xdr:rowOff>
    </xdr:from>
    <xdr:to>
      <xdr:col>5</xdr:col>
      <xdr:colOff>367079</xdr:colOff>
      <xdr:row>245</xdr:row>
      <xdr:rowOff>113987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6B4E94-61AF-314F-9952-D402BC589DF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340871</xdr:colOff>
      <xdr:row>293</xdr:row>
      <xdr:rowOff>3521</xdr:rowOff>
    </xdr:from>
    <xdr:to>
      <xdr:col>5</xdr:col>
      <xdr:colOff>369106</xdr:colOff>
      <xdr:row>315</xdr:row>
      <xdr:rowOff>80820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73381B6-ED38-594A-A4DA-BD4D91F90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338844</xdr:colOff>
      <xdr:row>165</xdr:row>
      <xdr:rowOff>105656</xdr:rowOff>
    </xdr:from>
    <xdr:to>
      <xdr:col>5</xdr:col>
      <xdr:colOff>367079</xdr:colOff>
      <xdr:row>188</xdr:row>
      <xdr:rowOff>23723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E92A2E-223C-D34D-87A3-8EDD89226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330202</xdr:colOff>
      <xdr:row>246</xdr:row>
      <xdr:rowOff>65528</xdr:rowOff>
    </xdr:from>
    <xdr:to>
      <xdr:col>5</xdr:col>
      <xdr:colOff>358437</xdr:colOff>
      <xdr:row>268</xdr:row>
      <xdr:rowOff>144215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7E232C-FAEC-CD45-AF4E-9A2D63479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340871</xdr:colOff>
      <xdr:row>269</xdr:row>
      <xdr:rowOff>94983</xdr:rowOff>
    </xdr:from>
    <xdr:to>
      <xdr:col>5</xdr:col>
      <xdr:colOff>369106</xdr:colOff>
      <xdr:row>292</xdr:row>
      <xdr:rowOff>13050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0AFB00-5B1B-8946-ABC1-182EE1F49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772240</xdr:colOff>
      <xdr:row>253</xdr:row>
      <xdr:rowOff>72186</xdr:rowOff>
    </xdr:from>
    <xdr:to>
      <xdr:col>4</xdr:col>
      <xdr:colOff>1002189</xdr:colOff>
      <xdr:row>254</xdr:row>
      <xdr:rowOff>120026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C6A5996-EEE1-4130-C06F-A9E792534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738038" y="42035547"/>
          <a:ext cx="229949" cy="207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10BD-08EF-4E86-930A-C83BE476C25F}">
  <dimension ref="A1:Q205"/>
  <sheetViews>
    <sheetView showGridLines="0" zoomScale="150" zoomScaleNormal="115" workbookViewId="0">
      <pane xSplit="1" ySplit="2" topLeftCell="C3" activePane="bottomRight" state="frozen"/>
      <selection pane="topRight" activeCell="B1" sqref="B1"/>
      <selection pane="bottomLeft" activeCell="A5" sqref="A5"/>
      <selection pane="bottomRight" activeCell="F10" sqref="F10"/>
    </sheetView>
  </sheetViews>
  <sheetFormatPr baseColWidth="10" defaultColWidth="8.83203125" defaultRowHeight="25" customHeight="1"/>
  <cols>
    <col min="1" max="1" width="32.6640625" style="1" customWidth="1"/>
    <col min="2" max="3" width="17.83203125" style="1" customWidth="1"/>
    <col min="4" max="6" width="14.83203125" style="1" customWidth="1"/>
    <col min="7" max="8" width="14.83203125" style="5" customWidth="1"/>
    <col min="9" max="10" width="14.83203125" style="1" customWidth="1"/>
    <col min="11" max="11" width="5.5" style="1" customWidth="1"/>
    <col min="12" max="12" width="12.1640625" style="1" customWidth="1"/>
    <col min="13" max="13" width="14.1640625" style="1" customWidth="1"/>
    <col min="14" max="17" width="15.83203125" style="1" customWidth="1"/>
    <col min="18" max="18" width="9.6640625" style="1" customWidth="1"/>
    <col min="19" max="16384" width="8.83203125" style="1"/>
  </cols>
  <sheetData>
    <row r="1" spans="1:17" ht="49" customHeight="1">
      <c r="A1" s="295" t="s">
        <v>146</v>
      </c>
      <c r="B1" s="295"/>
      <c r="C1" s="295"/>
      <c r="D1" s="295"/>
      <c r="E1" s="295"/>
      <c r="F1" s="295"/>
      <c r="G1" s="295"/>
      <c r="H1" s="295"/>
      <c r="I1" s="295"/>
      <c r="J1" s="295"/>
    </row>
    <row r="2" spans="1:17" s="2" customFormat="1" ht="25" customHeight="1">
      <c r="B2" s="9">
        <v>2019</v>
      </c>
      <c r="C2" s="9">
        <v>2020</v>
      </c>
      <c r="D2" s="9">
        <v>2021</v>
      </c>
      <c r="E2" s="9">
        <v>2022</v>
      </c>
      <c r="F2" s="9">
        <v>2023</v>
      </c>
      <c r="G2" s="9">
        <v>2024</v>
      </c>
      <c r="H2" s="9">
        <v>2025</v>
      </c>
      <c r="I2" s="14" t="s">
        <v>123</v>
      </c>
      <c r="J2" s="14" t="s">
        <v>250</v>
      </c>
      <c r="L2" s="225" t="s">
        <v>129</v>
      </c>
      <c r="M2" s="225">
        <v>1</v>
      </c>
    </row>
    <row r="3" spans="1:17" s="2" customFormat="1" ht="15" customHeight="1">
      <c r="A3" s="96" t="s">
        <v>0</v>
      </c>
      <c r="B3" s="97">
        <f t="shared" ref="B3:J3" si="0">SUM(B6,B9,B12,B15,,B18,B21,B24,B27,B30)</f>
        <v>19155806.080000002</v>
      </c>
      <c r="C3" s="97">
        <f t="shared" si="0"/>
        <v>41440786.649999999</v>
      </c>
      <c r="D3" s="97">
        <f t="shared" si="0"/>
        <v>62287555.829999998</v>
      </c>
      <c r="E3" s="97">
        <f t="shared" si="0"/>
        <v>81435551.609999999</v>
      </c>
      <c r="F3" s="97">
        <f t="shared" si="0"/>
        <v>86095950.00999999</v>
      </c>
      <c r="G3" s="97">
        <f t="shared" si="0"/>
        <v>78596805.319999993</v>
      </c>
      <c r="H3" s="97">
        <f t="shared" si="0"/>
        <v>77993080.390000001</v>
      </c>
      <c r="I3" s="97">
        <f t="shared" si="0"/>
        <v>0</v>
      </c>
      <c r="J3" s="97">
        <f t="shared" si="0"/>
        <v>77993080.390000001</v>
      </c>
      <c r="K3" s="16"/>
      <c r="M3" s="10">
        <f>E2</f>
        <v>2022</v>
      </c>
      <c r="N3" s="10">
        <f>F2</f>
        <v>2023</v>
      </c>
      <c r="O3" s="10">
        <f>G2</f>
        <v>2024</v>
      </c>
      <c r="P3" s="10">
        <v>2025</v>
      </c>
      <c r="Q3" s="10" t="str">
        <f>J2</f>
        <v>2025 Projetado</v>
      </c>
    </row>
    <row r="4" spans="1:17" s="36" customFormat="1" ht="10" customHeight="1">
      <c r="A4" s="36" t="s">
        <v>195</v>
      </c>
      <c r="B4" s="37">
        <v>0</v>
      </c>
      <c r="C4" s="37">
        <f t="shared" ref="C4:H4" si="1">C3/B3-1</f>
        <v>1.1633538404456427</v>
      </c>
      <c r="D4" s="37">
        <f t="shared" si="1"/>
        <v>0.5030495525113301</v>
      </c>
      <c r="E4" s="37">
        <f t="shared" si="1"/>
        <v>0.30741286160369152</v>
      </c>
      <c r="F4" s="37">
        <f t="shared" si="1"/>
        <v>5.7228057130612076E-2</v>
      </c>
      <c r="G4" s="37">
        <f t="shared" si="1"/>
        <v>-8.7102177153849603E-2</v>
      </c>
      <c r="H4" s="37">
        <f t="shared" si="1"/>
        <v>-7.6812909575901811E-3</v>
      </c>
      <c r="I4" s="37"/>
      <c r="J4" s="37">
        <f>J3/G3-1</f>
        <v>-7.6812909575901811E-3</v>
      </c>
    </row>
    <row r="5" spans="1:17" s="146" customFormat="1" ht="10" customHeight="1">
      <c r="A5" s="144" t="s">
        <v>194</v>
      </c>
      <c r="B5" s="145">
        <f>B3/B18</f>
        <v>144.70424452454779</v>
      </c>
      <c r="C5" s="145">
        <f t="shared" ref="C5:H5" si="2">C3/C51</f>
        <v>0.9643429147450564</v>
      </c>
      <c r="D5" s="145">
        <f t="shared" si="2"/>
        <v>0.82487301940951441</v>
      </c>
      <c r="E5" s="145">
        <f t="shared" si="2"/>
        <v>0.81711972639911568</v>
      </c>
      <c r="F5" s="145">
        <f t="shared" si="2"/>
        <v>0.80351782812469297</v>
      </c>
      <c r="G5" s="145">
        <f t="shared" si="2"/>
        <v>0.78409436726469506</v>
      </c>
      <c r="H5" s="145">
        <f t="shared" si="2"/>
        <v>0.78281548640414644</v>
      </c>
      <c r="I5" s="145"/>
      <c r="J5" s="145">
        <f>J3/J51</f>
        <v>0.78281548640414644</v>
      </c>
    </row>
    <row r="6" spans="1:17" s="2" customFormat="1" ht="15" customHeight="1">
      <c r="A6" s="2" t="s">
        <v>145</v>
      </c>
      <c r="B6" s="16">
        <v>1767953.05</v>
      </c>
      <c r="C6" s="16">
        <v>378772.28</v>
      </c>
      <c r="D6" s="16">
        <v>1178314.94</v>
      </c>
      <c r="E6" s="88">
        <f>1973602.53-M6</f>
        <v>1973602.53</v>
      </c>
      <c r="F6" s="88">
        <f>2196950.6-N6</f>
        <v>2196950.6</v>
      </c>
      <c r="G6" s="88">
        <v>3419702.65</v>
      </c>
      <c r="H6" s="88">
        <f>3439456.13-Q6</f>
        <v>3439456.13</v>
      </c>
      <c r="I6" s="88">
        <v>0</v>
      </c>
      <c r="J6" s="89">
        <f>H6+I6</f>
        <v>3439456.13</v>
      </c>
      <c r="L6" s="24" t="s">
        <v>73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s="36" customFormat="1" ht="10" customHeight="1">
      <c r="A7" s="36" t="s">
        <v>195</v>
      </c>
      <c r="B7" s="37">
        <v>0</v>
      </c>
      <c r="C7" s="37">
        <f t="shared" ref="C7:H7" si="3">C6/B6-1</f>
        <v>-0.78575659574217771</v>
      </c>
      <c r="D7" s="37">
        <f t="shared" si="3"/>
        <v>2.1108795501085766</v>
      </c>
      <c r="E7" s="37">
        <f t="shared" si="3"/>
        <v>0.6749363544520619</v>
      </c>
      <c r="F7" s="37">
        <f t="shared" si="3"/>
        <v>0.11316770555619438</v>
      </c>
      <c r="G7" s="37">
        <f t="shared" si="3"/>
        <v>0.55656783998693449</v>
      </c>
      <c r="H7" s="37">
        <f t="shared" si="3"/>
        <v>5.7763735686200413E-3</v>
      </c>
      <c r="I7" s="37"/>
      <c r="J7" s="37">
        <f>J6/G6-1</f>
        <v>5.7763735686200413E-3</v>
      </c>
    </row>
    <row r="8" spans="1:17" s="146" customFormat="1" ht="10" customHeight="1">
      <c r="A8" s="144" t="s">
        <v>194</v>
      </c>
      <c r="B8" s="145">
        <f t="shared" ref="B8:F8" si="4">B6/B$3</f>
        <v>9.2293325721534966E-2</v>
      </c>
      <c r="C8" s="145">
        <f t="shared" si="4"/>
        <v>9.140084217006534E-3</v>
      </c>
      <c r="D8" s="145">
        <f t="shared" si="4"/>
        <v>1.8917341101261829E-2</v>
      </c>
      <c r="E8" s="145">
        <f t="shared" si="4"/>
        <v>2.4235146578876352E-2</v>
      </c>
      <c r="F8" s="145">
        <f t="shared" si="4"/>
        <v>2.5517467427269524E-2</v>
      </c>
      <c r="G8" s="145">
        <f t="shared" ref="G8:H8" si="5">G6/G$3</f>
        <v>4.3509435734403974E-2</v>
      </c>
      <c r="H8" s="145">
        <f t="shared" si="5"/>
        <v>4.4099503607258408E-2</v>
      </c>
      <c r="I8" s="145"/>
      <c r="J8" s="145">
        <f>J6/J$3</f>
        <v>4.4099503607258408E-2</v>
      </c>
    </row>
    <row r="9" spans="1:17" s="2" customFormat="1" ht="15" customHeight="1">
      <c r="A9" s="2" t="s">
        <v>143</v>
      </c>
      <c r="B9" s="16">
        <v>0</v>
      </c>
      <c r="C9" s="16">
        <v>0</v>
      </c>
      <c r="D9" s="16">
        <v>0</v>
      </c>
      <c r="E9" s="90">
        <v>952682.84</v>
      </c>
      <c r="F9" s="90">
        <v>228454.06</v>
      </c>
      <c r="G9" s="90">
        <v>1320525.77</v>
      </c>
      <c r="H9" s="90">
        <v>1279744.72</v>
      </c>
      <c r="I9" s="90">
        <v>0</v>
      </c>
      <c r="J9" s="91">
        <f>H9+I9</f>
        <v>1279744.72</v>
      </c>
      <c r="M9" s="100">
        <v>1973602.53</v>
      </c>
      <c r="N9" s="100">
        <v>2196950.6</v>
      </c>
      <c r="O9" s="100">
        <v>3419702.65</v>
      </c>
      <c r="P9" s="100">
        <v>3439456.13</v>
      </c>
      <c r="Q9" s="100">
        <v>3439456.13</v>
      </c>
    </row>
    <row r="10" spans="1:17" s="36" customFormat="1" ht="10" customHeight="1">
      <c r="A10" s="36" t="s">
        <v>195</v>
      </c>
      <c r="B10" s="37">
        <v>0</v>
      </c>
      <c r="C10" s="37" t="e">
        <f t="shared" ref="C10:H10" si="6">C9/B9-1</f>
        <v>#DIV/0!</v>
      </c>
      <c r="D10" s="37" t="e">
        <f t="shared" si="6"/>
        <v>#DIV/0!</v>
      </c>
      <c r="E10" s="37" t="e">
        <f t="shared" si="6"/>
        <v>#DIV/0!</v>
      </c>
      <c r="F10" s="37">
        <f t="shared" si="6"/>
        <v>-0.76019924952148821</v>
      </c>
      <c r="G10" s="37">
        <f t="shared" si="6"/>
        <v>4.7802683392888703</v>
      </c>
      <c r="H10" s="37">
        <f t="shared" si="6"/>
        <v>-3.0882434047462826E-2</v>
      </c>
      <c r="I10" s="37"/>
      <c r="J10" s="37">
        <f>J9/G9-1</f>
        <v>-3.0882434047462826E-2</v>
      </c>
      <c r="O10" s="100"/>
      <c r="P10" s="100"/>
    </row>
    <row r="11" spans="1:17" s="146" customFormat="1" ht="10" customHeight="1">
      <c r="A11" s="144" t="s">
        <v>194</v>
      </c>
      <c r="B11" s="145">
        <f t="shared" ref="B11:F11" si="7">B9/B$3</f>
        <v>0</v>
      </c>
      <c r="C11" s="145">
        <f t="shared" si="7"/>
        <v>0</v>
      </c>
      <c r="D11" s="145">
        <f t="shared" si="7"/>
        <v>0</v>
      </c>
      <c r="E11" s="145">
        <f t="shared" si="7"/>
        <v>1.1698611001770557E-2</v>
      </c>
      <c r="F11" s="145">
        <f t="shared" si="7"/>
        <v>2.6534820740518597E-3</v>
      </c>
      <c r="G11" s="145">
        <f t="shared" ref="G11:H11" si="8">G9/G$3</f>
        <v>1.6801265199311795E-2</v>
      </c>
      <c r="H11" s="145">
        <f t="shared" si="8"/>
        <v>1.6408439230771611E-2</v>
      </c>
      <c r="I11" s="145"/>
      <c r="J11" s="145">
        <f>J9/J$3</f>
        <v>1.6408439230771611E-2</v>
      </c>
    </row>
    <row r="12" spans="1:17" s="2" customFormat="1" ht="15" customHeight="1">
      <c r="A12" s="2" t="s">
        <v>144</v>
      </c>
      <c r="B12" s="16">
        <v>0</v>
      </c>
      <c r="C12" s="16">
        <v>0</v>
      </c>
      <c r="D12" s="16">
        <v>0</v>
      </c>
      <c r="E12" s="90">
        <v>99065.08</v>
      </c>
      <c r="F12" s="90">
        <v>178906.17</v>
      </c>
      <c r="G12" s="90">
        <v>1322375.56</v>
      </c>
      <c r="H12" s="90">
        <v>1168429.03</v>
      </c>
      <c r="I12" s="90">
        <v>0</v>
      </c>
      <c r="J12" s="91">
        <f>H12+I12</f>
        <v>1168429.03</v>
      </c>
    </row>
    <row r="13" spans="1:17" s="36" customFormat="1" ht="10" customHeight="1">
      <c r="A13" s="36" t="s">
        <v>195</v>
      </c>
      <c r="B13" s="37">
        <v>0</v>
      </c>
      <c r="C13" s="37" t="e">
        <f t="shared" ref="C13:H13" si="9">C12/B12-1</f>
        <v>#DIV/0!</v>
      </c>
      <c r="D13" s="37" t="e">
        <f t="shared" si="9"/>
        <v>#DIV/0!</v>
      </c>
      <c r="E13" s="37" t="e">
        <f t="shared" si="9"/>
        <v>#DIV/0!</v>
      </c>
      <c r="F13" s="37">
        <f t="shared" si="9"/>
        <v>0.80594584893082422</v>
      </c>
      <c r="G13" s="37">
        <f t="shared" si="9"/>
        <v>6.391447483337215</v>
      </c>
      <c r="H13" s="37">
        <f t="shared" si="9"/>
        <v>-0.11641664793018414</v>
      </c>
      <c r="I13" s="37"/>
      <c r="J13" s="37">
        <f>J12/G12-1</f>
        <v>-0.11641664793018414</v>
      </c>
    </row>
    <row r="14" spans="1:17" s="146" customFormat="1" ht="10" customHeight="1">
      <c r="A14" s="144" t="s">
        <v>194</v>
      </c>
      <c r="B14" s="145">
        <f t="shared" ref="B14:F14" si="10">B12/B$3</f>
        <v>0</v>
      </c>
      <c r="C14" s="145">
        <f t="shared" si="10"/>
        <v>0</v>
      </c>
      <c r="D14" s="145">
        <f t="shared" si="10"/>
        <v>0</v>
      </c>
      <c r="E14" s="145">
        <f t="shared" si="10"/>
        <v>1.2164844228529197E-3</v>
      </c>
      <c r="F14" s="145">
        <f t="shared" si="10"/>
        <v>2.0779858980500263E-3</v>
      </c>
      <c r="G14" s="145">
        <f t="shared" ref="G14:H14" si="11">G12/G$3</f>
        <v>1.6824800379812693E-2</v>
      </c>
      <c r="H14" s="145">
        <f t="shared" si="11"/>
        <v>1.4981188384371236E-2</v>
      </c>
      <c r="I14" s="145"/>
      <c r="J14" s="145">
        <f>J12/J$3</f>
        <v>1.4981188384371236E-2</v>
      </c>
    </row>
    <row r="15" spans="1:17" s="2" customFormat="1" ht="15" customHeight="1">
      <c r="A15" s="2" t="s">
        <v>251</v>
      </c>
      <c r="B15" s="16">
        <v>9602628.2200000007</v>
      </c>
      <c r="C15" s="16">
        <f>13494431.8+5785755.36</f>
        <v>19280187.16</v>
      </c>
      <c r="D15" s="16">
        <f>17839831.9+9441201.04</f>
        <v>27281032.939999998</v>
      </c>
      <c r="E15" s="16">
        <f>24454932.11-392880.16+14072967.36-595763.9+1199649.77+452417.18</f>
        <v>39191322.360000007</v>
      </c>
      <c r="F15" s="16">
        <f>24627833.21-468621.6+13868249.81-1899182.79+272665.51+1119959.34</f>
        <v>37520903.480000004</v>
      </c>
      <c r="G15" s="16">
        <f>27399501.52+12636508.8+1063505.18</f>
        <v>41099515.5</v>
      </c>
      <c r="H15" s="16">
        <f>26901303.55-1187662.86+14117750.96-2589439.25+564284.36+507695.5</f>
        <v>38313932.260000005</v>
      </c>
      <c r="I15" s="16">
        <v>0</v>
      </c>
      <c r="J15" s="91">
        <f>H15+I15</f>
        <v>38313932.260000005</v>
      </c>
      <c r="K15" s="16"/>
      <c r="L15" s="16"/>
    </row>
    <row r="16" spans="1:17" s="36" customFormat="1" ht="10" customHeight="1">
      <c r="A16" s="36" t="s">
        <v>195</v>
      </c>
      <c r="B16" s="37">
        <v>0</v>
      </c>
      <c r="C16" s="37">
        <f t="shared" ref="C16:H16" si="12">C15/B15-1</f>
        <v>1.007803147043008</v>
      </c>
      <c r="D16" s="37">
        <f t="shared" si="12"/>
        <v>0.41497759921123079</v>
      </c>
      <c r="E16" s="37">
        <f t="shared" si="12"/>
        <v>0.43657765621245614</v>
      </c>
      <c r="F16" s="37">
        <f t="shared" si="12"/>
        <v>-4.2622161728967045E-2</v>
      </c>
      <c r="G16" s="37">
        <f t="shared" si="12"/>
        <v>9.5376488519460123E-2</v>
      </c>
      <c r="H16" s="37">
        <f t="shared" si="12"/>
        <v>-6.7776546903575929E-2</v>
      </c>
      <c r="I16" s="37"/>
      <c r="J16" s="37">
        <f>J15/G15-1</f>
        <v>-6.7776546903575929E-2</v>
      </c>
      <c r="K16" s="245"/>
    </row>
    <row r="17" spans="1:16" s="146" customFormat="1" ht="10" customHeight="1">
      <c r="A17" s="144" t="s">
        <v>194</v>
      </c>
      <c r="B17" s="145">
        <f t="shared" ref="B17:F17" si="13">B15/B$3</f>
        <v>0.50129074077575964</v>
      </c>
      <c r="C17" s="145">
        <f t="shared" si="13"/>
        <v>0.46524664994504877</v>
      </c>
      <c r="D17" s="145">
        <f t="shared" si="13"/>
        <v>0.43798528576811552</v>
      </c>
      <c r="E17" s="145">
        <f t="shared" si="13"/>
        <v>0.48125568729109525</v>
      </c>
      <c r="F17" s="145">
        <f t="shared" si="13"/>
        <v>0.43580335051349078</v>
      </c>
      <c r="G17" s="145">
        <f t="shared" ref="G17:H17" si="14">G15/G$3</f>
        <v>0.52291585303838917</v>
      </c>
      <c r="H17" s="145">
        <f t="shared" si="14"/>
        <v>0.49124783978800873</v>
      </c>
      <c r="I17" s="145"/>
      <c r="J17" s="145">
        <f>J15/J$3</f>
        <v>0.49124783978800873</v>
      </c>
      <c r="L17" s="224"/>
    </row>
    <row r="18" spans="1:16" s="2" customFormat="1" ht="15" customHeight="1">
      <c r="A18" s="2" t="s">
        <v>29</v>
      </c>
      <c r="B18" s="16">
        <v>132379.01999999999</v>
      </c>
      <c r="C18" s="16">
        <v>1305007.25</v>
      </c>
      <c r="D18" s="16">
        <v>3631580.73</v>
      </c>
      <c r="E18" s="16">
        <v>7231033.3300000001</v>
      </c>
      <c r="F18" s="16">
        <v>8080654.21</v>
      </c>
      <c r="G18" s="16">
        <v>7964151.8300000001</v>
      </c>
      <c r="H18" s="16">
        <v>8392709.1899999995</v>
      </c>
      <c r="I18" s="16">
        <v>0</v>
      </c>
      <c r="J18" s="91">
        <f>H18+I18</f>
        <v>8392709.1899999995</v>
      </c>
      <c r="N18" s="141"/>
    </row>
    <row r="19" spans="1:16" s="36" customFormat="1" ht="10" customHeight="1">
      <c r="A19" s="36" t="s">
        <v>195</v>
      </c>
      <c r="B19" s="37">
        <v>0</v>
      </c>
      <c r="C19" s="37">
        <f t="shared" ref="C19:H19" si="15">C18/B18-1</f>
        <v>8.8581123353232272</v>
      </c>
      <c r="D19" s="37">
        <f t="shared" si="15"/>
        <v>1.7828050227307166</v>
      </c>
      <c r="E19" s="37">
        <f t="shared" si="15"/>
        <v>0.99115312796584876</v>
      </c>
      <c r="F19" s="37">
        <f t="shared" si="15"/>
        <v>0.11749646851648521</v>
      </c>
      <c r="G19" s="37">
        <f t="shared" si="15"/>
        <v>-1.4417444054941164E-2</v>
      </c>
      <c r="H19" s="37">
        <f t="shared" si="15"/>
        <v>5.3810797326298454E-2</v>
      </c>
      <c r="I19" s="37"/>
      <c r="J19" s="37">
        <f>J18/G18-1</f>
        <v>5.3810797326298454E-2</v>
      </c>
    </row>
    <row r="20" spans="1:16" s="146" customFormat="1" ht="10" customHeight="1">
      <c r="A20" s="144" t="s">
        <v>194</v>
      </c>
      <c r="B20" s="145">
        <f t="shared" ref="B20:F20" si="16">B18/B$3</f>
        <v>6.910647322652369E-3</v>
      </c>
      <c r="C20" s="145">
        <f t="shared" si="16"/>
        <v>3.149088990568185E-2</v>
      </c>
      <c r="D20" s="145">
        <f t="shared" si="16"/>
        <v>5.8303471401439967E-2</v>
      </c>
      <c r="E20" s="145">
        <f t="shared" si="16"/>
        <v>8.8794552097220092E-2</v>
      </c>
      <c r="F20" s="145">
        <f t="shared" si="16"/>
        <v>9.3856380109185594E-2</v>
      </c>
      <c r="G20" s="145">
        <f t="shared" ref="G20" si="17">G18/G$3</f>
        <v>0.10132920539931178</v>
      </c>
      <c r="H20" s="145">
        <f t="shared" ref="H20" si="18">H18/H$3</f>
        <v>0.10760838202610706</v>
      </c>
      <c r="I20" s="145"/>
      <c r="J20" s="145">
        <f>J18/J$3</f>
        <v>0.10760838202610706</v>
      </c>
    </row>
    <row r="21" spans="1:16" s="2" customFormat="1" ht="15" customHeight="1">
      <c r="A21" s="2" t="s">
        <v>30</v>
      </c>
      <c r="B21" s="16">
        <v>3267.2</v>
      </c>
      <c r="C21" s="16">
        <v>0</v>
      </c>
      <c r="D21" s="16">
        <v>0</v>
      </c>
      <c r="E21" s="16">
        <f>22422+4955.33</f>
        <v>27377.33</v>
      </c>
      <c r="F21" s="16">
        <f>23247.04+2.36</f>
        <v>23249.4</v>
      </c>
      <c r="G21" s="16">
        <v>27276.799999999999</v>
      </c>
      <c r="H21" s="16">
        <v>2444.4299999999998</v>
      </c>
      <c r="I21" s="16">
        <v>0</v>
      </c>
      <c r="J21" s="91">
        <f>H21+I21</f>
        <v>2444.4299999999998</v>
      </c>
    </row>
    <row r="22" spans="1:16" s="36" customFormat="1" ht="10" customHeight="1">
      <c r="A22" s="36" t="s">
        <v>195</v>
      </c>
      <c r="B22" s="37">
        <v>0</v>
      </c>
      <c r="C22" s="37">
        <f t="shared" ref="C22:H22" si="19">C21/B21-1</f>
        <v>-1</v>
      </c>
      <c r="D22" s="37" t="e">
        <f t="shared" si="19"/>
        <v>#DIV/0!</v>
      </c>
      <c r="E22" s="37" t="e">
        <f t="shared" si="19"/>
        <v>#DIV/0!</v>
      </c>
      <c r="F22" s="37">
        <f t="shared" si="19"/>
        <v>-0.15077913003203747</v>
      </c>
      <c r="G22" s="37">
        <f t="shared" si="19"/>
        <v>0.17322597572410459</v>
      </c>
      <c r="H22" s="37">
        <f t="shared" si="19"/>
        <v>-0.91038428261379634</v>
      </c>
      <c r="I22" s="37"/>
      <c r="J22" s="37">
        <f>J21/G21-1</f>
        <v>-0.91038428261379634</v>
      </c>
    </row>
    <row r="23" spans="1:16" s="146" customFormat="1" ht="10" customHeight="1">
      <c r="A23" s="144" t="s">
        <v>194</v>
      </c>
      <c r="B23" s="145">
        <f t="shared" ref="B23:F23" si="20">B21/B$3</f>
        <v>1.705592542728434E-4</v>
      </c>
      <c r="C23" s="145">
        <f t="shared" si="20"/>
        <v>0</v>
      </c>
      <c r="D23" s="145">
        <f t="shared" si="20"/>
        <v>0</v>
      </c>
      <c r="E23" s="145">
        <f t="shared" si="20"/>
        <v>3.3618400635525579E-4</v>
      </c>
      <c r="F23" s="145">
        <f t="shared" si="20"/>
        <v>2.7004057679019279E-4</v>
      </c>
      <c r="G23" s="145">
        <f t="shared" ref="G23:H23" si="21">G21/G$3</f>
        <v>3.4704718453816162E-4</v>
      </c>
      <c r="H23" s="145">
        <f t="shared" si="21"/>
        <v>3.1341626561956077E-5</v>
      </c>
      <c r="I23" s="145"/>
      <c r="J23" s="145">
        <f>J21/J$3</f>
        <v>3.1341626561956077E-5</v>
      </c>
    </row>
    <row r="24" spans="1:16" s="2" customFormat="1" ht="15" customHeight="1">
      <c r="A24" s="2" t="s">
        <v>31</v>
      </c>
      <c r="B24" s="16">
        <v>3814973.13</v>
      </c>
      <c r="C24" s="16">
        <f>1988789.96+9928057.4</f>
        <v>11916847.359999999</v>
      </c>
      <c r="D24" s="16">
        <f>5151291.35</f>
        <v>5151291.3499999996</v>
      </c>
      <c r="E24" s="16">
        <v>2572277.98</v>
      </c>
      <c r="F24" s="16">
        <v>5103440.22</v>
      </c>
      <c r="G24" s="16">
        <v>6407614.5199999996</v>
      </c>
      <c r="H24" s="16">
        <v>8140891.6900000004</v>
      </c>
      <c r="I24" s="16">
        <v>0</v>
      </c>
      <c r="J24" s="91">
        <f>H24+I24</f>
        <v>8140891.6900000004</v>
      </c>
      <c r="O24" s="226"/>
      <c r="P24" s="226"/>
    </row>
    <row r="25" spans="1:16" s="36" customFormat="1" ht="10" customHeight="1">
      <c r="A25" s="36" t="s">
        <v>195</v>
      </c>
      <c r="B25" s="37">
        <v>0</v>
      </c>
      <c r="C25" s="37">
        <f t="shared" ref="C25:H25" si="22">C24/B24-1</f>
        <v>2.1237041399555019</v>
      </c>
      <c r="D25" s="37">
        <f t="shared" si="22"/>
        <v>-0.56773035733504607</v>
      </c>
      <c r="E25" s="37">
        <f t="shared" si="22"/>
        <v>-0.50065375743113427</v>
      </c>
      <c r="F25" s="37">
        <f t="shared" si="22"/>
        <v>0.98401582553686517</v>
      </c>
      <c r="G25" s="37">
        <f t="shared" si="22"/>
        <v>0.25554807027797422</v>
      </c>
      <c r="H25" s="37">
        <f t="shared" si="22"/>
        <v>0.27050272212692361</v>
      </c>
      <c r="I25" s="37"/>
      <c r="J25" s="37">
        <f>J24/G24-1</f>
        <v>0.27050272212692361</v>
      </c>
    </row>
    <row r="26" spans="1:16" s="146" customFormat="1" ht="10" customHeight="1">
      <c r="A26" s="144" t="s">
        <v>194</v>
      </c>
      <c r="B26" s="145">
        <f t="shared" ref="B26:F26" si="23">B24/B$3</f>
        <v>0.19915492535618734</v>
      </c>
      <c r="C26" s="145">
        <f t="shared" si="23"/>
        <v>0.28756325164980912</v>
      </c>
      <c r="D26" s="145">
        <f t="shared" si="23"/>
        <v>8.270177375492628E-2</v>
      </c>
      <c r="E26" s="145">
        <f t="shared" si="23"/>
        <v>3.1586671044101254E-2</v>
      </c>
      <c r="F26" s="145">
        <f t="shared" si="23"/>
        <v>5.9276193821047776E-2</v>
      </c>
      <c r="G26" s="145">
        <f t="shared" ref="G26:H26" si="24">G24/G$3</f>
        <v>8.1525126802698397E-2</v>
      </c>
      <c r="H26" s="145">
        <f t="shared" si="24"/>
        <v>0.1043796661100181</v>
      </c>
      <c r="I26" s="145"/>
      <c r="J26" s="145">
        <f>J24/J$3</f>
        <v>0.1043796661100181</v>
      </c>
    </row>
    <row r="27" spans="1:16" s="2" customFormat="1" ht="15" customHeight="1">
      <c r="A27" s="2" t="s">
        <v>1</v>
      </c>
      <c r="B27" s="16">
        <v>3834605.46</v>
      </c>
      <c r="C27" s="16">
        <v>8514600.25</v>
      </c>
      <c r="D27" s="16">
        <v>24837718.449999999</v>
      </c>
      <c r="E27" s="16">
        <f>1798062.78+41448.33+26504037.13+988524.37+56117.55</f>
        <v>29388190.16</v>
      </c>
      <c r="F27" s="16">
        <f>3385345.74+28250312.34+774135.29+353598.5</f>
        <v>32763391.869999997</v>
      </c>
      <c r="G27" s="16">
        <v>17035642.689999998</v>
      </c>
      <c r="H27" s="16">
        <f>16967277.89+288195.05</f>
        <v>17255472.940000001</v>
      </c>
      <c r="I27" s="25">
        <v>0</v>
      </c>
      <c r="J27" s="91">
        <f>H27+I27</f>
        <v>17255472.940000001</v>
      </c>
      <c r="K27" s="226"/>
      <c r="L27" s="205"/>
    </row>
    <row r="28" spans="1:16" s="36" customFormat="1" ht="10" customHeight="1">
      <c r="A28" s="36" t="s">
        <v>195</v>
      </c>
      <c r="B28" s="37">
        <v>0</v>
      </c>
      <c r="C28" s="37">
        <f t="shared" ref="C28:H28" si="25">C27/B27-1</f>
        <v>1.2204631842359084</v>
      </c>
      <c r="D28" s="37">
        <f t="shared" si="25"/>
        <v>1.9170739342695504</v>
      </c>
      <c r="E28" s="37">
        <f t="shared" si="25"/>
        <v>0.18320812030945621</v>
      </c>
      <c r="F28" s="37">
        <f t="shared" si="25"/>
        <v>0.11484891351335924</v>
      </c>
      <c r="G28" s="37">
        <f t="shared" si="25"/>
        <v>-0.48004032190577961</v>
      </c>
      <c r="H28" s="37">
        <f t="shared" si="25"/>
        <v>1.2904135993005106E-2</v>
      </c>
      <c r="I28" s="37"/>
      <c r="J28" s="37">
        <f>J27/G27-1</f>
        <v>1.2904135993005106E-2</v>
      </c>
    </row>
    <row r="29" spans="1:16" s="146" customFormat="1" ht="10" customHeight="1">
      <c r="A29" s="144" t="s">
        <v>194</v>
      </c>
      <c r="B29" s="145">
        <f t="shared" ref="B29:F29" si="26">B27/B$3</f>
        <v>0.20017980156959281</v>
      </c>
      <c r="C29" s="145">
        <f t="shared" si="26"/>
        <v>0.20546425245042979</v>
      </c>
      <c r="D29" s="145">
        <f t="shared" si="26"/>
        <v>0.39875891932232849</v>
      </c>
      <c r="E29" s="145">
        <f t="shared" si="26"/>
        <v>0.36087666355772846</v>
      </c>
      <c r="F29" s="145">
        <f t="shared" si="26"/>
        <v>0.3805450995801144</v>
      </c>
      <c r="G29" s="145">
        <f t="shared" ref="G29:H29" si="27">G27/G$3</f>
        <v>0.21674726626153409</v>
      </c>
      <c r="H29" s="145">
        <f t="shared" si="27"/>
        <v>0.22124363922690299</v>
      </c>
      <c r="I29" s="145"/>
      <c r="J29" s="145">
        <f>J27/J$3</f>
        <v>0.22124363922690299</v>
      </c>
    </row>
    <row r="30" spans="1:16" s="2" customFormat="1" ht="15" customHeight="1">
      <c r="A30" s="2" t="s">
        <v>65</v>
      </c>
      <c r="B30" s="16">
        <v>0</v>
      </c>
      <c r="C30" s="16">
        <v>45372.35</v>
      </c>
      <c r="D30" s="16">
        <v>207617.42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91">
        <f>H30+I30</f>
        <v>0</v>
      </c>
    </row>
    <row r="31" spans="1:16" s="36" customFormat="1" ht="10" customHeight="1">
      <c r="A31" s="36" t="s">
        <v>195</v>
      </c>
      <c r="B31" s="37">
        <v>0</v>
      </c>
      <c r="C31" s="37" t="e">
        <f t="shared" ref="C31:H31" si="28">C30/B30-1</f>
        <v>#DIV/0!</v>
      </c>
      <c r="D31" s="37">
        <f t="shared" si="28"/>
        <v>3.5758577635939073</v>
      </c>
      <c r="E31" s="37">
        <f t="shared" si="28"/>
        <v>-1</v>
      </c>
      <c r="F31" s="37" t="e">
        <f t="shared" si="28"/>
        <v>#DIV/0!</v>
      </c>
      <c r="G31" s="37" t="e">
        <f t="shared" si="28"/>
        <v>#DIV/0!</v>
      </c>
      <c r="H31" s="37" t="e">
        <f t="shared" si="28"/>
        <v>#DIV/0!</v>
      </c>
      <c r="I31" s="37"/>
      <c r="J31" s="37" t="e">
        <f>J30/G30-1</f>
        <v>#DIV/0!</v>
      </c>
    </row>
    <row r="32" spans="1:16" s="146" customFormat="1" ht="10" customHeight="1">
      <c r="A32" s="144" t="s">
        <v>194</v>
      </c>
      <c r="B32" s="145">
        <f t="shared" ref="B32:D32" si="29">B30/B$3</f>
        <v>0</v>
      </c>
      <c r="C32" s="145">
        <f t="shared" si="29"/>
        <v>1.0948718320239704E-3</v>
      </c>
      <c r="D32" s="145">
        <f t="shared" si="29"/>
        <v>3.3332086519279307E-3</v>
      </c>
      <c r="E32" s="145">
        <f t="shared" ref="E32:H32" si="30">E30/E$3</f>
        <v>0</v>
      </c>
      <c r="F32" s="145">
        <f t="shared" si="30"/>
        <v>0</v>
      </c>
      <c r="G32" s="145">
        <f t="shared" si="30"/>
        <v>0</v>
      </c>
      <c r="H32" s="145">
        <f t="shared" si="30"/>
        <v>0</v>
      </c>
      <c r="I32" s="145"/>
      <c r="J32" s="145">
        <f>J30/J$3</f>
        <v>0</v>
      </c>
    </row>
    <row r="33" spans="1:12" s="2" customFormat="1" ht="15" customHeight="1">
      <c r="A33" s="96" t="s">
        <v>217</v>
      </c>
      <c r="B33" s="97">
        <f t="shared" ref="B33:H33" si="31">SUM(B36,B39,B42,B45,B48)</f>
        <v>1227084.1400000001</v>
      </c>
      <c r="C33" s="97">
        <f t="shared" si="31"/>
        <v>1532294.8299999996</v>
      </c>
      <c r="D33" s="97">
        <f t="shared" si="31"/>
        <v>13224134.290000001</v>
      </c>
      <c r="E33" s="97">
        <f t="shared" si="31"/>
        <v>18226161.330000002</v>
      </c>
      <c r="F33" s="97">
        <f t="shared" si="31"/>
        <v>21052823.789999999</v>
      </c>
      <c r="G33" s="97">
        <f t="shared" si="31"/>
        <v>21642156.469999995</v>
      </c>
      <c r="H33" s="97">
        <f t="shared" si="31"/>
        <v>21638418.659999996</v>
      </c>
      <c r="I33" s="97">
        <f>SUM(I36,I39,I42,I45,I48,)</f>
        <v>0</v>
      </c>
      <c r="J33" s="97">
        <f>SUM(J36,J39,J42,J45,J48,)</f>
        <v>21638418.659999996</v>
      </c>
      <c r="L33" s="227"/>
    </row>
    <row r="34" spans="1:12" s="36" customFormat="1" ht="10" customHeight="1">
      <c r="A34" s="36" t="s">
        <v>195</v>
      </c>
      <c r="B34" s="37">
        <f>B33/C123</f>
        <v>2.8554716062684365E-2</v>
      </c>
      <c r="C34" s="37">
        <f>C33/B33-1</f>
        <v>0.24872841238091414</v>
      </c>
      <c r="D34" s="37">
        <f>D33/C33-1</f>
        <v>7.6302805642175304</v>
      </c>
      <c r="E34" s="37">
        <f>E33/D33-1</f>
        <v>0.37824986727354237</v>
      </c>
      <c r="F34" s="37">
        <f>F33/E33-1</f>
        <v>0.15508819486565995</v>
      </c>
      <c r="G34" s="37">
        <v>0</v>
      </c>
      <c r="H34" s="37">
        <f>H33/G33-1</f>
        <v>-1.7270968376836837E-4</v>
      </c>
      <c r="I34" s="37"/>
      <c r="J34" s="37">
        <f>J33/G33-1</f>
        <v>-1.7270968376836837E-4</v>
      </c>
      <c r="L34" s="245"/>
    </row>
    <row r="35" spans="1:12" s="146" customFormat="1" ht="10" customHeight="1">
      <c r="A35" s="144" t="s">
        <v>194</v>
      </c>
      <c r="B35" s="145">
        <f>B33/B51</f>
        <v>6.0201675363779704E-2</v>
      </c>
      <c r="C35" s="145">
        <f>C33/C51</f>
        <v>3.5657085254943641E-2</v>
      </c>
      <c r="D35" s="145">
        <f>D33/D51</f>
        <v>0.17512698059048556</v>
      </c>
      <c r="E35" s="145">
        <f>E33/E51</f>
        <v>0.18288027360088441</v>
      </c>
      <c r="F35" s="145">
        <f>F33/F51</f>
        <v>0.19648217187530712</v>
      </c>
      <c r="G35" s="145">
        <v>0.21590563273530486</v>
      </c>
      <c r="H35" s="145">
        <f>H33/H51</f>
        <v>0.21718451359585356</v>
      </c>
      <c r="I35" s="145"/>
      <c r="J35" s="145">
        <f>J33/J51</f>
        <v>0.21718451359585356</v>
      </c>
    </row>
    <row r="36" spans="1:12" s="2" customFormat="1" ht="15" customHeight="1">
      <c r="A36" s="2" t="s">
        <v>2</v>
      </c>
      <c r="B36" s="16">
        <v>1181795.49</v>
      </c>
      <c r="C36" s="16">
        <v>1601750.63</v>
      </c>
      <c r="D36" s="16">
        <v>13092000.4</v>
      </c>
      <c r="E36" s="16">
        <f>14236295.35+4059961.88</f>
        <v>18296257.23</v>
      </c>
      <c r="F36" s="16">
        <f>14882481.54+7264619.46</f>
        <v>22147101</v>
      </c>
      <c r="G36" s="16">
        <f>24319905.97+92358.18</f>
        <v>24412264.149999999</v>
      </c>
      <c r="H36" s="16">
        <f>19681303.36-H42-73218.29+92358.18</f>
        <v>24420486.719999999</v>
      </c>
      <c r="I36" s="16">
        <v>0</v>
      </c>
      <c r="J36" s="91">
        <f>H36+I36</f>
        <v>24420486.719999999</v>
      </c>
      <c r="K36" s="16"/>
      <c r="L36" s="16"/>
    </row>
    <row r="37" spans="1:12" s="36" customFormat="1" ht="10" customHeight="1">
      <c r="A37" s="36" t="s">
        <v>195</v>
      </c>
      <c r="B37" s="37">
        <v>0</v>
      </c>
      <c r="C37" s="37">
        <f>C36/B36-1</f>
        <v>0.3553534799832414</v>
      </c>
      <c r="D37" s="37">
        <f>D36/C36-1</f>
        <v>7.1735572034705566</v>
      </c>
      <c r="E37" s="37">
        <f>E36/D36-1</f>
        <v>0.39751425840164201</v>
      </c>
      <c r="F37" s="37">
        <f>F36/E36-1</f>
        <v>0.21047166759799651</v>
      </c>
      <c r="G37" s="37">
        <v>0</v>
      </c>
      <c r="H37" s="37">
        <f>H36/G36-1</f>
        <v>3.3682127759537828E-4</v>
      </c>
      <c r="I37" s="37"/>
      <c r="J37" s="37">
        <f>J36/G36-1</f>
        <v>3.3682127759537828E-4</v>
      </c>
      <c r="L37" s="227"/>
    </row>
    <row r="38" spans="1:12" s="146" customFormat="1" ht="10" customHeight="1">
      <c r="A38" s="144" t="s">
        <v>194</v>
      </c>
      <c r="B38" s="145">
        <f>B36/B$33</f>
        <v>0.96309246568862006</v>
      </c>
      <c r="C38" s="145">
        <f>C36/C$3</f>
        <v>3.8651549825249272E-2</v>
      </c>
      <c r="D38" s="145">
        <f>D36/D$3</f>
        <v>0.2101864525834293</v>
      </c>
      <c r="E38" s="145">
        <f>E36/E$3</f>
        <v>0.22467161906905148</v>
      </c>
      <c r="F38" s="145">
        <f>F36/F$3</f>
        <v>0.25723743099910773</v>
      </c>
      <c r="G38" s="145">
        <v>0.30942613851776335</v>
      </c>
      <c r="H38" s="145">
        <f>H36/H$3</f>
        <v>0.31311094007169266</v>
      </c>
      <c r="I38" s="145"/>
      <c r="J38" s="145">
        <f>J36/J$3</f>
        <v>0.31311094007169266</v>
      </c>
      <c r="L38" s="224"/>
    </row>
    <row r="39" spans="1:12" s="2" customFormat="1" ht="15" customHeight="1">
      <c r="A39" s="2" t="s">
        <v>3</v>
      </c>
      <c r="B39" s="16">
        <v>1718.59</v>
      </c>
      <c r="C39" s="16">
        <v>2302.42</v>
      </c>
      <c r="D39" s="16">
        <v>4152.3100000000004</v>
      </c>
      <c r="E39" s="16">
        <v>20072.36</v>
      </c>
      <c r="F39" s="16">
        <v>28374.78</v>
      </c>
      <c r="G39" s="16">
        <v>38968.47</v>
      </c>
      <c r="H39" s="16">
        <v>38968.47</v>
      </c>
      <c r="I39" s="16">
        <v>0</v>
      </c>
      <c r="J39" s="91">
        <f>H39+I39</f>
        <v>38968.47</v>
      </c>
      <c r="K39" s="16"/>
    </row>
    <row r="40" spans="1:12" s="36" customFormat="1" ht="10" customHeight="1">
      <c r="A40" s="36" t="s">
        <v>195</v>
      </c>
      <c r="B40" s="37">
        <v>0</v>
      </c>
      <c r="C40" s="37">
        <f>C39/B39-1</f>
        <v>0.33971453342565727</v>
      </c>
      <c r="D40" s="37">
        <f>D39/C39-1</f>
        <v>0.80345462600220641</v>
      </c>
      <c r="E40" s="37">
        <f>E39/D39-1</f>
        <v>3.8340225079534038</v>
      </c>
      <c r="F40" s="37">
        <f>F39/E39-1</f>
        <v>0.41362450653535499</v>
      </c>
      <c r="G40" s="37">
        <v>0</v>
      </c>
      <c r="H40" s="37">
        <f>H39/G39-1</f>
        <v>0</v>
      </c>
      <c r="I40" s="37"/>
      <c r="J40" s="37">
        <f>J39/G39-1</f>
        <v>0</v>
      </c>
    </row>
    <row r="41" spans="1:12" s="146" customFormat="1" ht="10" customHeight="1">
      <c r="A41" s="144" t="s">
        <v>194</v>
      </c>
      <c r="B41" s="145">
        <f>B39/B$33</f>
        <v>1.4005478059556696E-3</v>
      </c>
      <c r="C41" s="145">
        <f>C39/C$3</f>
        <v>5.5559273511039881E-5</v>
      </c>
      <c r="D41" s="145">
        <f>D39/D$3</f>
        <v>6.6663556543024497E-5</v>
      </c>
      <c r="E41" s="145">
        <f>E39/E$3</f>
        <v>2.4648153789302981E-4</v>
      </c>
      <c r="F41" s="145">
        <f>F39/F$3</f>
        <v>3.2957160001956292E-4</v>
      </c>
      <c r="G41" s="145">
        <v>4.9580221284240879E-4</v>
      </c>
      <c r="H41" s="145">
        <f>H39/H$3</f>
        <v>4.996400937767859E-4</v>
      </c>
      <c r="I41" s="145"/>
      <c r="J41" s="145">
        <f>J39/J$3</f>
        <v>4.996400937767859E-4</v>
      </c>
    </row>
    <row r="42" spans="1:12" s="2" customFormat="1" ht="15" customHeight="1">
      <c r="A42" s="2" t="s">
        <v>11</v>
      </c>
      <c r="B42" s="16">
        <v>0</v>
      </c>
      <c r="C42" s="16">
        <v>-91940.86</v>
      </c>
      <c r="D42" s="16">
        <v>-547245.48</v>
      </c>
      <c r="E42" s="16">
        <v>-1795397.01</v>
      </c>
      <c r="F42" s="16">
        <v>-3116825.38</v>
      </c>
      <c r="G42" s="16">
        <v>-4706577.74</v>
      </c>
      <c r="H42" s="16">
        <f>-4646825.18-73218.29</f>
        <v>-4720043.47</v>
      </c>
      <c r="I42" s="16">
        <v>0</v>
      </c>
      <c r="J42" s="91">
        <f>H42+I42</f>
        <v>-4720043.47</v>
      </c>
    </row>
    <row r="43" spans="1:12" s="36" customFormat="1" ht="10" customHeight="1">
      <c r="A43" s="36" t="s">
        <v>195</v>
      </c>
      <c r="B43" s="37">
        <v>0</v>
      </c>
      <c r="C43" s="37" t="e">
        <f>C42/B42-1</f>
        <v>#DIV/0!</v>
      </c>
      <c r="D43" s="37">
        <f>D42/C42-1</f>
        <v>4.9521466299097048</v>
      </c>
      <c r="E43" s="37">
        <f>E42/D42-1</f>
        <v>2.2807891076596922</v>
      </c>
      <c r="F43" s="37">
        <f>F42/E42-1</f>
        <v>0.73600900672102587</v>
      </c>
      <c r="G43" s="37">
        <v>0</v>
      </c>
      <c r="H43" s="37">
        <f>H42/G42-1</f>
        <v>2.8610448491177554E-3</v>
      </c>
      <c r="I43" s="37"/>
      <c r="J43" s="37">
        <f>J42/G42-1</f>
        <v>2.8610448491177554E-3</v>
      </c>
    </row>
    <row r="44" spans="1:12" s="146" customFormat="1" ht="10" customHeight="1">
      <c r="A44" s="144" t="s">
        <v>194</v>
      </c>
      <c r="B44" s="145">
        <f>B42/B$33</f>
        <v>0</v>
      </c>
      <c r="C44" s="145">
        <f>C42/C$3</f>
        <v>-2.2186079809853225E-3</v>
      </c>
      <c r="D44" s="145">
        <f>D42/D$3</f>
        <v>-8.7857915230063702E-3</v>
      </c>
      <c r="E44" s="145">
        <f>E42/E$3</f>
        <v>-2.2046845321294927E-2</v>
      </c>
      <c r="F44" s="145">
        <f>F42/F$3</f>
        <v>-3.6201765351773024E-2</v>
      </c>
      <c r="G44" s="145">
        <v>-5.9882557832186462E-2</v>
      </c>
      <c r="H44" s="145">
        <f>H42/H$3</f>
        <v>-6.0518746616977925E-2</v>
      </c>
      <c r="I44" s="145"/>
      <c r="J44" s="145">
        <f>J42/J$3</f>
        <v>-6.0518746616977925E-2</v>
      </c>
    </row>
    <row r="45" spans="1:12" s="2" customFormat="1" ht="15" customHeight="1">
      <c r="A45" s="2" t="s">
        <v>12</v>
      </c>
      <c r="B45" s="16">
        <v>43570.06</v>
      </c>
      <c r="C45" s="16">
        <v>13747.64</v>
      </c>
      <c r="D45" s="16">
        <v>275654.90000000002</v>
      </c>
      <c r="E45" s="16">
        <v>856270.43</v>
      </c>
      <c r="F45" s="16">
        <v>1416432.17</v>
      </c>
      <c r="G45" s="16">
        <v>1460912.31</v>
      </c>
      <c r="H45" s="16">
        <v>1460912.31</v>
      </c>
      <c r="I45" s="16">
        <v>0</v>
      </c>
      <c r="J45" s="91">
        <f>H45+I45</f>
        <v>1460912.31</v>
      </c>
      <c r="K45" s="16"/>
    </row>
    <row r="46" spans="1:12" s="36" customFormat="1" ht="10" customHeight="1">
      <c r="A46" s="36" t="s">
        <v>195</v>
      </c>
      <c r="B46" s="37">
        <v>0</v>
      </c>
      <c r="C46" s="37">
        <f>C45/B45-1</f>
        <v>-0.68447048271221111</v>
      </c>
      <c r="D46" s="37">
        <f>D45/C45-1</f>
        <v>19.051070583751105</v>
      </c>
      <c r="E46" s="37">
        <f>E45/D45-1</f>
        <v>2.1063131110674975</v>
      </c>
      <c r="F46" s="37">
        <f>F45/E45-1</f>
        <v>0.65418788314341292</v>
      </c>
      <c r="G46" s="37">
        <v>0</v>
      </c>
      <c r="H46" s="37">
        <f>H45/G45-1</f>
        <v>0</v>
      </c>
      <c r="I46" s="37"/>
      <c r="J46" s="37">
        <f>J45/G45-1</f>
        <v>0</v>
      </c>
      <c r="K46" s="227"/>
    </row>
    <row r="47" spans="1:12" s="146" customFormat="1" ht="10" customHeight="1">
      <c r="A47" s="144" t="s">
        <v>194</v>
      </c>
      <c r="B47" s="145">
        <f>B45/B$33</f>
        <v>3.5506986505424144E-2</v>
      </c>
      <c r="C47" s="145">
        <f>C45/C$3</f>
        <v>3.3174177208819951E-4</v>
      </c>
      <c r="D47" s="145">
        <f>D45/D$3</f>
        <v>4.4255212189147162E-3</v>
      </c>
      <c r="E47" s="145">
        <f>E45/E$3</f>
        <v>1.0514700435759718E-2</v>
      </c>
      <c r="F47" s="145">
        <f>F45/F$3</f>
        <v>1.6451786290011112E-2</v>
      </c>
      <c r="G47" s="145">
        <v>1.8587426092600379E-2</v>
      </c>
      <c r="H47" s="145">
        <f>H45/H$3</f>
        <v>1.8731306709451535E-2</v>
      </c>
      <c r="I47" s="145"/>
      <c r="J47" s="145">
        <f>J45/J$3</f>
        <v>1.8731306709451535E-2</v>
      </c>
      <c r="K47" s="227"/>
    </row>
    <row r="48" spans="1:12" s="2" customFormat="1" ht="15" customHeight="1">
      <c r="A48" s="2" t="s">
        <v>13</v>
      </c>
      <c r="B48" s="16">
        <v>0</v>
      </c>
      <c r="C48" s="16">
        <v>6435</v>
      </c>
      <c r="D48" s="16">
        <v>399572.16</v>
      </c>
      <c r="E48" s="16">
        <v>848958.32</v>
      </c>
      <c r="F48" s="16">
        <v>577741.22</v>
      </c>
      <c r="G48" s="16">
        <v>436589.28</v>
      </c>
      <c r="H48" s="16">
        <v>438094.63</v>
      </c>
      <c r="I48" s="16">
        <v>0</v>
      </c>
      <c r="J48" s="91">
        <f>H48+I48</f>
        <v>438094.63</v>
      </c>
      <c r="K48" s="16"/>
    </row>
    <row r="49" spans="1:12" s="36" customFormat="1" ht="10" customHeight="1">
      <c r="A49" s="36" t="s">
        <v>195</v>
      </c>
      <c r="B49" s="37">
        <v>0</v>
      </c>
      <c r="C49" s="37" t="e">
        <f>C48/B48-1</f>
        <v>#DIV/0!</v>
      </c>
      <c r="D49" s="37">
        <f>D48/C48-1</f>
        <v>61.093575757575756</v>
      </c>
      <c r="E49" s="37">
        <f>E48/D48-1</f>
        <v>1.1246683452620925</v>
      </c>
      <c r="F49" s="37">
        <f>F48/E48-1</f>
        <v>-0.31947045409720465</v>
      </c>
      <c r="G49" s="37">
        <v>0</v>
      </c>
      <c r="H49" s="37">
        <f>H48/G48-1</f>
        <v>3.4479774675182373E-3</v>
      </c>
      <c r="I49" s="37"/>
      <c r="J49" s="37">
        <f>J48/G48-1</f>
        <v>3.4479774675182373E-3</v>
      </c>
    </row>
    <row r="50" spans="1:12" s="146" customFormat="1" ht="10" customHeight="1">
      <c r="A50" s="144" t="s">
        <v>194</v>
      </c>
      <c r="B50" s="145">
        <f>B48/B$33</f>
        <v>0</v>
      </c>
      <c r="C50" s="145">
        <f>C48/C$3</f>
        <v>1.5528180134099845E-4</v>
      </c>
      <c r="D50" s="145">
        <f>D48/D$3</f>
        <v>6.4149596925996448E-3</v>
      </c>
      <c r="E50" s="145">
        <f>E48/E$3</f>
        <v>1.0424910290602746E-2</v>
      </c>
      <c r="F50" s="145">
        <f>F48/F$3</f>
        <v>6.7104343460162256E-3</v>
      </c>
      <c r="G50" s="145">
        <v>5.5547967658795428E-3</v>
      </c>
      <c r="H50" s="145">
        <f>H48/H$3</f>
        <v>5.6170961296737165E-3</v>
      </c>
      <c r="I50" s="145"/>
      <c r="J50" s="145">
        <f>J48/J$3</f>
        <v>5.6170961296737165E-3</v>
      </c>
    </row>
    <row r="51" spans="1:12" s="2" customFormat="1" ht="15" customHeight="1">
      <c r="A51" s="96" t="s">
        <v>218</v>
      </c>
      <c r="B51" s="97">
        <v>20382890.219999999</v>
      </c>
      <c r="C51" s="97">
        <f>SUM(C3+C33)</f>
        <v>42973081.479999997</v>
      </c>
      <c r="D51" s="97">
        <f>SUM(D3+D33)</f>
        <v>75511690.120000005</v>
      </c>
      <c r="E51" s="97">
        <f>SUM(E3+E33)</f>
        <v>99661712.939999998</v>
      </c>
      <c r="F51" s="97">
        <f>SUM(F3+F33)</f>
        <v>107148773.79999998</v>
      </c>
      <c r="G51" s="97">
        <v>100238961.78999999</v>
      </c>
      <c r="H51" s="97">
        <f>SUM(H3+H33)</f>
        <v>99631499.049999997</v>
      </c>
      <c r="I51" s="97">
        <f>SUM(I3+I33)</f>
        <v>0</v>
      </c>
      <c r="J51" s="97">
        <f>SUM(J3+J33)</f>
        <v>99631499.049999997</v>
      </c>
      <c r="L51" s="2">
        <f>J51/J102</f>
        <v>70.284509820572794</v>
      </c>
    </row>
    <row r="52" spans="1:12" s="36" customFormat="1" ht="10" customHeight="1">
      <c r="A52" s="39" t="s">
        <v>195</v>
      </c>
      <c r="B52" s="143">
        <v>0</v>
      </c>
      <c r="C52" s="143">
        <f t="shared" ref="C52:H52" si="32">C51/B51-1</f>
        <v>1.1082918573458325</v>
      </c>
      <c r="D52" s="143">
        <f t="shared" si="32"/>
        <v>0.75718583632741643</v>
      </c>
      <c r="E52" s="143">
        <f t="shared" si="32"/>
        <v>0.31981833252072356</v>
      </c>
      <c r="F52" s="143">
        <f t="shared" si="32"/>
        <v>7.5124745894217915E-2</v>
      </c>
      <c r="G52" s="143">
        <f t="shared" si="32"/>
        <v>-6.4488017594093949E-2</v>
      </c>
      <c r="H52" s="143">
        <f t="shared" si="32"/>
        <v>-6.0601459667212199E-3</v>
      </c>
      <c r="I52" s="143"/>
      <c r="J52" s="143">
        <f>J51/G51-1</f>
        <v>-6.0601459667212199E-3</v>
      </c>
    </row>
    <row r="53" spans="1:12" s="2" customFormat="1" ht="15" customHeight="1">
      <c r="A53" s="15"/>
      <c r="B53" s="148"/>
      <c r="C53" s="148"/>
      <c r="D53" s="148"/>
      <c r="E53" s="148"/>
      <c r="F53" s="148"/>
      <c r="G53" s="148"/>
      <c r="H53" s="148"/>
      <c r="I53" s="148"/>
      <c r="J53" s="148"/>
    </row>
    <row r="54" spans="1:12" s="2" customFormat="1" ht="15" customHeight="1">
      <c r="A54" s="96" t="s">
        <v>220</v>
      </c>
      <c r="B54" s="97">
        <f t="shared" ref="B54:J54" si="33">SUM(B57,B66,B72,B84,B81,B60,B69,B63,B87,B75,B78)</f>
        <v>11801449.310000001</v>
      </c>
      <c r="C54" s="97">
        <f t="shared" si="33"/>
        <v>26240597.540000003</v>
      </c>
      <c r="D54" s="97">
        <f t="shared" si="33"/>
        <v>54531544.839999989</v>
      </c>
      <c r="E54" s="97">
        <f t="shared" si="33"/>
        <v>75965712.030000001</v>
      </c>
      <c r="F54" s="97">
        <f t="shared" si="33"/>
        <v>82855477.640000001</v>
      </c>
      <c r="G54" s="97">
        <f t="shared" si="33"/>
        <v>83590554.879999995</v>
      </c>
      <c r="H54" s="97">
        <f t="shared" si="33"/>
        <v>84531688.419999987</v>
      </c>
      <c r="I54" s="97">
        <f t="shared" si="33"/>
        <v>0</v>
      </c>
      <c r="J54" s="97">
        <f t="shared" si="33"/>
        <v>84531688.419999987</v>
      </c>
      <c r="L54" s="16">
        <f>(J54+J90)/J51</f>
        <v>0.9857721139045732</v>
      </c>
    </row>
    <row r="55" spans="1:12" s="36" customFormat="1" ht="10" customHeight="1">
      <c r="A55" s="36" t="s">
        <v>195</v>
      </c>
      <c r="B55" s="37">
        <v>0</v>
      </c>
      <c r="C55" s="37">
        <f t="shared" ref="C55:H55" si="34">C54/B54-1</f>
        <v>1.2235063550851284</v>
      </c>
      <c r="D55" s="37">
        <f t="shared" si="34"/>
        <v>1.0781365499346776</v>
      </c>
      <c r="E55" s="37">
        <f t="shared" si="34"/>
        <v>0.39305996653660946</v>
      </c>
      <c r="F55" s="37">
        <f t="shared" si="34"/>
        <v>9.069572871612297E-2</v>
      </c>
      <c r="G55" s="37">
        <f t="shared" si="34"/>
        <v>8.8718001626137966E-3</v>
      </c>
      <c r="H55" s="37">
        <f t="shared" si="34"/>
        <v>1.1258850253489161E-2</v>
      </c>
      <c r="I55" s="37"/>
      <c r="J55" s="37">
        <f>J54/F54-1</f>
        <v>2.023053668561281E-2</v>
      </c>
    </row>
    <row r="56" spans="1:12" s="146" customFormat="1" ht="10" customHeight="1">
      <c r="A56" s="144" t="s">
        <v>196</v>
      </c>
      <c r="B56" s="145">
        <f t="shared" ref="B56:H56" si="35">B54/B$123</f>
        <v>0.57898802292622076</v>
      </c>
      <c r="C56" s="145">
        <f t="shared" si="35"/>
        <v>0.61062871537877905</v>
      </c>
      <c r="D56" s="145">
        <f t="shared" si="35"/>
        <v>0.72216030065465042</v>
      </c>
      <c r="E56" s="145">
        <f t="shared" si="35"/>
        <v>0.76223566492113315</v>
      </c>
      <c r="F56" s="145">
        <f t="shared" si="35"/>
        <v>0.77327508940657608</v>
      </c>
      <c r="G56" s="145">
        <f t="shared" si="35"/>
        <v>0.83391281580830512</v>
      </c>
      <c r="H56" s="145">
        <f t="shared" si="35"/>
        <v>0.84844340621210401</v>
      </c>
      <c r="I56" s="145"/>
      <c r="J56" s="145">
        <f>J54/J$123</f>
        <v>0.84844340621210401</v>
      </c>
    </row>
    <row r="57" spans="1:12" s="2" customFormat="1" ht="15" customHeight="1">
      <c r="A57" s="2" t="s">
        <v>6</v>
      </c>
      <c r="B57" s="16">
        <f>6356596.88+27774.88</f>
        <v>6384371.7599999998</v>
      </c>
      <c r="C57" s="16">
        <f>6678238.87-28207.84+7345062.63+19418.27</f>
        <v>14014511.93</v>
      </c>
      <c r="D57" s="16">
        <f>15041629.5+8365984.41+44343.06</f>
        <v>23451956.969999999</v>
      </c>
      <c r="E57" s="16">
        <f>18785615.37+2542162.99+124158.09</f>
        <v>21451936.449999999</v>
      </c>
      <c r="F57" s="16">
        <f>24289949.39+3017883.46+140669.38</f>
        <v>27448502.23</v>
      </c>
      <c r="G57" s="16">
        <f>23343052.04+1748204.65+147536.09</f>
        <v>25238792.779999997</v>
      </c>
      <c r="H57" s="16">
        <f>27946892.73+149364.99</f>
        <v>28096257.719999999</v>
      </c>
      <c r="I57" s="16">
        <v>0</v>
      </c>
      <c r="J57" s="91">
        <f>H57+I57</f>
        <v>28096257.719999999</v>
      </c>
      <c r="K57" s="16"/>
    </row>
    <row r="58" spans="1:12" s="36" customFormat="1" ht="10" customHeight="1">
      <c r="A58" s="36" t="s">
        <v>195</v>
      </c>
      <c r="B58" s="37">
        <v>0</v>
      </c>
      <c r="C58" s="37">
        <f t="shared" ref="C58:H58" si="36">C57/B57-1</f>
        <v>1.1951277990741569</v>
      </c>
      <c r="D58" s="37">
        <f t="shared" si="36"/>
        <v>0.67340518793222071</v>
      </c>
      <c r="E58" s="37">
        <f t="shared" si="36"/>
        <v>-8.5281604539802269E-2</v>
      </c>
      <c r="F58" s="37">
        <f t="shared" si="36"/>
        <v>0.27953494053913253</v>
      </c>
      <c r="G58" s="37">
        <f t="shared" si="36"/>
        <v>-8.0503826091643305E-2</v>
      </c>
      <c r="H58" s="37">
        <f t="shared" si="36"/>
        <v>0.11321717979571289</v>
      </c>
      <c r="I58" s="37"/>
      <c r="J58" s="37">
        <f>J57/F57-1</f>
        <v>2.3598937551209342E-2</v>
      </c>
      <c r="K58" s="245"/>
    </row>
    <row r="59" spans="1:12" s="146" customFormat="1" ht="10" customHeight="1">
      <c r="A59" s="144" t="s">
        <v>196</v>
      </c>
      <c r="B59" s="145">
        <f t="shared" ref="B59:F59" si="37">B57/B$54</f>
        <v>0.5409820092681481</v>
      </c>
      <c r="C59" s="145">
        <f t="shared" si="37"/>
        <v>0.5340774694111633</v>
      </c>
      <c r="D59" s="145">
        <f t="shared" si="37"/>
        <v>0.43006221516023357</v>
      </c>
      <c r="E59" s="145">
        <f t="shared" si="37"/>
        <v>0.28238972395241035</v>
      </c>
      <c r="F59" s="145">
        <f t="shared" si="37"/>
        <v>0.33128168483031872</v>
      </c>
      <c r="G59" s="145">
        <f>G57/G$54</f>
        <v>0.30193354759077773</v>
      </c>
      <c r="H59" s="145">
        <f>H57/H$54</f>
        <v>0.33237544694957843</v>
      </c>
      <c r="I59" s="145"/>
      <c r="J59" s="145">
        <f>J57/J$54</f>
        <v>0.33237544694957843</v>
      </c>
      <c r="K59" s="224"/>
    </row>
    <row r="60" spans="1:12" s="2" customFormat="1" ht="15" customHeight="1">
      <c r="A60" s="2" t="s">
        <v>14</v>
      </c>
      <c r="B60" s="92">
        <v>0</v>
      </c>
      <c r="C60" s="16">
        <v>4280838.45</v>
      </c>
      <c r="D60" s="16">
        <v>7896806.1900000004</v>
      </c>
      <c r="E60" s="16">
        <v>11819934.029999999</v>
      </c>
      <c r="F60" s="16">
        <v>8636508.1300000008</v>
      </c>
      <c r="G60" s="16">
        <v>7448961.6900000004</v>
      </c>
      <c r="H60" s="16">
        <v>5310000.9800000004</v>
      </c>
      <c r="I60" s="16">
        <v>0</v>
      </c>
      <c r="J60" s="91">
        <f>H60+I60</f>
        <v>5310000.9800000004</v>
      </c>
    </row>
    <row r="61" spans="1:12" s="36" customFormat="1" ht="10" customHeight="1">
      <c r="A61" s="36" t="s">
        <v>195</v>
      </c>
      <c r="B61" s="37">
        <v>0</v>
      </c>
      <c r="C61" s="37" t="e">
        <f t="shared" ref="C61:H61" si="38">C60/B60-1</f>
        <v>#DIV/0!</v>
      </c>
      <c r="D61" s="37">
        <f t="shared" si="38"/>
        <v>0.84468680195114576</v>
      </c>
      <c r="E61" s="37">
        <f t="shared" si="38"/>
        <v>0.49679930665741701</v>
      </c>
      <c r="F61" s="37">
        <f t="shared" si="38"/>
        <v>-0.26932687542250167</v>
      </c>
      <c r="G61" s="37">
        <f t="shared" si="38"/>
        <v>-0.13750307672089235</v>
      </c>
      <c r="H61" s="37">
        <f t="shared" si="38"/>
        <v>-0.28714884020298936</v>
      </c>
      <c r="I61" s="37"/>
      <c r="J61" s="37">
        <f>J60/F60-1</f>
        <v>-0.38516806791913483</v>
      </c>
    </row>
    <row r="62" spans="1:12" s="146" customFormat="1" ht="10" customHeight="1">
      <c r="A62" s="144" t="s">
        <v>196</v>
      </c>
      <c r="B62" s="145">
        <f t="shared" ref="B62:H62" si="39">B60/B$54</f>
        <v>0</v>
      </c>
      <c r="C62" s="145">
        <f t="shared" si="39"/>
        <v>0.16313799422724579</v>
      </c>
      <c r="D62" s="145">
        <f t="shared" si="39"/>
        <v>0.14481170876728094</v>
      </c>
      <c r="E62" s="145">
        <f t="shared" si="39"/>
        <v>0.15559564590577563</v>
      </c>
      <c r="F62" s="145">
        <f t="shared" si="39"/>
        <v>0.10423581368421884</v>
      </c>
      <c r="G62" s="145">
        <f t="shared" si="39"/>
        <v>8.911248047932567E-2</v>
      </c>
      <c r="H62" s="145">
        <f t="shared" si="39"/>
        <v>6.2816691340849495E-2</v>
      </c>
      <c r="I62" s="145"/>
      <c r="J62" s="145">
        <f>J60/J$54</f>
        <v>6.2816691340849495E-2</v>
      </c>
    </row>
    <row r="63" spans="1:12" s="2" customFormat="1" ht="15" customHeight="1">
      <c r="A63" s="2" t="s">
        <v>247</v>
      </c>
      <c r="B63" s="92">
        <v>0</v>
      </c>
      <c r="C63" s="16">
        <v>0</v>
      </c>
      <c r="D63" s="16">
        <v>0</v>
      </c>
      <c r="E63" s="16">
        <v>0</v>
      </c>
      <c r="F63" s="16">
        <v>1222139.82</v>
      </c>
      <c r="G63" s="16">
        <v>1247863.18</v>
      </c>
      <c r="H63" s="16">
        <v>1248575.57</v>
      </c>
      <c r="I63" s="16">
        <v>0</v>
      </c>
      <c r="J63" s="91">
        <f>H63+I63</f>
        <v>1248575.57</v>
      </c>
      <c r="L63" s="227"/>
    </row>
    <row r="64" spans="1:12" s="36" customFormat="1" ht="10" customHeight="1">
      <c r="A64" s="36" t="s">
        <v>195</v>
      </c>
      <c r="B64" s="37">
        <v>0</v>
      </c>
      <c r="C64" s="37" t="e">
        <f t="shared" ref="C64:H64" si="40">C63/B63-1</f>
        <v>#DIV/0!</v>
      </c>
      <c r="D64" s="37" t="e">
        <f t="shared" si="40"/>
        <v>#DIV/0!</v>
      </c>
      <c r="E64" s="37" t="e">
        <f t="shared" si="40"/>
        <v>#DIV/0!</v>
      </c>
      <c r="F64" s="37" t="e">
        <f t="shared" si="40"/>
        <v>#DIV/0!</v>
      </c>
      <c r="G64" s="37">
        <f t="shared" si="40"/>
        <v>2.1047804497524636E-2</v>
      </c>
      <c r="H64" s="37">
        <f t="shared" si="40"/>
        <v>5.7088790775927656E-4</v>
      </c>
      <c r="I64" s="37"/>
      <c r="J64" s="37">
        <f>J63/F63-1</f>
        <v>2.1630708342356364E-2</v>
      </c>
      <c r="L64" s="245"/>
    </row>
    <row r="65" spans="1:12" s="146" customFormat="1" ht="10" customHeight="1">
      <c r="A65" s="144" t="s">
        <v>196</v>
      </c>
      <c r="B65" s="145">
        <f t="shared" ref="B65:H65" si="41">B63/B$54</f>
        <v>0</v>
      </c>
      <c r="C65" s="145">
        <f t="shared" si="41"/>
        <v>0</v>
      </c>
      <c r="D65" s="145">
        <f t="shared" si="41"/>
        <v>0</v>
      </c>
      <c r="E65" s="145">
        <f t="shared" si="41"/>
        <v>0</v>
      </c>
      <c r="F65" s="145">
        <f t="shared" si="41"/>
        <v>1.475025978741072E-2</v>
      </c>
      <c r="G65" s="145">
        <f t="shared" si="41"/>
        <v>1.4928279657808153E-2</v>
      </c>
      <c r="H65" s="145">
        <f t="shared" si="41"/>
        <v>1.4770503149024884E-2</v>
      </c>
      <c r="I65" s="145"/>
      <c r="J65" s="145">
        <f>J63/J$54</f>
        <v>1.4770503149024884E-2</v>
      </c>
    </row>
    <row r="66" spans="1:12" s="2" customFormat="1" ht="15" customHeight="1">
      <c r="A66" s="2" t="s">
        <v>4</v>
      </c>
      <c r="B66" s="16">
        <v>3593432.08</v>
      </c>
      <c r="C66" s="16">
        <f>4210577.96+157024.06</f>
        <v>4367602.0199999996</v>
      </c>
      <c r="D66" s="16">
        <f>8037796.51+776097</f>
        <v>8813893.5099999998</v>
      </c>
      <c r="E66" s="25">
        <f>1393991.15+5957802.96+5489783.41</f>
        <v>12841577.52</v>
      </c>
      <c r="F66" s="25">
        <f>888319.28+15218093.69+1570391.88-1222139.82</f>
        <v>16454665.029999997</v>
      </c>
      <c r="G66" s="16">
        <f>18924151.19+1570391.88</f>
        <v>20494543.07</v>
      </c>
      <c r="H66" s="16">
        <f>18403264.38+1570391.88</f>
        <v>19973656.259999998</v>
      </c>
      <c r="I66" s="25">
        <v>0</v>
      </c>
      <c r="J66" s="91">
        <f>H66+I66</f>
        <v>19973656.259999998</v>
      </c>
    </row>
    <row r="67" spans="1:12" s="36" customFormat="1" ht="10" customHeight="1">
      <c r="A67" s="36" t="s">
        <v>195</v>
      </c>
      <c r="B67" s="37">
        <v>0</v>
      </c>
      <c r="C67" s="37">
        <f t="shared" ref="C67:H67" si="42">C66/B66-1</f>
        <v>0.21544025955264456</v>
      </c>
      <c r="D67" s="37">
        <f t="shared" si="42"/>
        <v>1.018016630095798</v>
      </c>
      <c r="E67" s="37">
        <f t="shared" si="42"/>
        <v>0.45696989706425439</v>
      </c>
      <c r="F67" s="37">
        <f t="shared" si="42"/>
        <v>0.28135854059774412</v>
      </c>
      <c r="G67" s="37">
        <f t="shared" si="42"/>
        <v>0.24551566577833905</v>
      </c>
      <c r="H67" s="37">
        <f t="shared" si="42"/>
        <v>-2.5415878178932316E-2</v>
      </c>
      <c r="I67" s="37"/>
      <c r="J67" s="37">
        <f>J66/F66-1</f>
        <v>0.21385979134696487</v>
      </c>
    </row>
    <row r="68" spans="1:12" s="146" customFormat="1" ht="10" customHeight="1">
      <c r="A68" s="144" t="s">
        <v>196</v>
      </c>
      <c r="B68" s="145">
        <f t="shared" ref="B68:F68" si="43">B66/B$54</f>
        <v>0.30449074394236414</v>
      </c>
      <c r="C68" s="145">
        <f t="shared" si="43"/>
        <v>0.16644445742297678</v>
      </c>
      <c r="D68" s="145">
        <f t="shared" si="43"/>
        <v>0.16162926496692298</v>
      </c>
      <c r="E68" s="145">
        <f t="shared" si="43"/>
        <v>0.16904439090794893</v>
      </c>
      <c r="F68" s="145">
        <f t="shared" si="43"/>
        <v>0.19859477609306794</v>
      </c>
      <c r="G68" s="145">
        <f>G66/G$54</f>
        <v>0.24517773687973873</v>
      </c>
      <c r="H68" s="145">
        <f>H66/H$54</f>
        <v>0.23628602046560188</v>
      </c>
      <c r="I68" s="145"/>
      <c r="J68" s="145">
        <f>J66/J$54</f>
        <v>0.23628602046560188</v>
      </c>
    </row>
    <row r="69" spans="1:12" s="2" customFormat="1" ht="15" customHeight="1">
      <c r="A69" s="2" t="s">
        <v>252</v>
      </c>
      <c r="B69" s="92">
        <v>0</v>
      </c>
      <c r="C69" s="16">
        <v>0</v>
      </c>
      <c r="D69" s="16">
        <v>10126075.460000001</v>
      </c>
      <c r="E69" s="16">
        <v>24504531.690000001</v>
      </c>
      <c r="F69" s="16">
        <f>21833314.73-574606.31</f>
        <v>21258708.420000002</v>
      </c>
      <c r="G69" s="16">
        <f>19898534.16-2213544.51</f>
        <v>17684989.649999999</v>
      </c>
      <c r="H69" s="16">
        <f>21294456.97-2363087.61</f>
        <v>18931369.359999999</v>
      </c>
      <c r="I69" s="25">
        <v>0</v>
      </c>
      <c r="J69" s="91">
        <f>H69+I69</f>
        <v>18931369.359999999</v>
      </c>
      <c r="L69" s="206"/>
    </row>
    <row r="70" spans="1:12" s="36" customFormat="1" ht="10" customHeight="1">
      <c r="A70" s="36" t="s">
        <v>195</v>
      </c>
      <c r="B70" s="37">
        <v>0</v>
      </c>
      <c r="C70" s="37" t="e">
        <f t="shared" ref="C70:H70" si="44">C69/B69-1</f>
        <v>#DIV/0!</v>
      </c>
      <c r="D70" s="37" t="e">
        <f t="shared" si="44"/>
        <v>#DIV/0!</v>
      </c>
      <c r="E70" s="37">
        <f t="shared" si="44"/>
        <v>1.419943618512201</v>
      </c>
      <c r="F70" s="37">
        <f t="shared" si="44"/>
        <v>-0.13245808208302057</v>
      </c>
      <c r="G70" s="37">
        <f t="shared" si="44"/>
        <v>-0.16810610971256756</v>
      </c>
      <c r="H70" s="37">
        <f t="shared" si="44"/>
        <v>7.0476699996259384E-2</v>
      </c>
      <c r="I70" s="37"/>
      <c r="J70" s="37">
        <f>J69/F69-1</f>
        <v>-0.10947697357805908</v>
      </c>
    </row>
    <row r="71" spans="1:12" s="146" customFormat="1" ht="10" customHeight="1">
      <c r="A71" s="144" t="s">
        <v>196</v>
      </c>
      <c r="B71" s="145">
        <f t="shared" ref="B71:H71" si="45">B69/B$54</f>
        <v>0</v>
      </c>
      <c r="C71" s="145">
        <f t="shared" si="45"/>
        <v>0</v>
      </c>
      <c r="D71" s="145">
        <f t="shared" si="45"/>
        <v>0.18569207033673324</v>
      </c>
      <c r="E71" s="145">
        <f t="shared" si="45"/>
        <v>0.32257358004256964</v>
      </c>
      <c r="F71" s="145">
        <f t="shared" si="45"/>
        <v>0.25657577538044352</v>
      </c>
      <c r="G71" s="145">
        <f t="shared" si="45"/>
        <v>0.21156684119860217</v>
      </c>
      <c r="H71" s="145">
        <f t="shared" si="45"/>
        <v>0.22395588818643405</v>
      </c>
      <c r="I71" s="145"/>
      <c r="J71" s="145">
        <f>J69/J$54</f>
        <v>0.22395588818643405</v>
      </c>
    </row>
    <row r="72" spans="1:12" s="2" customFormat="1" ht="15" customHeight="1">
      <c r="A72" s="2" t="s">
        <v>5</v>
      </c>
      <c r="B72" s="16">
        <v>1711276.47</v>
      </c>
      <c r="C72" s="16">
        <v>2348908.21</v>
      </c>
      <c r="D72" s="16">
        <v>2403807.5699999998</v>
      </c>
      <c r="E72" s="16">
        <v>889047.19</v>
      </c>
      <c r="F72" s="16">
        <v>76701.070000000007</v>
      </c>
      <c r="G72" s="16">
        <v>783279.18</v>
      </c>
      <c r="H72" s="16">
        <v>338325.33</v>
      </c>
      <c r="I72" s="16">
        <v>0</v>
      </c>
      <c r="J72" s="91">
        <f>H72+I72</f>
        <v>338325.33</v>
      </c>
    </row>
    <row r="73" spans="1:12" s="36" customFormat="1" ht="10" customHeight="1">
      <c r="A73" s="36" t="s">
        <v>195</v>
      </c>
      <c r="B73" s="37">
        <v>0</v>
      </c>
      <c r="C73" s="37">
        <f t="shared" ref="C73:H73" si="46">C72/B72-1</f>
        <v>0.37260591796718856</v>
      </c>
      <c r="D73" s="37">
        <f t="shared" si="46"/>
        <v>2.3372288353489923E-2</v>
      </c>
      <c r="E73" s="37">
        <f t="shared" si="46"/>
        <v>-0.63015043254897485</v>
      </c>
      <c r="F73" s="37">
        <f t="shared" si="46"/>
        <v>-0.91372666056117902</v>
      </c>
      <c r="G73" s="37">
        <f t="shared" si="46"/>
        <v>9.2121023865768752</v>
      </c>
      <c r="H73" s="37">
        <f t="shared" si="46"/>
        <v>-0.56806546294259985</v>
      </c>
      <c r="I73" s="37"/>
      <c r="J73" s="37">
        <f>J72/F72-1</f>
        <v>3.4109597167288541</v>
      </c>
    </row>
    <row r="74" spans="1:12" s="146" customFormat="1" ht="10" customHeight="1">
      <c r="A74" s="144" t="s">
        <v>196</v>
      </c>
      <c r="B74" s="145">
        <f t="shared" ref="B74:F74" si="47">B72/B$54</f>
        <v>0.14500561965299835</v>
      </c>
      <c r="C74" s="145">
        <f t="shared" si="47"/>
        <v>8.9514280550182915E-2</v>
      </c>
      <c r="D74" s="145">
        <f t="shared" si="47"/>
        <v>4.4081046613532918E-2</v>
      </c>
      <c r="E74" s="145">
        <f t="shared" si="47"/>
        <v>1.1703269359851479E-2</v>
      </c>
      <c r="F74" s="145">
        <f t="shared" si="47"/>
        <v>9.257211735989216E-4</v>
      </c>
      <c r="G74" s="145">
        <f>G72/G$54</f>
        <v>9.3704268517472017E-3</v>
      </c>
      <c r="H74" s="145">
        <f>H72/H$54</f>
        <v>4.0023491346702252E-3</v>
      </c>
      <c r="I74" s="145"/>
      <c r="J74" s="145">
        <f>J72/J$54</f>
        <v>4.0023491346702252E-3</v>
      </c>
    </row>
    <row r="75" spans="1:12" s="2" customFormat="1" ht="15" customHeight="1">
      <c r="A75" s="2" t="s">
        <v>20</v>
      </c>
      <c r="B75" s="92">
        <v>0</v>
      </c>
      <c r="C75" s="16">
        <v>34613.14</v>
      </c>
      <c r="D75" s="16">
        <v>130024.47</v>
      </c>
      <c r="E75" s="16">
        <f>175168.62</f>
        <v>175168.62</v>
      </c>
      <c r="F75" s="16">
        <v>185024.89</v>
      </c>
      <c r="G75" s="16">
        <v>272321.84999999998</v>
      </c>
      <c r="H75" s="16">
        <v>292257.25</v>
      </c>
      <c r="I75" s="16">
        <v>0</v>
      </c>
      <c r="J75" s="91">
        <f>H75+I75</f>
        <v>292257.25</v>
      </c>
    </row>
    <row r="76" spans="1:12" s="36" customFormat="1" ht="10" customHeight="1">
      <c r="A76" s="36" t="s">
        <v>195</v>
      </c>
      <c r="B76" s="37">
        <v>0</v>
      </c>
      <c r="C76" s="37" t="e">
        <f t="shared" ref="C76:H76" si="48">C75/B75-1</f>
        <v>#DIV/0!</v>
      </c>
      <c r="D76" s="37">
        <f t="shared" si="48"/>
        <v>2.7565060552148695</v>
      </c>
      <c r="E76" s="37">
        <f t="shared" si="48"/>
        <v>0.34719733908548123</v>
      </c>
      <c r="F76" s="37">
        <f t="shared" si="48"/>
        <v>5.6267326876240809E-2</v>
      </c>
      <c r="G76" s="37">
        <f t="shared" si="48"/>
        <v>0.47181198162041849</v>
      </c>
      <c r="H76" s="37">
        <f t="shared" si="48"/>
        <v>7.3205289990502243E-2</v>
      </c>
      <c r="I76" s="37"/>
      <c r="J76" s="37">
        <f>J75/F75-1</f>
        <v>0.57955640454643675</v>
      </c>
    </row>
    <row r="77" spans="1:12" s="146" customFormat="1" ht="10" customHeight="1">
      <c r="A77" s="144" t="s">
        <v>196</v>
      </c>
      <c r="B77" s="145">
        <f t="shared" ref="B77:H77" si="49">B75/B$54</f>
        <v>0</v>
      </c>
      <c r="C77" s="145">
        <f t="shared" si="49"/>
        <v>1.3190682852110081E-3</v>
      </c>
      <c r="D77" s="145">
        <f t="shared" si="49"/>
        <v>2.3843899963131875E-3</v>
      </c>
      <c r="E77" s="145">
        <f t="shared" si="49"/>
        <v>2.3058905829885894E-3</v>
      </c>
      <c r="F77" s="145">
        <f t="shared" si="49"/>
        <v>2.2331038969314425E-3</v>
      </c>
      <c r="G77" s="145">
        <f t="shared" si="49"/>
        <v>3.257806463791714E-3</v>
      </c>
      <c r="H77" s="145">
        <f t="shared" si="49"/>
        <v>3.4573691294074835E-3</v>
      </c>
      <c r="I77" s="145"/>
      <c r="J77" s="145">
        <f>J75/J$54</f>
        <v>3.4573691294074835E-3</v>
      </c>
    </row>
    <row r="78" spans="1:12" s="2" customFormat="1" ht="15" customHeight="1">
      <c r="A78" s="2" t="s">
        <v>21</v>
      </c>
      <c r="B78" s="92">
        <v>0</v>
      </c>
      <c r="C78" s="92">
        <v>0</v>
      </c>
      <c r="D78" s="92">
        <v>0</v>
      </c>
      <c r="E78" s="16">
        <v>96244.11</v>
      </c>
      <c r="F78" s="16">
        <v>152899.84</v>
      </c>
      <c r="G78" s="16">
        <v>180037.84</v>
      </c>
      <c r="H78" s="16">
        <v>163299.42000000001</v>
      </c>
      <c r="I78" s="16">
        <v>0</v>
      </c>
      <c r="J78" s="91">
        <f>H78+I78</f>
        <v>163299.42000000001</v>
      </c>
    </row>
    <row r="79" spans="1:12" s="36" customFormat="1" ht="10" customHeight="1">
      <c r="A79" s="36" t="s">
        <v>195</v>
      </c>
      <c r="B79" s="37">
        <v>0</v>
      </c>
      <c r="C79" s="37" t="e">
        <f t="shared" ref="C79:H79" si="50">C78/B78-1</f>
        <v>#DIV/0!</v>
      </c>
      <c r="D79" s="37" t="e">
        <f t="shared" si="50"/>
        <v>#DIV/0!</v>
      </c>
      <c r="E79" s="37" t="e">
        <f t="shared" si="50"/>
        <v>#DIV/0!</v>
      </c>
      <c r="F79" s="37">
        <f t="shared" si="50"/>
        <v>0.588666984400396</v>
      </c>
      <c r="G79" s="37">
        <f t="shared" si="50"/>
        <v>0.17748874034138939</v>
      </c>
      <c r="H79" s="37">
        <f t="shared" si="50"/>
        <v>-9.2971677509572359E-2</v>
      </c>
      <c r="I79" s="37"/>
      <c r="J79" s="37">
        <f>J78/F78-1</f>
        <v>6.8015636903217214E-2</v>
      </c>
    </row>
    <row r="80" spans="1:12" s="146" customFormat="1" ht="10" customHeight="1">
      <c r="A80" s="144" t="s">
        <v>196</v>
      </c>
      <c r="B80" s="145">
        <f t="shared" ref="B80:H80" si="51">B78/B$54</f>
        <v>0</v>
      </c>
      <c r="C80" s="145">
        <f t="shared" si="51"/>
        <v>0</v>
      </c>
      <c r="D80" s="145">
        <f t="shared" si="51"/>
        <v>0</v>
      </c>
      <c r="E80" s="145">
        <f t="shared" si="51"/>
        <v>1.2669414585621439E-3</v>
      </c>
      <c r="F80" s="145">
        <f t="shared" si="51"/>
        <v>1.8453799839805015E-3</v>
      </c>
      <c r="G80" s="145">
        <f t="shared" si="51"/>
        <v>2.1538060162234443E-3</v>
      </c>
      <c r="H80" s="145">
        <f t="shared" si="51"/>
        <v>1.9318130638611942E-3</v>
      </c>
      <c r="I80" s="145"/>
      <c r="J80" s="145">
        <f>J78/J$54</f>
        <v>1.9318130638611942E-3</v>
      </c>
    </row>
    <row r="81" spans="1:11" s="2" customFormat="1" ht="15" customHeight="1">
      <c r="A81" s="2" t="s">
        <v>7</v>
      </c>
      <c r="B81" s="16">
        <v>11076.09</v>
      </c>
      <c r="C81" s="16">
        <v>23365.42</v>
      </c>
      <c r="D81" s="16">
        <v>169877.55</v>
      </c>
      <c r="E81" s="16">
        <v>321285.45</v>
      </c>
      <c r="F81" s="16">
        <v>553871.49</v>
      </c>
      <c r="G81" s="16">
        <v>700730.58</v>
      </c>
      <c r="H81" s="16">
        <v>698780.81</v>
      </c>
      <c r="I81" s="16">
        <v>0</v>
      </c>
      <c r="J81" s="91">
        <f>H81+I81</f>
        <v>698780.81</v>
      </c>
      <c r="K81" s="92"/>
    </row>
    <row r="82" spans="1:11" s="36" customFormat="1" ht="10" customHeight="1">
      <c r="A82" s="36" t="s">
        <v>195</v>
      </c>
      <c r="B82" s="37">
        <v>0</v>
      </c>
      <c r="C82" s="37">
        <f t="shared" ref="C82:H82" si="52">C81/B81-1</f>
        <v>1.1095368491949773</v>
      </c>
      <c r="D82" s="37">
        <f t="shared" si="52"/>
        <v>6.2704684957514143</v>
      </c>
      <c r="E82" s="37">
        <f t="shared" si="52"/>
        <v>0.89127668723736608</v>
      </c>
      <c r="F82" s="37">
        <f t="shared" si="52"/>
        <v>0.72392335227132132</v>
      </c>
      <c r="G82" s="37">
        <f t="shared" si="52"/>
        <v>0.26515011632030383</v>
      </c>
      <c r="H82" s="37">
        <f t="shared" si="52"/>
        <v>-2.7824816779080663E-3</v>
      </c>
      <c r="I82" s="37"/>
      <c r="J82" s="37">
        <f>J81/F81-1</f>
        <v>0.26162985930183935</v>
      </c>
    </row>
    <row r="83" spans="1:11" s="146" customFormat="1" ht="10" customHeight="1">
      <c r="A83" s="144" t="s">
        <v>196</v>
      </c>
      <c r="B83" s="145">
        <f t="shared" ref="B83:H83" si="53">B81/B$54</f>
        <v>9.3853642116774891E-4</v>
      </c>
      <c r="C83" s="145">
        <f t="shared" si="53"/>
        <v>8.9043018034870537E-4</v>
      </c>
      <c r="D83" s="145">
        <f t="shared" si="53"/>
        <v>3.1152161652202338E-3</v>
      </c>
      <c r="E83" s="145">
        <f t="shared" si="53"/>
        <v>4.2293482337547178E-3</v>
      </c>
      <c r="F83" s="145">
        <f t="shared" si="53"/>
        <v>6.6847902610196091E-3</v>
      </c>
      <c r="G83" s="145">
        <f t="shared" si="53"/>
        <v>8.3828918351594502E-3</v>
      </c>
      <c r="H83" s="145">
        <f t="shared" si="53"/>
        <v>8.2664953588537371E-3</v>
      </c>
      <c r="I83" s="145"/>
      <c r="J83" s="145">
        <f>J81/J$54</f>
        <v>8.2664953588537371E-3</v>
      </c>
    </row>
    <row r="84" spans="1:11" s="2" customFormat="1" ht="15" customHeight="1">
      <c r="A84" s="2" t="s">
        <v>32</v>
      </c>
      <c r="B84" s="16">
        <v>101292.91</v>
      </c>
      <c r="C84" s="16">
        <f>78260.48+289116.57</f>
        <v>367377.05</v>
      </c>
      <c r="D84" s="16">
        <f>8382.02+163089.23</f>
        <v>171471.25</v>
      </c>
      <c r="E84" s="16">
        <v>2556833.34</v>
      </c>
      <c r="F84" s="16">
        <v>5436878.1100000003</v>
      </c>
      <c r="G84" s="16">
        <v>8294500.6900000004</v>
      </c>
      <c r="H84" s="16">
        <v>8250366.5</v>
      </c>
      <c r="I84" s="16">
        <v>0</v>
      </c>
      <c r="J84" s="91">
        <f>H84+I84</f>
        <v>8250366.5</v>
      </c>
    </row>
    <row r="85" spans="1:11" s="36" customFormat="1" ht="10" customHeight="1">
      <c r="A85" s="36" t="s">
        <v>195</v>
      </c>
      <c r="B85" s="37">
        <v>0</v>
      </c>
      <c r="C85" s="37">
        <f t="shared" ref="C85:H85" si="54">C84/B84-1</f>
        <v>2.6268782286933998</v>
      </c>
      <c r="D85" s="37">
        <f t="shared" si="54"/>
        <v>-0.53325541157238865</v>
      </c>
      <c r="E85" s="37">
        <f t="shared" si="54"/>
        <v>13.91114889522296</v>
      </c>
      <c r="F85" s="37">
        <f t="shared" si="54"/>
        <v>1.1264108320802797</v>
      </c>
      <c r="G85" s="37">
        <f t="shared" si="54"/>
        <v>0.5255998979899883</v>
      </c>
      <c r="H85" s="37">
        <f t="shared" si="54"/>
        <v>-5.3208977429116677E-3</v>
      </c>
      <c r="I85" s="37"/>
      <c r="J85" s="37">
        <f>J84/F84-1</f>
        <v>0.51748233693618695</v>
      </c>
    </row>
    <row r="86" spans="1:11" s="146" customFormat="1" ht="10" customHeight="1">
      <c r="A86" s="144" t="s">
        <v>196</v>
      </c>
      <c r="B86" s="145">
        <f t="shared" ref="B86:F86" si="55">B84/B$54</f>
        <v>8.583090715321642E-3</v>
      </c>
      <c r="C86" s="145">
        <f t="shared" si="55"/>
        <v>1.4000330954353716E-2</v>
      </c>
      <c r="D86" s="145">
        <f t="shared" si="55"/>
        <v>3.1444414513307969E-3</v>
      </c>
      <c r="E86" s="145">
        <f t="shared" si="55"/>
        <v>3.3657728884187485E-2</v>
      </c>
      <c r="F86" s="145">
        <f t="shared" si="55"/>
        <v>6.5618813201738735E-2</v>
      </c>
      <c r="G86" s="145">
        <f>G84/G$54</f>
        <v>9.9227726169629188E-2</v>
      </c>
      <c r="H86" s="145">
        <f>H84/H$54</f>
        <v>9.7600871983150692E-2</v>
      </c>
      <c r="I86" s="145"/>
      <c r="J86" s="145">
        <f>J84/J$54</f>
        <v>9.7600871983150692E-2</v>
      </c>
    </row>
    <row r="87" spans="1:11" s="2" customFormat="1" ht="15" customHeight="1">
      <c r="A87" s="2" t="s">
        <v>15</v>
      </c>
      <c r="B87" s="92">
        <v>0</v>
      </c>
      <c r="C87" s="16">
        <v>803381.32</v>
      </c>
      <c r="D87" s="16">
        <v>1367631.87</v>
      </c>
      <c r="E87" s="16">
        <v>1309153.6299999999</v>
      </c>
      <c r="F87" s="16">
        <v>1429578.61</v>
      </c>
      <c r="G87" s="16">
        <v>1244534.3700000001</v>
      </c>
      <c r="H87" s="16">
        <v>1228799.22</v>
      </c>
      <c r="I87" s="16">
        <v>0</v>
      </c>
      <c r="J87" s="91">
        <f>H87+I87</f>
        <v>1228799.22</v>
      </c>
    </row>
    <row r="88" spans="1:11" s="36" customFormat="1" ht="10" customHeight="1">
      <c r="A88" s="36" t="s">
        <v>195</v>
      </c>
      <c r="B88" s="37">
        <v>0</v>
      </c>
      <c r="C88" s="37" t="e">
        <f t="shared" ref="C88:H88" si="56">C87/B87-1</f>
        <v>#DIV/0!</v>
      </c>
      <c r="D88" s="37">
        <f t="shared" si="56"/>
        <v>0.70234462260088426</v>
      </c>
      <c r="E88" s="37">
        <f t="shared" si="56"/>
        <v>-4.2758757881241949E-2</v>
      </c>
      <c r="F88" s="37">
        <f t="shared" si="56"/>
        <v>9.1986896908348603E-2</v>
      </c>
      <c r="G88" s="37">
        <f t="shared" si="56"/>
        <v>-0.12943970950992334</v>
      </c>
      <c r="H88" s="37">
        <f t="shared" si="56"/>
        <v>-1.2643403331641379E-2</v>
      </c>
      <c r="I88" s="37"/>
      <c r="J88" s="37">
        <f>J87/F87-1</f>
        <v>-0.14044655438710019</v>
      </c>
    </row>
    <row r="89" spans="1:11" s="146" customFormat="1" ht="10" customHeight="1">
      <c r="A89" s="144" t="s">
        <v>196</v>
      </c>
      <c r="B89" s="145">
        <f t="shared" ref="B89:F89" si="57">B87/B$54</f>
        <v>0</v>
      </c>
      <c r="C89" s="145">
        <f t="shared" si="57"/>
        <v>3.0615968968517624E-2</v>
      </c>
      <c r="D89" s="145">
        <f t="shared" si="57"/>
        <v>2.5079646542432346E-2</v>
      </c>
      <c r="E89" s="145">
        <f t="shared" si="57"/>
        <v>1.723348067195099E-2</v>
      </c>
      <c r="F89" s="145">
        <f t="shared" si="57"/>
        <v>1.7253881707271032E-2</v>
      </c>
      <c r="G89" s="145">
        <f>G87/G$54</f>
        <v>1.4888456857196546E-2</v>
      </c>
      <c r="H89" s="145">
        <f>H87/H$54</f>
        <v>1.4536551238568058E-2</v>
      </c>
      <c r="I89" s="145"/>
      <c r="J89" s="145">
        <f>J87/J$54</f>
        <v>1.4536551238568058E-2</v>
      </c>
    </row>
    <row r="90" spans="1:11" s="2" customFormat="1" ht="15" customHeight="1">
      <c r="A90" s="96" t="s">
        <v>219</v>
      </c>
      <c r="B90" s="97">
        <f t="shared" ref="B90:J90" si="58">SUM(B96,B93,B99)</f>
        <v>5835931.0300000003</v>
      </c>
      <c r="C90" s="97">
        <f t="shared" si="58"/>
        <v>10107349.1</v>
      </c>
      <c r="D90" s="97">
        <f t="shared" si="58"/>
        <v>10739331.290000001</v>
      </c>
      <c r="E90" s="97">
        <f t="shared" si="58"/>
        <v>12461965.129999999</v>
      </c>
      <c r="F90" s="97">
        <f t="shared" si="58"/>
        <v>15071878.150000002</v>
      </c>
      <c r="G90" s="97">
        <f t="shared" si="58"/>
        <v>14027741.039999999</v>
      </c>
      <c r="H90" s="97">
        <f t="shared" si="58"/>
        <v>13682265.009999998</v>
      </c>
      <c r="I90" s="97">
        <f t="shared" si="58"/>
        <v>0</v>
      </c>
      <c r="J90" s="97">
        <f t="shared" si="58"/>
        <v>13682265.009999998</v>
      </c>
    </row>
    <row r="91" spans="1:11" s="36" customFormat="1" ht="10" customHeight="1">
      <c r="A91" s="36" t="s">
        <v>195</v>
      </c>
      <c r="B91" s="37">
        <v>0</v>
      </c>
      <c r="C91" s="37">
        <f t="shared" ref="C91:H91" si="59">C90/B90-1</f>
        <v>0.73191716078248437</v>
      </c>
      <c r="D91" s="37">
        <f t="shared" si="59"/>
        <v>6.2526997311293186E-2</v>
      </c>
      <c r="E91" s="37">
        <f t="shared" si="59"/>
        <v>0.16040419961753494</v>
      </c>
      <c r="F91" s="37">
        <f t="shared" si="59"/>
        <v>0.20943029392026591</v>
      </c>
      <c r="G91" s="37">
        <f t="shared" si="59"/>
        <v>-6.9277172997845859E-2</v>
      </c>
      <c r="H91" s="37">
        <f t="shared" si="59"/>
        <v>-2.46280587170008E-2</v>
      </c>
      <c r="I91" s="37"/>
      <c r="J91" s="37">
        <f>J90/F90-1</f>
        <v>-9.2199069430507818E-2</v>
      </c>
    </row>
    <row r="92" spans="1:11" s="146" customFormat="1" ht="10" customHeight="1">
      <c r="A92" s="144" t="s">
        <v>196</v>
      </c>
      <c r="B92" s="145">
        <f t="shared" ref="B92:H92" si="60">B90/B$123</f>
        <v>0.28631518724825866</v>
      </c>
      <c r="C92" s="145">
        <f t="shared" si="60"/>
        <v>0.2352018694471337</v>
      </c>
      <c r="D92" s="145">
        <f t="shared" si="60"/>
        <v>0.14222077764295182</v>
      </c>
      <c r="E92" s="145">
        <f t="shared" si="60"/>
        <v>0.12504265441938128</v>
      </c>
      <c r="F92" s="145">
        <f t="shared" si="60"/>
        <v>0.14066309501714522</v>
      </c>
      <c r="G92" s="145">
        <f t="shared" si="60"/>
        <v>0.13994300010197661</v>
      </c>
      <c r="H92" s="145">
        <f t="shared" si="60"/>
        <v>0.13732870769246946</v>
      </c>
      <c r="I92" s="145"/>
      <c r="J92" s="145">
        <f>J90/J$123</f>
        <v>0.13732870769246946</v>
      </c>
    </row>
    <row r="93" spans="1:11" s="2" customFormat="1" ht="15" customHeight="1">
      <c r="A93" s="2" t="s">
        <v>4</v>
      </c>
      <c r="B93" s="16">
        <v>4412958.04</v>
      </c>
      <c r="C93" s="16">
        <v>7598875.5199999996</v>
      </c>
      <c r="D93" s="16">
        <v>6755094.6900000004</v>
      </c>
      <c r="E93" s="16">
        <v>8863812.5899999999</v>
      </c>
      <c r="F93" s="16">
        <f>11503556.99</f>
        <v>11503556.99</v>
      </c>
      <c r="G93" s="16">
        <v>11291388.65</v>
      </c>
      <c r="H93" s="16">
        <v>10631194.949999999</v>
      </c>
      <c r="I93" s="25">
        <v>0</v>
      </c>
      <c r="J93" s="91">
        <f>H93+I93</f>
        <v>10631194.949999999</v>
      </c>
    </row>
    <row r="94" spans="1:11" s="36" customFormat="1" ht="10" customHeight="1">
      <c r="A94" s="36" t="s">
        <v>195</v>
      </c>
      <c r="B94" s="37">
        <v>0</v>
      </c>
      <c r="C94" s="37">
        <f t="shared" ref="C94:H94" si="61">C93/B93-1</f>
        <v>0.72194601696235461</v>
      </c>
      <c r="D94" s="37">
        <f t="shared" si="61"/>
        <v>-0.11104022269863412</v>
      </c>
      <c r="E94" s="37">
        <f t="shared" si="61"/>
        <v>0.31216703788352063</v>
      </c>
      <c r="F94" s="37">
        <f t="shared" si="61"/>
        <v>0.29781139585217709</v>
      </c>
      <c r="G94" s="37">
        <f t="shared" si="61"/>
        <v>-1.8443716164003643E-2</v>
      </c>
      <c r="H94" s="37">
        <f t="shared" si="61"/>
        <v>-5.8468778328695792E-2</v>
      </c>
      <c r="I94" s="37"/>
      <c r="J94" s="37">
        <f>J93/F93-1</f>
        <v>-7.5834112940748821E-2</v>
      </c>
    </row>
    <row r="95" spans="1:11" s="146" customFormat="1" ht="10" customHeight="1">
      <c r="A95" s="144" t="s">
        <v>196</v>
      </c>
      <c r="B95" s="145">
        <f t="shared" ref="B95:H95" si="62">B93/B$54</f>
        <v>0.37393356731708066</v>
      </c>
      <c r="C95" s="145">
        <f t="shared" si="62"/>
        <v>0.28958469823016075</v>
      </c>
      <c r="D95" s="145">
        <f t="shared" si="62"/>
        <v>0.12387499216866128</v>
      </c>
      <c r="E95" s="145">
        <f t="shared" si="62"/>
        <v>0.11668175487514086</v>
      </c>
      <c r="F95" s="145">
        <f t="shared" si="62"/>
        <v>0.13883882294399383</v>
      </c>
      <c r="G95" s="145">
        <f t="shared" si="62"/>
        <v>0.13507971882959227</v>
      </c>
      <c r="H95" s="145">
        <f t="shared" si="62"/>
        <v>0.12576579444596406</v>
      </c>
      <c r="I95" s="145"/>
      <c r="J95" s="145">
        <f>J93/J$54</f>
        <v>0.12576579444596406</v>
      </c>
    </row>
    <row r="96" spans="1:11" s="2" customFormat="1" ht="15" customHeight="1">
      <c r="A96" s="2" t="s">
        <v>8</v>
      </c>
      <c r="B96" s="16">
        <v>1422972.99</v>
      </c>
      <c r="C96" s="16">
        <v>2494725.94</v>
      </c>
      <c r="D96" s="16">
        <v>3708581.7</v>
      </c>
      <c r="E96" s="16">
        <v>2713675.77</v>
      </c>
      <c r="F96" s="16">
        <v>2107408.9500000002</v>
      </c>
      <c r="G96" s="16">
        <v>1275440.18</v>
      </c>
      <c r="H96" s="16">
        <v>1590157.85</v>
      </c>
      <c r="I96" s="16">
        <v>0</v>
      </c>
      <c r="J96" s="91">
        <f>H96+I96</f>
        <v>1590157.85</v>
      </c>
    </row>
    <row r="97" spans="1:13" s="36" customFormat="1" ht="10" customHeight="1">
      <c r="A97" s="36" t="s">
        <v>195</v>
      </c>
      <c r="B97" s="37">
        <v>0</v>
      </c>
      <c r="C97" s="37">
        <f t="shared" ref="C97:H97" si="63">C96/B96-1</f>
        <v>0.7531787022886498</v>
      </c>
      <c r="D97" s="37">
        <f t="shared" si="63"/>
        <v>0.48656878117842495</v>
      </c>
      <c r="E97" s="37">
        <f t="shared" si="63"/>
        <v>-0.26827127200676204</v>
      </c>
      <c r="F97" s="37">
        <f t="shared" si="63"/>
        <v>-0.22341166424609371</v>
      </c>
      <c r="G97" s="37">
        <f t="shared" si="63"/>
        <v>-0.39478278290504565</v>
      </c>
      <c r="H97" s="37">
        <f t="shared" si="63"/>
        <v>0.2467521996994011</v>
      </c>
      <c r="I97" s="37"/>
      <c r="J97" s="37">
        <f>J96/F96-1</f>
        <v>-0.24544410329091559</v>
      </c>
    </row>
    <row r="98" spans="1:13" s="146" customFormat="1" ht="10" customHeight="1">
      <c r="A98" s="144" t="s">
        <v>196</v>
      </c>
      <c r="B98" s="145">
        <f t="shared" ref="B98:F98" si="64">B96/B$54</f>
        <v>0.12057612184922395</v>
      </c>
      <c r="C98" s="145">
        <f t="shared" si="64"/>
        <v>9.5071232131705471E-2</v>
      </c>
      <c r="D98" s="145">
        <f t="shared" si="64"/>
        <v>6.8008007308087134E-2</v>
      </c>
      <c r="E98" s="145">
        <f t="shared" si="64"/>
        <v>3.5722376549677158E-2</v>
      </c>
      <c r="F98" s="145">
        <f t="shared" si="64"/>
        <v>2.5434757121991534E-2</v>
      </c>
      <c r="G98" s="145">
        <f>G96/G$54</f>
        <v>1.5258185351574496E-2</v>
      </c>
      <c r="H98" s="145">
        <f>H96/H$54</f>
        <v>1.8811381621756093E-2</v>
      </c>
      <c r="I98" s="145"/>
      <c r="J98" s="145">
        <f>J96/J$54</f>
        <v>1.8811381621756093E-2</v>
      </c>
    </row>
    <row r="99" spans="1:13" s="2" customFormat="1" ht="15" customHeight="1">
      <c r="A99" s="2" t="s">
        <v>16</v>
      </c>
      <c r="B99" s="2">
        <v>0</v>
      </c>
      <c r="C99" s="16">
        <v>13747.64</v>
      </c>
      <c r="D99" s="16">
        <v>275654.90000000002</v>
      </c>
      <c r="E99" s="16">
        <v>884476.77</v>
      </c>
      <c r="F99" s="16">
        <v>1460912.21</v>
      </c>
      <c r="G99" s="16">
        <v>1460912.21</v>
      </c>
      <c r="H99" s="16">
        <v>1460912.21</v>
      </c>
      <c r="I99" s="16">
        <v>0</v>
      </c>
      <c r="J99" s="91">
        <f>H99+I99</f>
        <v>1460912.21</v>
      </c>
    </row>
    <row r="100" spans="1:13" s="36" customFormat="1" ht="10" customHeight="1">
      <c r="A100" s="36" t="s">
        <v>195</v>
      </c>
      <c r="B100" s="37">
        <v>0</v>
      </c>
      <c r="C100" s="37" t="e">
        <f t="shared" ref="C100:H100" si="65">C99/B99-1</f>
        <v>#DIV/0!</v>
      </c>
      <c r="D100" s="37">
        <f t="shared" si="65"/>
        <v>19.051070583751105</v>
      </c>
      <c r="E100" s="37">
        <f t="shared" si="65"/>
        <v>2.2086379382336392</v>
      </c>
      <c r="F100" s="37">
        <f t="shared" si="65"/>
        <v>0.65172479317913568</v>
      </c>
      <c r="G100" s="37">
        <f t="shared" si="65"/>
        <v>0</v>
      </c>
      <c r="H100" s="37">
        <f t="shared" si="65"/>
        <v>0</v>
      </c>
      <c r="I100" s="37"/>
      <c r="J100" s="37">
        <f>J99/F99-1</f>
        <v>0</v>
      </c>
    </row>
    <row r="101" spans="1:13" s="146" customFormat="1" ht="10" customHeight="1">
      <c r="A101" s="144" t="s">
        <v>196</v>
      </c>
      <c r="B101" s="145">
        <f t="shared" ref="B101:F101" si="66">B99/B$54</f>
        <v>0</v>
      </c>
      <c r="C101" s="145">
        <f t="shared" si="66"/>
        <v>5.2390727684625729E-4</v>
      </c>
      <c r="D101" s="145">
        <f t="shared" si="66"/>
        <v>5.0549622389901849E-3</v>
      </c>
      <c r="E101" s="145">
        <f t="shared" si="66"/>
        <v>1.1643105111036238E-2</v>
      </c>
      <c r="F101" s="145">
        <f t="shared" si="66"/>
        <v>1.7632053445489015E-2</v>
      </c>
      <c r="G101" s="145">
        <f>G99/G$54</f>
        <v>1.747700098530558E-2</v>
      </c>
      <c r="H101" s="145">
        <f>H99/H$54</f>
        <v>1.7282420797528418E-2</v>
      </c>
      <c r="I101" s="145"/>
      <c r="J101" s="145">
        <f>J99/J$54</f>
        <v>1.7282420797528418E-2</v>
      </c>
    </row>
    <row r="102" spans="1:13" s="2" customFormat="1" ht="15" customHeight="1">
      <c r="A102" s="96" t="s">
        <v>221</v>
      </c>
      <c r="B102" s="97">
        <f t="shared" ref="B102:I102" si="67">SUM(B105,B108,B111,B114,B117,B120)</f>
        <v>2745509.88</v>
      </c>
      <c r="C102" s="97">
        <f t="shared" si="67"/>
        <v>6625134.8399999999</v>
      </c>
      <c r="D102" s="97">
        <f t="shared" si="67"/>
        <v>10240813.99</v>
      </c>
      <c r="E102" s="97">
        <f t="shared" si="67"/>
        <v>11234035.779999999</v>
      </c>
      <c r="F102" s="97">
        <f t="shared" si="67"/>
        <v>9221418.0100000016</v>
      </c>
      <c r="G102" s="97">
        <f>SUM(G105,G108,G111,G114,G117,G120)</f>
        <v>2620665.8699999992</v>
      </c>
      <c r="H102" s="97">
        <f>SUM(H105,H108,H111,H114,H117,H120)</f>
        <v>1417545.6200000006</v>
      </c>
      <c r="I102" s="97">
        <f t="shared" si="67"/>
        <v>0</v>
      </c>
      <c r="J102" s="97">
        <f>SUM(J105,J108,J111,J114,J117,J120)</f>
        <v>1417545.6200000006</v>
      </c>
      <c r="K102" s="16"/>
      <c r="M102" s="16"/>
    </row>
    <row r="103" spans="1:13" s="36" customFormat="1" ht="10" customHeight="1">
      <c r="A103" s="36" t="s">
        <v>195</v>
      </c>
      <c r="B103" s="37">
        <v>0</v>
      </c>
      <c r="C103" s="37">
        <f t="shared" ref="C103:H103" si="68">C102/B102-1</f>
        <v>1.4130799485595005</v>
      </c>
      <c r="D103" s="37">
        <f t="shared" si="68"/>
        <v>0.54575178276673397</v>
      </c>
      <c r="E103" s="37">
        <f t="shared" si="68"/>
        <v>9.6986605846943963E-2</v>
      </c>
      <c r="F103" s="37">
        <f t="shared" si="68"/>
        <v>-0.17915358375331769</v>
      </c>
      <c r="G103" s="37">
        <f t="shared" si="68"/>
        <v>-0.71580662896334757</v>
      </c>
      <c r="H103" s="37">
        <f t="shared" si="68"/>
        <v>-0.45908952521291813</v>
      </c>
      <c r="I103" s="37"/>
      <c r="J103" s="37">
        <f>J102/F102-1</f>
        <v>-0.84627682874122301</v>
      </c>
    </row>
    <row r="104" spans="1:13" s="146" customFormat="1" ht="10" customHeight="1">
      <c r="A104" s="144" t="s">
        <v>196</v>
      </c>
      <c r="B104" s="145">
        <f t="shared" ref="B104:F104" si="69">B102/B$123</f>
        <v>0.13469678982552064</v>
      </c>
      <c r="C104" s="145">
        <f t="shared" si="69"/>
        <v>0.15416941517408725</v>
      </c>
      <c r="D104" s="145">
        <f t="shared" si="69"/>
        <v>0.13561892170239775</v>
      </c>
      <c r="E104" s="145">
        <f t="shared" si="69"/>
        <v>0.11272168065948555</v>
      </c>
      <c r="F104" s="145">
        <f t="shared" si="69"/>
        <v>8.6061815576278677E-2</v>
      </c>
      <c r="G104" s="145">
        <f>G102/G$123</f>
        <v>2.6144184089718307E-2</v>
      </c>
      <c r="H104" s="145">
        <f>H102/H$123</f>
        <v>1.4227886095426573E-2</v>
      </c>
      <c r="I104" s="145"/>
      <c r="J104" s="145">
        <f>J102/J$123</f>
        <v>1.4227886095426573E-2</v>
      </c>
    </row>
    <row r="105" spans="1:13" s="2" customFormat="1" ht="15" customHeight="1">
      <c r="A105" s="2" t="s">
        <v>9</v>
      </c>
      <c r="B105" s="16">
        <v>2000000</v>
      </c>
      <c r="C105" s="16">
        <v>2000000</v>
      </c>
      <c r="D105" s="16">
        <v>2000000</v>
      </c>
      <c r="E105" s="16">
        <v>2000000</v>
      </c>
      <c r="F105" s="16">
        <v>2000000</v>
      </c>
      <c r="G105" s="16">
        <v>2000000</v>
      </c>
      <c r="H105" s="16">
        <v>2000000</v>
      </c>
      <c r="I105" s="16">
        <v>0</v>
      </c>
      <c r="J105" s="91">
        <f>H105+I105</f>
        <v>2000000</v>
      </c>
    </row>
    <row r="106" spans="1:13" s="36" customFormat="1" ht="10" customHeight="1">
      <c r="A106" s="36" t="s">
        <v>195</v>
      </c>
      <c r="B106" s="37">
        <v>0</v>
      </c>
      <c r="C106" s="37">
        <f t="shared" ref="C106:H106" si="70">C105/B105-1</f>
        <v>0</v>
      </c>
      <c r="D106" s="37">
        <f t="shared" si="70"/>
        <v>0</v>
      </c>
      <c r="E106" s="37">
        <f t="shared" si="70"/>
        <v>0</v>
      </c>
      <c r="F106" s="37">
        <f t="shared" si="70"/>
        <v>0</v>
      </c>
      <c r="G106" s="37">
        <f t="shared" si="70"/>
        <v>0</v>
      </c>
      <c r="H106" s="37">
        <f t="shared" si="70"/>
        <v>0</v>
      </c>
      <c r="I106" s="37"/>
      <c r="J106" s="37">
        <f>J105/F105-1</f>
        <v>0</v>
      </c>
    </row>
    <row r="107" spans="1:13" s="146" customFormat="1" ht="10" customHeight="1">
      <c r="A107" s="144" t="s">
        <v>196</v>
      </c>
      <c r="B107" s="145">
        <f>B105/B$54</f>
        <v>0.1694707105427545</v>
      </c>
      <c r="C107" s="145">
        <f>C105/C$102</f>
        <v>0.30188064821334265</v>
      </c>
      <c r="D107" s="145">
        <f>D105/D$54</f>
        <v>3.6676019464846693E-2</v>
      </c>
      <c r="E107" s="145">
        <f>E105/E$54</f>
        <v>2.6327667398288453E-2</v>
      </c>
      <c r="F107" s="145">
        <f>F105/F$54</f>
        <v>2.4138416155052897E-2</v>
      </c>
      <c r="G107" s="145">
        <f>G105/G$54</f>
        <v>2.3926148150004961E-2</v>
      </c>
      <c r="H107" s="145">
        <f>H105/H$54</f>
        <v>2.365976638326326E-2</v>
      </c>
      <c r="I107" s="145"/>
      <c r="J107" s="145">
        <f>J105/J$54</f>
        <v>2.365976638326326E-2</v>
      </c>
    </row>
    <row r="108" spans="1:13" s="2" customFormat="1" ht="15" customHeight="1">
      <c r="A108" s="2" t="s">
        <v>10</v>
      </c>
      <c r="B108" s="94">
        <v>0</v>
      </c>
      <c r="C108" s="16">
        <v>745509.88</v>
      </c>
      <c r="D108" s="16">
        <v>1648071.85</v>
      </c>
      <c r="E108" s="16">
        <f>8936423.02</f>
        <v>8936423.0199999996</v>
      </c>
      <c r="F108" s="25">
        <f>6834331.8</f>
        <v>6834331.7999999998</v>
      </c>
      <c r="G108" s="25">
        <f>5032539.92+927443.44+941</f>
        <v>5960924.3599999994</v>
      </c>
      <c r="H108" s="25">
        <f>743252.36</f>
        <v>743252.36</v>
      </c>
      <c r="I108" s="25">
        <v>0</v>
      </c>
      <c r="J108" s="91">
        <f>H108+I108</f>
        <v>743252.36</v>
      </c>
      <c r="K108" s="16"/>
      <c r="L108" s="16"/>
    </row>
    <row r="109" spans="1:13" s="36" customFormat="1" ht="10" customHeight="1">
      <c r="A109" s="36" t="s">
        <v>195</v>
      </c>
      <c r="B109" s="37">
        <v>0</v>
      </c>
      <c r="C109" s="37" t="e">
        <f t="shared" ref="C109:H109" si="71">C108/B108-1</f>
        <v>#DIV/0!</v>
      </c>
      <c r="D109" s="37">
        <f t="shared" si="71"/>
        <v>1.2106639954925882</v>
      </c>
      <c r="E109" s="37">
        <f t="shared" si="71"/>
        <v>4.4223503787168008</v>
      </c>
      <c r="F109" s="37">
        <f t="shared" si="71"/>
        <v>-0.23522736281568724</v>
      </c>
      <c r="G109" s="37">
        <f t="shared" si="71"/>
        <v>-0.12779704959598248</v>
      </c>
      <c r="H109" s="37">
        <f t="shared" si="71"/>
        <v>-0.87531256645571665</v>
      </c>
      <c r="I109" s="37"/>
      <c r="J109" s="37">
        <f>J108/F108-1</f>
        <v>-0.8912472525843711</v>
      </c>
    </row>
    <row r="110" spans="1:13" s="146" customFormat="1" ht="10" customHeight="1">
      <c r="A110" s="144" t="s">
        <v>196</v>
      </c>
      <c r="B110" s="145">
        <f>B108/B$54</f>
        <v>0</v>
      </c>
      <c r="C110" s="145">
        <f>C108/C$102</f>
        <v>0.11252750291192565</v>
      </c>
      <c r="D110" s="145">
        <f>D108/D$54</f>
        <v>3.0222357625032954E-2</v>
      </c>
      <c r="E110" s="145">
        <f>E108/E$54</f>
        <v>0.11763758650048421</v>
      </c>
      <c r="F110" s="145">
        <f>F108/F$54</f>
        <v>8.2484972565055867E-2</v>
      </c>
      <c r="G110" s="145">
        <f>G108/G$54</f>
        <v>7.1310979674166747E-2</v>
      </c>
      <c r="H110" s="145">
        <f>H108/H$54</f>
        <v>8.7925886007045422E-3</v>
      </c>
      <c r="I110" s="145"/>
      <c r="J110" s="145">
        <f>J108/J$54</f>
        <v>8.7925886007045422E-3</v>
      </c>
    </row>
    <row r="111" spans="1:13" s="2" customFormat="1" ht="15" customHeight="1">
      <c r="A111" s="2" t="s">
        <v>19</v>
      </c>
      <c r="B111" s="16">
        <v>-698277.34</v>
      </c>
      <c r="C111" s="16">
        <v>-1457047.79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91">
        <f>G111+I111</f>
        <v>0</v>
      </c>
    </row>
    <row r="112" spans="1:13" s="36" customFormat="1" ht="10" customHeight="1">
      <c r="A112" s="36" t="s">
        <v>195</v>
      </c>
      <c r="B112" s="37">
        <v>0</v>
      </c>
      <c r="C112" s="37">
        <f t="shared" ref="C112:H112" si="72">C111/B111-1</f>
        <v>1.0866319247879361</v>
      </c>
      <c r="D112" s="37">
        <f t="shared" si="72"/>
        <v>-1</v>
      </c>
      <c r="E112" s="37" t="e">
        <f t="shared" si="72"/>
        <v>#DIV/0!</v>
      </c>
      <c r="F112" s="37" t="e">
        <f t="shared" si="72"/>
        <v>#DIV/0!</v>
      </c>
      <c r="G112" s="37" t="e">
        <f t="shared" si="72"/>
        <v>#DIV/0!</v>
      </c>
      <c r="H112" s="37" t="e">
        <f t="shared" si="72"/>
        <v>#DIV/0!</v>
      </c>
      <c r="I112" s="37"/>
      <c r="J112" s="37" t="e">
        <f>J111/F111-1</f>
        <v>#DIV/0!</v>
      </c>
    </row>
    <row r="113" spans="1:12" s="146" customFormat="1" ht="10" customHeight="1">
      <c r="A113" s="144" t="s">
        <v>196</v>
      </c>
      <c r="B113" s="145">
        <f>B111/B$54</f>
        <v>-5.9168778482852284E-2</v>
      </c>
      <c r="C113" s="145">
        <f>C111/C$102</f>
        <v>-0.21992726566150916</v>
      </c>
      <c r="D113" s="145">
        <f>D111/D$54</f>
        <v>0</v>
      </c>
      <c r="E113" s="145">
        <f>E111/E$54</f>
        <v>0</v>
      </c>
      <c r="F113" s="145">
        <f>F111/F$54</f>
        <v>0</v>
      </c>
      <c r="G113" s="145">
        <f>G111/G$54</f>
        <v>0</v>
      </c>
      <c r="H113" s="145">
        <f>H111/H$54</f>
        <v>0</v>
      </c>
      <c r="I113" s="145"/>
      <c r="J113" s="145">
        <f>J111/J$54</f>
        <v>0</v>
      </c>
    </row>
    <row r="114" spans="1:12" s="2" customFormat="1" ht="15" customHeight="1">
      <c r="A114" s="2" t="s">
        <v>17</v>
      </c>
      <c r="B114" s="16">
        <v>-38618.25</v>
      </c>
      <c r="C114" s="16">
        <v>-21042.92</v>
      </c>
      <c r="D114" s="16">
        <v>-2138416.2999999998</v>
      </c>
      <c r="E114" s="88">
        <f>-M6</f>
        <v>0</v>
      </c>
      <c r="F114" s="88">
        <f>-N6</f>
        <v>0</v>
      </c>
      <c r="G114" s="88">
        <f>-O6</f>
        <v>0</v>
      </c>
      <c r="H114" s="88">
        <f>-Q6</f>
        <v>0</v>
      </c>
      <c r="I114" s="88">
        <v>0</v>
      </c>
      <c r="J114" s="88">
        <f>-Q6</f>
        <v>0</v>
      </c>
    </row>
    <row r="115" spans="1:12" s="36" customFormat="1" ht="10" customHeight="1">
      <c r="A115" s="36" t="s">
        <v>195</v>
      </c>
      <c r="B115" s="37">
        <v>0</v>
      </c>
      <c r="C115" s="37">
        <f t="shared" ref="C115:H115" si="73">C114/B114-1</f>
        <v>-0.45510425770199325</v>
      </c>
      <c r="D115" s="37">
        <f t="shared" si="73"/>
        <v>100.62165231821439</v>
      </c>
      <c r="E115" s="37">
        <f t="shared" si="73"/>
        <v>-1</v>
      </c>
      <c r="F115" s="37" t="e">
        <f t="shared" si="73"/>
        <v>#DIV/0!</v>
      </c>
      <c r="G115" s="37" t="e">
        <f t="shared" si="73"/>
        <v>#DIV/0!</v>
      </c>
      <c r="H115" s="37" t="e">
        <f t="shared" si="73"/>
        <v>#DIV/0!</v>
      </c>
      <c r="I115" s="37"/>
      <c r="J115" s="37" t="e">
        <f>J114/F114-1</f>
        <v>#DIV/0!</v>
      </c>
    </row>
    <row r="116" spans="1:12" s="146" customFormat="1" ht="10" customHeight="1">
      <c r="A116" s="144" t="s">
        <v>196</v>
      </c>
      <c r="B116" s="145">
        <f>B114/B$54</f>
        <v>-3.2723311337088646E-3</v>
      </c>
      <c r="C116" s="145">
        <f>C114/C$102</f>
        <v>-3.1762251649507557E-3</v>
      </c>
      <c r="D116" s="145">
        <f>D114/D$54</f>
        <v>-3.9214298921372723E-2</v>
      </c>
      <c r="E116" s="145">
        <f>E114/E$54</f>
        <v>0</v>
      </c>
      <c r="F116" s="145">
        <f>F114/F$54</f>
        <v>0</v>
      </c>
      <c r="G116" s="145">
        <f>G114/G$54</f>
        <v>0</v>
      </c>
      <c r="H116" s="145">
        <f>H114/H$54</f>
        <v>0</v>
      </c>
      <c r="I116" s="145"/>
      <c r="J116" s="145">
        <f>J114/J$54</f>
        <v>0</v>
      </c>
    </row>
    <row r="117" spans="1:12" s="2" customFormat="1" ht="15" customHeight="1">
      <c r="A117" s="2" t="s">
        <v>189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-1443894.3</v>
      </c>
      <c r="H117" s="16">
        <v>-79500</v>
      </c>
      <c r="I117" s="16">
        <v>0</v>
      </c>
      <c r="J117" s="91">
        <f>H117+I117</f>
        <v>-79500</v>
      </c>
    </row>
    <row r="118" spans="1:12" s="36" customFormat="1" ht="10" customHeight="1">
      <c r="A118" s="36" t="s">
        <v>195</v>
      </c>
      <c r="B118" s="37">
        <v>0</v>
      </c>
      <c r="C118" s="37" t="e">
        <f t="shared" ref="C118:H118" si="74">C117/B117-1</f>
        <v>#DIV/0!</v>
      </c>
      <c r="D118" s="37" t="e">
        <f t="shared" si="74"/>
        <v>#DIV/0!</v>
      </c>
      <c r="E118" s="37" t="e">
        <f t="shared" si="74"/>
        <v>#DIV/0!</v>
      </c>
      <c r="F118" s="37" t="e">
        <f t="shared" si="74"/>
        <v>#DIV/0!</v>
      </c>
      <c r="G118" s="37" t="e">
        <f t="shared" si="74"/>
        <v>#DIV/0!</v>
      </c>
      <c r="H118" s="37">
        <f t="shared" si="74"/>
        <v>-0.94494056801803294</v>
      </c>
      <c r="I118" s="37"/>
      <c r="J118" s="37" t="e">
        <f>J117/F117-1</f>
        <v>#DIV/0!</v>
      </c>
    </row>
    <row r="119" spans="1:12" s="146" customFormat="1" ht="10" customHeight="1">
      <c r="A119" s="144" t="s">
        <v>196</v>
      </c>
      <c r="B119" s="145">
        <f>B117/B$54</f>
        <v>0</v>
      </c>
      <c r="C119" s="145">
        <f>C117/C$102</f>
        <v>0</v>
      </c>
      <c r="D119" s="145">
        <f>D117/D$54</f>
        <v>0</v>
      </c>
      <c r="E119" s="145">
        <f>E117/E$54</f>
        <v>0</v>
      </c>
      <c r="F119" s="145">
        <f>F117/F$54</f>
        <v>0</v>
      </c>
      <c r="G119" s="145">
        <f>G117/G$54</f>
        <v>-1.7273414467373856E-2</v>
      </c>
      <c r="H119" s="145">
        <f>H117/H$54</f>
        <v>-9.4047571373471464E-4</v>
      </c>
      <c r="I119" s="145"/>
      <c r="J119" s="145">
        <f>J117/J$54</f>
        <v>-9.4047571373471464E-4</v>
      </c>
    </row>
    <row r="120" spans="1:12" s="2" customFormat="1" ht="15" customHeight="1">
      <c r="A120" s="2" t="s">
        <v>18</v>
      </c>
      <c r="B120" s="16">
        <v>1482405.47</v>
      </c>
      <c r="C120" s="16">
        <v>5357715.67</v>
      </c>
      <c r="D120" s="16">
        <v>8731158.4399999995</v>
      </c>
      <c r="E120" s="16">
        <v>297612.76</v>
      </c>
      <c r="F120" s="16">
        <v>387086.21</v>
      </c>
      <c r="G120" s="16">
        <f>DRE!I83</f>
        <v>-3896364.1900000004</v>
      </c>
      <c r="H120" s="16">
        <f>DRE!J83</f>
        <v>-1246206.7399999993</v>
      </c>
      <c r="I120" s="16">
        <v>0</v>
      </c>
      <c r="J120" s="91">
        <f>H120+I120</f>
        <v>-1246206.7399999993</v>
      </c>
    </row>
    <row r="121" spans="1:12" s="36" customFormat="1" ht="10" customHeight="1">
      <c r="A121" s="36" t="s">
        <v>195</v>
      </c>
      <c r="B121" s="37">
        <v>0</v>
      </c>
      <c r="C121" s="37">
        <f t="shared" ref="C121:H121" si="75">C120/B120-1</f>
        <v>2.6142039262712649</v>
      </c>
      <c r="D121" s="37">
        <f t="shared" si="75"/>
        <v>0.6296419925546366</v>
      </c>
      <c r="E121" s="37">
        <f t="shared" si="75"/>
        <v>-0.96591371442344365</v>
      </c>
      <c r="F121" s="37">
        <f t="shared" si="75"/>
        <v>0.30063714338054592</v>
      </c>
      <c r="G121" s="37">
        <f t="shared" si="75"/>
        <v>-11.065882197146729</v>
      </c>
      <c r="H121" s="37">
        <f t="shared" si="75"/>
        <v>-0.68016163807315988</v>
      </c>
      <c r="I121" s="37"/>
      <c r="J121" s="37">
        <f>J120/F120-1</f>
        <v>-4.2194552732839519</v>
      </c>
    </row>
    <row r="122" spans="1:12" s="146" customFormat="1" ht="10" customHeight="1">
      <c r="A122" s="144" t="s">
        <v>196</v>
      </c>
      <c r="B122" s="145">
        <f>B120/B$54</f>
        <v>0.12561215415668298</v>
      </c>
      <c r="C122" s="145">
        <f>C120/C$102</f>
        <v>0.80869533970119167</v>
      </c>
      <c r="D122" s="145">
        <f>D120/D$54</f>
        <v>0.16011206844805026</v>
      </c>
      <c r="E122" s="145">
        <f>E120/E$54</f>
        <v>3.9177248793833231E-3</v>
      </c>
      <c r="F122" s="145">
        <f>F120/F$54</f>
        <v>4.6718240124310993E-3</v>
      </c>
      <c r="G122" s="145">
        <f>G120/G$54</f>
        <v>-4.6612493428157042E-2</v>
      </c>
      <c r="H122" s="145">
        <f>H120/H$54</f>
        <v>-1.4742480166824041E-2</v>
      </c>
      <c r="I122" s="145"/>
      <c r="J122" s="145">
        <f>J120/J$54</f>
        <v>-1.4742480166824041E-2</v>
      </c>
    </row>
    <row r="123" spans="1:12" s="2" customFormat="1" ht="15" customHeight="1">
      <c r="A123" s="52" t="s">
        <v>39</v>
      </c>
      <c r="B123" s="53">
        <f t="shared" ref="B123:J123" si="76">B102+B90+B54</f>
        <v>20382890.219999999</v>
      </c>
      <c r="C123" s="53">
        <f t="shared" si="76"/>
        <v>42973081.480000004</v>
      </c>
      <c r="D123" s="53">
        <f t="shared" si="76"/>
        <v>75511690.11999999</v>
      </c>
      <c r="E123" s="53">
        <f t="shared" si="76"/>
        <v>99661712.939999998</v>
      </c>
      <c r="F123" s="53">
        <f t="shared" si="76"/>
        <v>107148773.80000001</v>
      </c>
      <c r="G123" s="53">
        <f t="shared" si="76"/>
        <v>100238961.78999999</v>
      </c>
      <c r="H123" s="53">
        <f t="shared" si="76"/>
        <v>99631499.049999982</v>
      </c>
      <c r="I123" s="53">
        <f t="shared" si="76"/>
        <v>0</v>
      </c>
      <c r="J123" s="53">
        <f t="shared" si="76"/>
        <v>99631499.049999982</v>
      </c>
      <c r="K123" s="16"/>
      <c r="L123" s="16"/>
    </row>
    <row r="124" spans="1:12" s="35" customFormat="1" ht="15" customHeight="1">
      <c r="A124" s="98"/>
      <c r="B124" s="99" t="str">
        <f t="shared" ref="B124:J124" si="77">IF(B123=B51,"verdadeiro")</f>
        <v>verdadeiro</v>
      </c>
      <c r="C124" s="99" t="str">
        <f t="shared" si="77"/>
        <v>verdadeiro</v>
      </c>
      <c r="D124" s="99" t="str">
        <f t="shared" si="77"/>
        <v>verdadeiro</v>
      </c>
      <c r="E124" s="99" t="str">
        <f t="shared" si="77"/>
        <v>verdadeiro</v>
      </c>
      <c r="F124" s="99" t="str">
        <f t="shared" si="77"/>
        <v>verdadeiro</v>
      </c>
      <c r="G124" s="99" t="str">
        <f t="shared" si="77"/>
        <v>verdadeiro</v>
      </c>
      <c r="H124" s="99" t="str">
        <f t="shared" si="77"/>
        <v>verdadeiro</v>
      </c>
      <c r="I124" s="99" t="str">
        <f t="shared" si="77"/>
        <v>verdadeiro</v>
      </c>
      <c r="J124" s="99" t="str">
        <f t="shared" si="77"/>
        <v>verdadeiro</v>
      </c>
      <c r="K124" s="126"/>
      <c r="L124" s="126"/>
    </row>
    <row r="125" spans="1:12" s="2" customFormat="1" ht="15" customHeight="1">
      <c r="A125" s="15"/>
      <c r="B125" s="95"/>
      <c r="C125" s="95"/>
      <c r="D125" s="95"/>
      <c r="E125" s="95"/>
      <c r="F125" s="95"/>
      <c r="G125" s="95">
        <f>G123-G51</f>
        <v>0</v>
      </c>
      <c r="H125" s="95">
        <f>H123-H51</f>
        <v>0</v>
      </c>
      <c r="I125" s="95"/>
      <c r="J125" s="95">
        <f>J123-J51</f>
        <v>0</v>
      </c>
      <c r="K125" s="16"/>
    </row>
    <row r="126" spans="1:12" s="15" customFormat="1" ht="15" customHeight="1">
      <c r="A126" s="231" t="s">
        <v>139</v>
      </c>
      <c r="B126" s="232">
        <f t="shared" ref="B126:I126" si="78">B129+B132+B135</f>
        <v>11689080.310000001</v>
      </c>
      <c r="C126" s="232">
        <f t="shared" si="78"/>
        <v>25815241.93</v>
      </c>
      <c r="D126" s="232">
        <f t="shared" si="78"/>
        <v>54060171.569999993</v>
      </c>
      <c r="E126" s="232">
        <f t="shared" si="78"/>
        <v>72816180.50999999</v>
      </c>
      <c r="F126" s="232">
        <f t="shared" si="78"/>
        <v>76526803.310000002</v>
      </c>
      <c r="G126" s="232">
        <f>G129+G132+G135</f>
        <v>74142963.919999987</v>
      </c>
      <c r="H126" s="232">
        <f>H129+H132+H135</f>
        <v>75126984.439999983</v>
      </c>
      <c r="I126" s="232">
        <f t="shared" si="78"/>
        <v>0</v>
      </c>
      <c r="J126" s="232">
        <f>J129+J132+J135</f>
        <v>77000428.859999999</v>
      </c>
      <c r="K126" s="148"/>
    </row>
    <row r="127" spans="1:12" s="36" customFormat="1" ht="10" customHeight="1">
      <c r="A127" s="233" t="s">
        <v>195</v>
      </c>
      <c r="B127" s="237">
        <v>0</v>
      </c>
      <c r="C127" s="234">
        <f t="shared" ref="C127:H127" si="79">C126/B126-1</f>
        <v>1.208492134998429</v>
      </c>
      <c r="D127" s="234">
        <f t="shared" si="79"/>
        <v>1.0941183397230319</v>
      </c>
      <c r="E127" s="234">
        <f t="shared" si="79"/>
        <v>0.34694690000592621</v>
      </c>
      <c r="F127" s="234">
        <f t="shared" si="79"/>
        <v>5.0958767323567855E-2</v>
      </c>
      <c r="G127" s="234">
        <f t="shared" si="79"/>
        <v>-3.1150385053239416E-2</v>
      </c>
      <c r="H127" s="234">
        <f t="shared" si="79"/>
        <v>1.3271933949953185E-2</v>
      </c>
      <c r="I127" s="234"/>
      <c r="J127" s="234">
        <f>J126/F126-1</f>
        <v>6.1890152144654653E-3</v>
      </c>
      <c r="K127" s="36" t="s">
        <v>205</v>
      </c>
    </row>
    <row r="128" spans="1:12" s="36" customFormat="1" ht="10" customHeight="1">
      <c r="A128" s="235" t="s">
        <v>142</v>
      </c>
      <c r="B128" s="236">
        <f>B126/DRE!D$53</f>
        <v>2.4489086734191123</v>
      </c>
      <c r="C128" s="236">
        <f>C126/DRE!E$53</f>
        <v>2.5013992375473255</v>
      </c>
      <c r="D128" s="236">
        <f>D126/DRE!F$53</f>
        <v>2.9937135106501538</v>
      </c>
      <c r="E128" s="236">
        <f>E126/DRE!G$53</f>
        <v>6.6835889086873275</v>
      </c>
      <c r="F128" s="236">
        <f>F126/DRE!H$53</f>
        <v>6.9285135372205158</v>
      </c>
      <c r="G128" s="236">
        <f>G126/DRE!I$53</f>
        <v>11.806404759940627</v>
      </c>
      <c r="H128" s="236" t="e">
        <f>H126/DRE!#REF!</f>
        <v>#REF!</v>
      </c>
      <c r="I128" s="236"/>
      <c r="J128" s="236" t="e">
        <f>J126/DRE!#REF!</f>
        <v>#REF!</v>
      </c>
    </row>
    <row r="129" spans="1:12" s="2" customFormat="1" ht="15" customHeight="1">
      <c r="A129" s="122" t="s">
        <v>242</v>
      </c>
      <c r="B129" s="142">
        <f t="shared" ref="B129:J129" si="80">B57</f>
        <v>6384371.7599999998</v>
      </c>
      <c r="C129" s="142">
        <f t="shared" si="80"/>
        <v>14014511.93</v>
      </c>
      <c r="D129" s="142">
        <f t="shared" si="80"/>
        <v>23451956.969999999</v>
      </c>
      <c r="E129" s="142">
        <f t="shared" si="80"/>
        <v>21451936.449999999</v>
      </c>
      <c r="F129" s="142">
        <f t="shared" si="80"/>
        <v>27448502.23</v>
      </c>
      <c r="G129" s="142">
        <f t="shared" si="80"/>
        <v>25238792.779999997</v>
      </c>
      <c r="H129" s="142">
        <f t="shared" si="80"/>
        <v>28096257.719999999</v>
      </c>
      <c r="I129" s="142">
        <f t="shared" si="80"/>
        <v>0</v>
      </c>
      <c r="J129" s="142">
        <f t="shared" si="80"/>
        <v>28096257.719999999</v>
      </c>
    </row>
    <row r="130" spans="1:12" s="36" customFormat="1" ht="10" customHeight="1">
      <c r="A130" s="36" t="s">
        <v>195</v>
      </c>
      <c r="B130" s="37">
        <v>0</v>
      </c>
      <c r="C130" s="37">
        <f t="shared" ref="C130:H130" si="81">C129/B129-1</f>
        <v>1.1951277990741569</v>
      </c>
      <c r="D130" s="37">
        <f t="shared" si="81"/>
        <v>0.67340518793222071</v>
      </c>
      <c r="E130" s="37">
        <f t="shared" si="81"/>
        <v>-8.5281604539802269E-2</v>
      </c>
      <c r="F130" s="37">
        <f t="shared" si="81"/>
        <v>0.27953494053913253</v>
      </c>
      <c r="G130" s="37">
        <f t="shared" si="81"/>
        <v>-8.0503826091643305E-2</v>
      </c>
      <c r="H130" s="37">
        <f t="shared" si="81"/>
        <v>0.11321717979571289</v>
      </c>
      <c r="I130" s="37"/>
      <c r="J130" s="37">
        <f>J129/F129-1</f>
        <v>2.3598937551209342E-2</v>
      </c>
    </row>
    <row r="131" spans="1:12" s="36" customFormat="1" ht="10" customHeight="1">
      <c r="A131" s="247" t="s">
        <v>194</v>
      </c>
      <c r="B131" s="248">
        <f t="shared" ref="B131:F131" si="82">B129/B$126</f>
        <v>0.5461825559140161</v>
      </c>
      <c r="C131" s="248">
        <f t="shared" si="82"/>
        <v>0.5428774197817483</v>
      </c>
      <c r="D131" s="248">
        <f t="shared" si="82"/>
        <v>0.43381210767400458</v>
      </c>
      <c r="E131" s="248">
        <f t="shared" si="82"/>
        <v>0.2946039781234332</v>
      </c>
      <c r="F131" s="248">
        <f t="shared" si="82"/>
        <v>0.35867828058634216</v>
      </c>
      <c r="G131" s="248">
        <f>G129/G$126</f>
        <v>0.340407119510795</v>
      </c>
      <c r="H131" s="248">
        <f>H129/H$126</f>
        <v>0.37398356834672392</v>
      </c>
      <c r="I131" s="248"/>
      <c r="J131" s="248">
        <f>J129/J$126</f>
        <v>0.36488443163198248</v>
      </c>
    </row>
    <row r="132" spans="1:12" s="2" customFormat="1" ht="15" customHeight="1">
      <c r="A132" s="2" t="s">
        <v>137</v>
      </c>
      <c r="B132" s="16">
        <f t="shared" ref="B132:I132" si="83">B66+B60+B69+B63</f>
        <v>3593432.08</v>
      </c>
      <c r="C132" s="16">
        <f t="shared" si="83"/>
        <v>8648440.4699999988</v>
      </c>
      <c r="D132" s="16">
        <f t="shared" si="83"/>
        <v>26836775.16</v>
      </c>
      <c r="E132" s="16">
        <f t="shared" si="83"/>
        <v>49166043.239999995</v>
      </c>
      <c r="F132" s="16">
        <f t="shared" si="83"/>
        <v>47572021.399999999</v>
      </c>
      <c r="G132" s="16">
        <f t="shared" si="83"/>
        <v>46876357.589999996</v>
      </c>
      <c r="H132" s="16">
        <f t="shared" si="83"/>
        <v>45463602.169999994</v>
      </c>
      <c r="I132" s="25">
        <f t="shared" si="83"/>
        <v>0</v>
      </c>
      <c r="J132" s="238">
        <f>G132+I132</f>
        <v>46876357.589999996</v>
      </c>
      <c r="K132" s="16"/>
      <c r="L132" s="16"/>
    </row>
    <row r="133" spans="1:12" s="36" customFormat="1" ht="10" customHeight="1">
      <c r="A133" s="36" t="s">
        <v>195</v>
      </c>
      <c r="B133" s="37">
        <v>0</v>
      </c>
      <c r="C133" s="37">
        <f t="shared" ref="C133:H133" si="84">C132/B132-1</f>
        <v>1.4067354766866775</v>
      </c>
      <c r="D133" s="37">
        <f t="shared" si="84"/>
        <v>2.1030768209704753</v>
      </c>
      <c r="E133" s="37">
        <f t="shared" si="84"/>
        <v>0.83203991339770189</v>
      </c>
      <c r="F133" s="37">
        <f t="shared" si="84"/>
        <v>-3.2421194282788002E-2</v>
      </c>
      <c r="G133" s="37">
        <f t="shared" si="84"/>
        <v>-1.4623381339015418E-2</v>
      </c>
      <c r="H133" s="37">
        <f t="shared" si="84"/>
        <v>-3.013790944161121E-2</v>
      </c>
      <c r="I133" s="37"/>
      <c r="J133" s="37">
        <f>J132/F132-1</f>
        <v>-1.4623381339015418E-2</v>
      </c>
      <c r="L133" s="245"/>
    </row>
    <row r="134" spans="1:12" s="249" customFormat="1" ht="10" customHeight="1">
      <c r="A134" s="247" t="s">
        <v>194</v>
      </c>
      <c r="B134" s="248">
        <f t="shared" ref="B134:F134" si="85">B132/B$126</f>
        <v>0.30741786220134198</v>
      </c>
      <c r="C134" s="248">
        <f t="shared" si="85"/>
        <v>0.335012954496065</v>
      </c>
      <c r="D134" s="248">
        <f t="shared" si="85"/>
        <v>0.4964241581299888</v>
      </c>
      <c r="E134" s="248">
        <f t="shared" si="85"/>
        <v>0.67520766532443877</v>
      </c>
      <c r="F134" s="248">
        <f t="shared" si="85"/>
        <v>0.62163868530208954</v>
      </c>
      <c r="G134" s="248">
        <f>G132/G$126</f>
        <v>0.63224283346130361</v>
      </c>
      <c r="H134" s="248">
        <f>H132/H$126</f>
        <v>0.60515675571018568</v>
      </c>
      <c r="I134" s="248"/>
      <c r="J134" s="248">
        <f>J132/J$126</f>
        <v>0.60878047413514103</v>
      </c>
      <c r="L134" s="282"/>
    </row>
    <row r="135" spans="1:12" s="2" customFormat="1" ht="15" customHeight="1">
      <c r="A135" s="2" t="s">
        <v>138</v>
      </c>
      <c r="B135" s="16">
        <f t="shared" ref="B135:I135" si="86">B72+B87</f>
        <v>1711276.47</v>
      </c>
      <c r="C135" s="16">
        <f t="shared" si="86"/>
        <v>3152289.53</v>
      </c>
      <c r="D135" s="16">
        <f t="shared" si="86"/>
        <v>3771439.44</v>
      </c>
      <c r="E135" s="16">
        <f t="shared" si="86"/>
        <v>2198200.8199999998</v>
      </c>
      <c r="F135" s="16">
        <f t="shared" si="86"/>
        <v>1506279.6800000002</v>
      </c>
      <c r="G135" s="16">
        <f t="shared" si="86"/>
        <v>2027813.5500000003</v>
      </c>
      <c r="H135" s="16">
        <f t="shared" si="86"/>
        <v>1567124.55</v>
      </c>
      <c r="I135" s="16">
        <f t="shared" si="86"/>
        <v>0</v>
      </c>
      <c r="J135" s="91">
        <f>G135+I135</f>
        <v>2027813.5500000003</v>
      </c>
    </row>
    <row r="136" spans="1:12" s="36" customFormat="1" ht="10" customHeight="1">
      <c r="A136" s="36" t="s">
        <v>195</v>
      </c>
      <c r="B136" s="37">
        <v>0</v>
      </c>
      <c r="C136" s="37">
        <f t="shared" ref="C136:H136" si="87">C135/B135-1</f>
        <v>0.84206911347293856</v>
      </c>
      <c r="D136" s="37">
        <f t="shared" si="87"/>
        <v>0.1964127673259759</v>
      </c>
      <c r="E136" s="37">
        <f t="shared" si="87"/>
        <v>-0.41714540165067593</v>
      </c>
      <c r="F136" s="37">
        <f t="shared" si="87"/>
        <v>-0.31476702842827609</v>
      </c>
      <c r="G136" s="37">
        <f t="shared" si="87"/>
        <v>0.3462397301940634</v>
      </c>
      <c r="H136" s="37">
        <f t="shared" si="87"/>
        <v>-0.22718508809648708</v>
      </c>
      <c r="I136" s="37"/>
      <c r="J136" s="37">
        <f>J135/F135-1</f>
        <v>0.3462397301940634</v>
      </c>
    </row>
    <row r="137" spans="1:12" s="249" customFormat="1" ht="10" customHeight="1">
      <c r="A137" s="247" t="s">
        <v>194</v>
      </c>
      <c r="B137" s="248">
        <f t="shared" ref="B137:F137" si="88">B135/B$126</f>
        <v>0.14639958188464186</v>
      </c>
      <c r="C137" s="248">
        <f t="shared" si="88"/>
        <v>0.12210962572218667</v>
      </c>
      <c r="D137" s="248">
        <f t="shared" si="88"/>
        <v>6.9763734196006746E-2</v>
      </c>
      <c r="E137" s="248">
        <f t="shared" si="88"/>
        <v>3.0188356552128089E-2</v>
      </c>
      <c r="F137" s="248">
        <f t="shared" si="88"/>
        <v>1.9683034111568198E-2</v>
      </c>
      <c r="G137" s="248">
        <f>G135/G$126</f>
        <v>2.7350047027901454E-2</v>
      </c>
      <c r="H137" s="248">
        <f>H135/H$126</f>
        <v>2.0859675943090475E-2</v>
      </c>
      <c r="I137" s="248"/>
      <c r="J137" s="248">
        <f>J135/J$126</f>
        <v>2.6335094232876461E-2</v>
      </c>
    </row>
    <row r="138" spans="1:12" s="15" customFormat="1" ht="15" customHeight="1">
      <c r="A138" s="231" t="s">
        <v>140</v>
      </c>
      <c r="B138" s="232">
        <f t="shared" ref="B138:I138" si="89">B141+B144</f>
        <v>5835931.0300000003</v>
      </c>
      <c r="C138" s="232">
        <f t="shared" si="89"/>
        <v>10093601.459999999</v>
      </c>
      <c r="D138" s="232">
        <f t="shared" si="89"/>
        <v>10463676.390000001</v>
      </c>
      <c r="E138" s="232">
        <f t="shared" si="89"/>
        <v>11577488.359999999</v>
      </c>
      <c r="F138" s="232">
        <f t="shared" si="89"/>
        <v>13610965.940000001</v>
      </c>
      <c r="G138" s="232">
        <f>G141+G144</f>
        <v>12566828.83</v>
      </c>
      <c r="H138" s="232">
        <f>H141+H144</f>
        <v>12221352.799999999</v>
      </c>
      <c r="I138" s="232">
        <f t="shared" si="89"/>
        <v>0</v>
      </c>
      <c r="J138" s="232">
        <f>J141+J144</f>
        <v>12566828.83</v>
      </c>
    </row>
    <row r="139" spans="1:12" s="36" customFormat="1" ht="10" customHeight="1">
      <c r="A139" s="233" t="s">
        <v>195</v>
      </c>
      <c r="B139" s="234">
        <v>0</v>
      </c>
      <c r="C139" s="234">
        <f t="shared" ref="C139:H139" si="90">C138/B138-1</f>
        <v>0.72956147153096129</v>
      </c>
      <c r="D139" s="234">
        <f t="shared" si="90"/>
        <v>3.6664309708142717E-2</v>
      </c>
      <c r="E139" s="234">
        <f t="shared" si="90"/>
        <v>0.10644556735952326</v>
      </c>
      <c r="F139" s="234">
        <f t="shared" si="90"/>
        <v>0.17564064992072281</v>
      </c>
      <c r="G139" s="234">
        <f t="shared" si="90"/>
        <v>-7.671293239603838E-2</v>
      </c>
      <c r="H139" s="234">
        <f t="shared" si="90"/>
        <v>-2.749110652126241E-2</v>
      </c>
      <c r="I139" s="234"/>
      <c r="J139" s="234">
        <f>J138/F138-1</f>
        <v>-7.671293239603838E-2</v>
      </c>
    </row>
    <row r="140" spans="1:12" s="36" customFormat="1" ht="10" customHeight="1">
      <c r="A140" s="235" t="s">
        <v>142</v>
      </c>
      <c r="B140" s="236">
        <f>B138/DRE!D53</f>
        <v>1.2226506908859398</v>
      </c>
      <c r="C140" s="236">
        <f>C138/DRE!D$53</f>
        <v>2.1146495280970323</v>
      </c>
      <c r="D140" s="236">
        <f>D138/DRE!E$53</f>
        <v>1.013890639292101</v>
      </c>
      <c r="E140" s="236">
        <f>E138/DRE!F$53</f>
        <v>0.64113158201593357</v>
      </c>
      <c r="F140" s="236">
        <f>F138/DRE!G$53</f>
        <v>1.2493116276623695</v>
      </c>
      <c r="G140" s="236">
        <f>G138/DRE!I$53</f>
        <v>2.001121345458496</v>
      </c>
      <c r="H140" s="236" t="e">
        <f>H138/DRE!#REF!</f>
        <v>#REF!</v>
      </c>
      <c r="I140" s="236"/>
      <c r="J140" s="236">
        <f>J138/DRE!H$53</f>
        <v>1.1377640238790743</v>
      </c>
    </row>
    <row r="141" spans="1:12" s="2" customFormat="1" ht="15" customHeight="1">
      <c r="A141" s="122" t="s">
        <v>71</v>
      </c>
      <c r="B141" s="16">
        <f t="shared" ref="B141:I141" si="91">B93</f>
        <v>4412958.04</v>
      </c>
      <c r="C141" s="16">
        <f t="shared" si="91"/>
        <v>7598875.5199999996</v>
      </c>
      <c r="D141" s="16">
        <f t="shared" si="91"/>
        <v>6755094.6900000004</v>
      </c>
      <c r="E141" s="16">
        <f t="shared" si="91"/>
        <v>8863812.5899999999</v>
      </c>
      <c r="F141" s="16">
        <f t="shared" si="91"/>
        <v>11503556.99</v>
      </c>
      <c r="G141" s="16">
        <f t="shared" si="91"/>
        <v>11291388.65</v>
      </c>
      <c r="H141" s="16">
        <f t="shared" si="91"/>
        <v>10631194.949999999</v>
      </c>
      <c r="I141" s="25">
        <f t="shared" si="91"/>
        <v>0</v>
      </c>
      <c r="J141" s="238">
        <f>G141+I141</f>
        <v>11291388.65</v>
      </c>
    </row>
    <row r="142" spans="1:12" s="36" customFormat="1" ht="10" customHeight="1">
      <c r="A142" s="36" t="s">
        <v>195</v>
      </c>
      <c r="B142" s="38">
        <v>0</v>
      </c>
      <c r="C142" s="38">
        <f t="shared" ref="C142:H142" si="92">C141/B141-1</f>
        <v>0.72194601696235461</v>
      </c>
      <c r="D142" s="38">
        <f t="shared" si="92"/>
        <v>-0.11104022269863412</v>
      </c>
      <c r="E142" s="38">
        <f t="shared" si="92"/>
        <v>0.31216703788352063</v>
      </c>
      <c r="F142" s="38">
        <f t="shared" si="92"/>
        <v>0.29781139585217709</v>
      </c>
      <c r="G142" s="38">
        <f t="shared" si="92"/>
        <v>-1.8443716164003643E-2</v>
      </c>
      <c r="H142" s="38">
        <f t="shared" si="92"/>
        <v>-5.8468778328695792E-2</v>
      </c>
      <c r="I142" s="38"/>
      <c r="J142" s="37">
        <f>J141/F141-1</f>
        <v>-1.8443716164003643E-2</v>
      </c>
    </row>
    <row r="143" spans="1:12" s="249" customFormat="1" ht="10" customHeight="1">
      <c r="A143" s="247" t="s">
        <v>194</v>
      </c>
      <c r="B143" s="248">
        <f t="shared" ref="B143:F143" si="93">B141/B$138</f>
        <v>0.75617035522093889</v>
      </c>
      <c r="C143" s="248">
        <f t="shared" si="93"/>
        <v>0.75284085171320014</v>
      </c>
      <c r="D143" s="248">
        <f t="shared" si="93"/>
        <v>0.64557565029971264</v>
      </c>
      <c r="E143" s="248">
        <f t="shared" si="93"/>
        <v>0.76560755790731805</v>
      </c>
      <c r="F143" s="248">
        <f t="shared" si="93"/>
        <v>0.84516830331587756</v>
      </c>
      <c r="G143" s="248">
        <f>G141/G$138</f>
        <v>0.89850739615747599</v>
      </c>
      <c r="H143" s="248">
        <f>H141/H$138</f>
        <v>0.86988692037431403</v>
      </c>
      <c r="I143" s="248"/>
      <c r="J143" s="248">
        <f>J141/J$138</f>
        <v>0.89850739615747599</v>
      </c>
    </row>
    <row r="144" spans="1:12" s="2" customFormat="1" ht="15" customHeight="1">
      <c r="A144" s="2" t="s">
        <v>72</v>
      </c>
      <c r="B144" s="16">
        <f t="shared" ref="B144:I144" si="94">B96</f>
        <v>1422972.99</v>
      </c>
      <c r="C144" s="16">
        <f t="shared" si="94"/>
        <v>2494725.94</v>
      </c>
      <c r="D144" s="16">
        <f t="shared" si="94"/>
        <v>3708581.7</v>
      </c>
      <c r="E144" s="16">
        <f t="shared" si="94"/>
        <v>2713675.77</v>
      </c>
      <c r="F144" s="16">
        <f t="shared" si="94"/>
        <v>2107408.9500000002</v>
      </c>
      <c r="G144" s="16">
        <f t="shared" si="94"/>
        <v>1275440.18</v>
      </c>
      <c r="H144" s="16">
        <f t="shared" si="94"/>
        <v>1590157.85</v>
      </c>
      <c r="I144" s="16">
        <f t="shared" si="94"/>
        <v>0</v>
      </c>
      <c r="J144" s="91">
        <f>G144+I144</f>
        <v>1275440.18</v>
      </c>
    </row>
    <row r="145" spans="1:12" s="36" customFormat="1" ht="10" customHeight="1">
      <c r="A145" s="36" t="s">
        <v>195</v>
      </c>
      <c r="B145" s="38">
        <v>0</v>
      </c>
      <c r="C145" s="38">
        <f t="shared" ref="C145:H145" si="95">C144/B144-1</f>
        <v>0.7531787022886498</v>
      </c>
      <c r="D145" s="38">
        <f t="shared" si="95"/>
        <v>0.48656878117842495</v>
      </c>
      <c r="E145" s="38">
        <f t="shared" si="95"/>
        <v>-0.26827127200676204</v>
      </c>
      <c r="F145" s="38">
        <f t="shared" si="95"/>
        <v>-0.22341166424609371</v>
      </c>
      <c r="G145" s="38">
        <f t="shared" si="95"/>
        <v>-0.39478278290504565</v>
      </c>
      <c r="H145" s="38">
        <f t="shared" si="95"/>
        <v>0.2467521996994011</v>
      </c>
      <c r="I145" s="38"/>
      <c r="J145" s="37">
        <f>J144/F144-1</f>
        <v>-0.39478278290504565</v>
      </c>
    </row>
    <row r="146" spans="1:12" s="249" customFormat="1" ht="10" customHeight="1">
      <c r="A146" s="247" t="s">
        <v>194</v>
      </c>
      <c r="B146" s="248">
        <f t="shared" ref="B146:F146" si="96">B144/B$138</f>
        <v>0.24382964477906105</v>
      </c>
      <c r="C146" s="248">
        <f t="shared" si="96"/>
        <v>0.24715914828679991</v>
      </c>
      <c r="D146" s="248">
        <f t="shared" si="96"/>
        <v>0.3544243497002873</v>
      </c>
      <c r="E146" s="248">
        <f t="shared" si="96"/>
        <v>0.23439244209268204</v>
      </c>
      <c r="F146" s="248">
        <f t="shared" si="96"/>
        <v>0.15483169668412233</v>
      </c>
      <c r="G146" s="248">
        <f>G144/G$138</f>
        <v>0.10149260384252404</v>
      </c>
      <c r="H146" s="248">
        <f>H144/H$138</f>
        <v>0.13011307962568597</v>
      </c>
      <c r="I146" s="248"/>
      <c r="J146" s="248">
        <f>J144/J$138</f>
        <v>0.10149260384252404</v>
      </c>
    </row>
    <row r="147" spans="1:12" s="15" customFormat="1" ht="15" customHeight="1">
      <c r="A147" s="239" t="s">
        <v>141</v>
      </c>
      <c r="B147" s="240">
        <f t="shared" ref="B147:I147" si="97">B126+B138</f>
        <v>17525011.34</v>
      </c>
      <c r="C147" s="240">
        <f t="shared" si="97"/>
        <v>35908843.390000001</v>
      </c>
      <c r="D147" s="240">
        <f t="shared" si="97"/>
        <v>64523847.959999993</v>
      </c>
      <c r="E147" s="240">
        <f t="shared" si="97"/>
        <v>84393668.86999999</v>
      </c>
      <c r="F147" s="240">
        <f t="shared" si="97"/>
        <v>90137769.25</v>
      </c>
      <c r="G147" s="240">
        <f>G126+G138</f>
        <v>86709792.749999985</v>
      </c>
      <c r="H147" s="240">
        <f>H126+H138</f>
        <v>87348337.23999998</v>
      </c>
      <c r="I147" s="240">
        <f t="shared" si="97"/>
        <v>0</v>
      </c>
      <c r="J147" s="240">
        <f>J126+J138</f>
        <v>89567257.689999998</v>
      </c>
      <c r="K147" s="148"/>
      <c r="L147" s="148"/>
    </row>
    <row r="148" spans="1:12" s="36" customFormat="1" ht="10" customHeight="1">
      <c r="A148" s="241" t="s">
        <v>195</v>
      </c>
      <c r="B148" s="242">
        <v>0</v>
      </c>
      <c r="C148" s="242">
        <f t="shared" ref="C148:H148" si="98">C147/B147-1</f>
        <v>1.0490054296307236</v>
      </c>
      <c r="D148" s="242">
        <f t="shared" si="98"/>
        <v>0.79687903782411396</v>
      </c>
      <c r="E148" s="242">
        <f t="shared" si="98"/>
        <v>0.30794538047882414</v>
      </c>
      <c r="F148" s="242">
        <f t="shared" si="98"/>
        <v>6.8063167023206805E-2</v>
      </c>
      <c r="G148" s="242">
        <f t="shared" si="98"/>
        <v>-3.8030411985151447E-2</v>
      </c>
      <c r="H148" s="242">
        <f t="shared" si="98"/>
        <v>7.3641565704236633E-3</v>
      </c>
      <c r="I148" s="242"/>
      <c r="J148" s="242">
        <f>J147/F147-1</f>
        <v>-6.3293285905231533E-3</v>
      </c>
    </row>
    <row r="149" spans="1:12" s="36" customFormat="1" ht="10" customHeight="1">
      <c r="A149" s="243" t="s">
        <v>142</v>
      </c>
      <c r="B149" s="244">
        <f>B147/DRE!D$53</f>
        <v>3.6715593643050521</v>
      </c>
      <c r="C149" s="244">
        <f>C147/DRE!E$53</f>
        <v>3.4794310167811902</v>
      </c>
      <c r="D149" s="244">
        <f>D147/DRE!F$53</f>
        <v>3.5731650453026553</v>
      </c>
      <c r="E149" s="244">
        <f>E147/DRE!G$53</f>
        <v>7.7462534463133563</v>
      </c>
      <c r="F149" s="244">
        <f>F147/DRE!H$53</f>
        <v>8.1608106892121555</v>
      </c>
      <c r="G149" s="244">
        <f>G147/DRE!I53</f>
        <v>13.807526105399122</v>
      </c>
      <c r="H149" s="244" t="e">
        <f>H147/DRE!#REF!</f>
        <v>#REF!</v>
      </c>
      <c r="I149" s="244"/>
      <c r="J149" s="244" t="e">
        <f>J147/DRE!#REF!</f>
        <v>#REF!</v>
      </c>
    </row>
    <row r="150" spans="1:12" s="15" customFormat="1" ht="15" customHeight="1">
      <c r="A150" s="254" t="s">
        <v>241</v>
      </c>
      <c r="B150" s="255">
        <f t="shared" ref="B150:J150" si="99">B147-B129</f>
        <v>11140639.58</v>
      </c>
      <c r="C150" s="255">
        <f t="shared" si="99"/>
        <v>21894331.460000001</v>
      </c>
      <c r="D150" s="255">
        <f t="shared" si="99"/>
        <v>41071890.989999995</v>
      </c>
      <c r="E150" s="255">
        <f t="shared" si="99"/>
        <v>62941732.419999987</v>
      </c>
      <c r="F150" s="255">
        <f t="shared" si="99"/>
        <v>62689267.019999996</v>
      </c>
      <c r="G150" s="255">
        <f t="shared" si="99"/>
        <v>61470999.969999984</v>
      </c>
      <c r="H150" s="255">
        <f t="shared" ref="H150" si="100">H147-H129</f>
        <v>59252079.519999981</v>
      </c>
      <c r="I150" s="255">
        <f t="shared" si="99"/>
        <v>0</v>
      </c>
      <c r="J150" s="255">
        <f t="shared" si="99"/>
        <v>61470999.969999999</v>
      </c>
      <c r="K150" s="148"/>
      <c r="L150" s="148"/>
    </row>
    <row r="151" spans="1:12" s="36" customFormat="1" ht="10" customHeight="1">
      <c r="A151" s="256" t="s">
        <v>195</v>
      </c>
      <c r="B151" s="257">
        <v>0</v>
      </c>
      <c r="C151" s="257">
        <f t="shared" ref="C151:H151" si="101">C150/B150-1</f>
        <v>0.96526701207580046</v>
      </c>
      <c r="D151" s="257">
        <f t="shared" si="101"/>
        <v>0.87591436920723376</v>
      </c>
      <c r="E151" s="257">
        <f t="shared" si="101"/>
        <v>0.53247710058747399</v>
      </c>
      <c r="F151" s="257">
        <f t="shared" si="101"/>
        <v>-4.0110970939809532E-3</v>
      </c>
      <c r="G151" s="257">
        <f t="shared" si="101"/>
        <v>-1.9433423102735325E-2</v>
      </c>
      <c r="H151" s="257">
        <f t="shared" si="101"/>
        <v>-3.6097028697807287E-2</v>
      </c>
      <c r="I151" s="257"/>
      <c r="J151" s="257">
        <f>J150/F150-1</f>
        <v>-1.9433423102735103E-2</v>
      </c>
    </row>
    <row r="152" spans="1:12" s="36" customFormat="1" ht="10" customHeight="1">
      <c r="A152" s="258" t="s">
        <v>142</v>
      </c>
      <c r="B152" s="259">
        <f>B150/DRE!D$53</f>
        <v>2.3340081658569987</v>
      </c>
      <c r="C152" s="259">
        <f>C150/DRE!E$53</f>
        <v>2.121477852857466</v>
      </c>
      <c r="D152" s="259">
        <f>D150/DRE!F$53</f>
        <v>2.2744558774753685</v>
      </c>
      <c r="E152" s="259">
        <f>E150/DRE!G$53</f>
        <v>5.7772415656724139</v>
      </c>
      <c r="F152" s="259">
        <f>F150/DRE!H$53</f>
        <v>5.6757033666627041</v>
      </c>
      <c r="G152" s="259">
        <f>G150/DRE!I56</f>
        <v>-46.518601662835479</v>
      </c>
      <c r="H152" s="259" t="e">
        <f>H150/DRE!#REF!</f>
        <v>#REF!</v>
      </c>
      <c r="I152" s="259"/>
      <c r="J152" s="259" t="e">
        <f>J150/DRE!#REF!</f>
        <v>#REF!</v>
      </c>
    </row>
    <row r="153" spans="1:12" ht="25" customHeight="1">
      <c r="B153" s="204">
        <f>(B132+B135)/B150</f>
        <v>0.47615834907029636</v>
      </c>
      <c r="C153" s="204">
        <f t="shared" ref="C153:J153" si="102">(C132+C135)/C150</f>
        <v>0.53898562838328368</v>
      </c>
      <c r="D153" s="204">
        <f t="shared" si="102"/>
        <v>0.74523509539534849</v>
      </c>
      <c r="E153" s="204">
        <f t="shared" si="102"/>
        <v>0.81606022086037788</v>
      </c>
      <c r="F153" s="204">
        <f t="shared" si="102"/>
        <v>0.78288203727668981</v>
      </c>
      <c r="G153" s="204">
        <f t="shared" si="102"/>
        <v>0.79556491945579144</v>
      </c>
      <c r="H153" s="204">
        <f t="shared" ref="H153" si="103">(H132+H135)/H150</f>
        <v>0.79373968139169215</v>
      </c>
      <c r="I153" s="204" t="e">
        <f t="shared" si="102"/>
        <v>#DIV/0!</v>
      </c>
      <c r="J153" s="204">
        <f t="shared" si="102"/>
        <v>0.79556491945579122</v>
      </c>
    </row>
    <row r="154" spans="1:12" ht="25" customHeight="1">
      <c r="B154" s="8"/>
      <c r="C154" s="8"/>
      <c r="D154" s="8"/>
      <c r="E154" s="8"/>
      <c r="F154" s="8"/>
      <c r="G154" s="1"/>
      <c r="H154" s="1"/>
      <c r="I154" s="8"/>
      <c r="J154" s="5"/>
    </row>
    <row r="155" spans="1:12" ht="25" customHeight="1">
      <c r="B155" s="8"/>
      <c r="C155" s="8"/>
      <c r="D155" s="8"/>
      <c r="E155" s="8"/>
      <c r="F155" s="8"/>
      <c r="G155" s="1"/>
      <c r="H155" s="1"/>
      <c r="I155" s="8"/>
      <c r="J155" s="5"/>
    </row>
    <row r="156" spans="1:12" ht="25" customHeight="1">
      <c r="B156" s="8"/>
      <c r="C156" s="8"/>
      <c r="D156" s="8"/>
      <c r="E156" s="8"/>
      <c r="F156" s="8"/>
      <c r="G156" s="1"/>
      <c r="H156" s="1"/>
      <c r="I156" s="8"/>
      <c r="J156" s="5"/>
    </row>
    <row r="157" spans="1:12" ht="25" customHeight="1">
      <c r="B157" s="8"/>
      <c r="C157" s="8"/>
      <c r="D157" s="8"/>
      <c r="E157" s="8"/>
      <c r="F157" s="8"/>
      <c r="G157" s="1"/>
      <c r="H157" s="1"/>
      <c r="I157" s="8"/>
      <c r="J157" s="5"/>
    </row>
    <row r="158" spans="1:12" ht="25" customHeight="1">
      <c r="B158" s="8"/>
      <c r="C158" s="8"/>
      <c r="D158" s="8"/>
      <c r="E158" s="8"/>
      <c r="F158" s="8"/>
      <c r="G158" s="1"/>
      <c r="H158" s="1"/>
      <c r="I158" s="8"/>
      <c r="J158" s="5"/>
    </row>
    <row r="159" spans="1:12" ht="25" customHeight="1">
      <c r="B159" s="8"/>
      <c r="C159" s="8"/>
      <c r="D159" s="8"/>
      <c r="E159" s="8"/>
      <c r="F159" s="8"/>
      <c r="G159" s="1"/>
      <c r="H159" s="1"/>
      <c r="I159" s="8"/>
      <c r="J159" s="5"/>
    </row>
    <row r="160" spans="1:12" ht="25" customHeight="1">
      <c r="B160" s="8"/>
      <c r="C160" s="8"/>
      <c r="D160" s="8"/>
      <c r="E160" s="8"/>
      <c r="F160" s="8"/>
      <c r="G160" s="1"/>
      <c r="H160" s="1"/>
      <c r="I160" s="8"/>
      <c r="J160" s="5"/>
    </row>
    <row r="161" spans="2:10" ht="25" customHeight="1">
      <c r="B161" s="34"/>
      <c r="C161" s="34"/>
      <c r="D161" s="34"/>
      <c r="E161" s="34"/>
      <c r="F161" s="34"/>
      <c r="G161" s="1"/>
      <c r="H161" s="1"/>
      <c r="I161" s="34"/>
      <c r="J161" s="5"/>
    </row>
    <row r="162" spans="2:10" ht="25" customHeight="1">
      <c r="B162" s="34"/>
      <c r="C162" s="34"/>
      <c r="D162" s="34"/>
      <c r="E162" s="34"/>
      <c r="F162" s="34"/>
      <c r="G162" s="1"/>
      <c r="H162" s="1"/>
      <c r="I162" s="34"/>
      <c r="J162" s="5"/>
    </row>
    <row r="163" spans="2:10" ht="25" customHeight="1">
      <c r="B163" s="34"/>
      <c r="C163" s="34"/>
      <c r="D163" s="34"/>
      <c r="E163" s="34"/>
      <c r="F163" s="34"/>
      <c r="G163" s="1"/>
      <c r="H163" s="1"/>
      <c r="I163" s="34"/>
      <c r="J163" s="5"/>
    </row>
    <row r="164" spans="2:10" ht="25" customHeight="1">
      <c r="B164" s="34"/>
      <c r="C164" s="34"/>
      <c r="D164" s="34"/>
      <c r="E164" s="34"/>
      <c r="F164" s="34"/>
      <c r="G164" s="1"/>
      <c r="H164" s="1"/>
      <c r="I164" s="34"/>
      <c r="J164" s="5"/>
    </row>
    <row r="165" spans="2:10" ht="25" customHeight="1">
      <c r="B165" s="34"/>
      <c r="C165" s="34"/>
      <c r="D165" s="34"/>
      <c r="E165" s="34"/>
      <c r="F165" s="34"/>
      <c r="G165" s="1"/>
      <c r="H165" s="1"/>
      <c r="I165" s="34"/>
      <c r="J165" s="5"/>
    </row>
    <row r="166" spans="2:10" ht="25" customHeight="1">
      <c r="B166" s="34"/>
      <c r="C166" s="34"/>
      <c r="D166" s="34"/>
      <c r="E166" s="34"/>
      <c r="F166" s="34"/>
      <c r="G166" s="1"/>
      <c r="H166" s="1"/>
      <c r="I166" s="34"/>
      <c r="J166" s="5"/>
    </row>
    <row r="167" spans="2:10" ht="25" customHeight="1">
      <c r="B167" s="34"/>
      <c r="C167" s="34"/>
      <c r="D167" s="34"/>
      <c r="E167" s="34"/>
      <c r="F167" s="34"/>
      <c r="G167" s="1"/>
      <c r="H167" s="1"/>
      <c r="I167" s="34"/>
      <c r="J167" s="5"/>
    </row>
    <row r="168" spans="2:10" ht="25" customHeight="1">
      <c r="B168" s="34"/>
      <c r="C168" s="34"/>
      <c r="D168" s="34"/>
      <c r="E168" s="34"/>
      <c r="F168" s="34"/>
      <c r="G168" s="1"/>
      <c r="H168" s="1"/>
      <c r="I168" s="34"/>
      <c r="J168" s="5"/>
    </row>
    <row r="169" spans="2:10" ht="25" customHeight="1">
      <c r="B169" s="34"/>
      <c r="C169" s="34"/>
      <c r="D169" s="34"/>
      <c r="E169" s="34"/>
      <c r="F169" s="34"/>
      <c r="G169" s="1"/>
      <c r="H169" s="1"/>
      <c r="I169" s="34"/>
      <c r="J169" s="5"/>
    </row>
    <row r="170" spans="2:10" ht="25" customHeight="1">
      <c r="B170" s="34"/>
      <c r="C170" s="34"/>
      <c r="D170" s="34"/>
      <c r="E170" s="34"/>
      <c r="F170" s="34"/>
      <c r="G170" s="1"/>
      <c r="H170" s="1"/>
      <c r="I170" s="34"/>
      <c r="J170" s="5"/>
    </row>
    <row r="171" spans="2:10" ht="25" customHeight="1">
      <c r="B171" s="34"/>
      <c r="C171" s="34"/>
      <c r="D171" s="34"/>
      <c r="E171" s="34"/>
      <c r="F171" s="34"/>
      <c r="G171" s="1"/>
      <c r="H171" s="1"/>
      <c r="I171" s="34"/>
      <c r="J171" s="5"/>
    </row>
    <row r="172" spans="2:10" ht="25" customHeight="1">
      <c r="B172" s="34"/>
      <c r="C172" s="34"/>
      <c r="D172" s="34"/>
      <c r="E172" s="34"/>
      <c r="F172" s="34"/>
      <c r="G172" s="1"/>
      <c r="H172" s="1"/>
      <c r="I172" s="34"/>
      <c r="J172" s="5"/>
    </row>
    <row r="173" spans="2:10" ht="25" customHeight="1">
      <c r="B173" s="34"/>
      <c r="C173" s="34"/>
      <c r="D173" s="34"/>
      <c r="E173" s="34"/>
      <c r="F173" s="34"/>
      <c r="G173" s="1"/>
      <c r="H173" s="1"/>
      <c r="I173" s="34"/>
      <c r="J173" s="5"/>
    </row>
    <row r="174" spans="2:10" ht="25" customHeight="1">
      <c r="B174" s="34"/>
      <c r="C174" s="34"/>
      <c r="D174" s="34"/>
      <c r="E174" s="34"/>
      <c r="F174" s="34"/>
      <c r="G174" s="1"/>
      <c r="H174" s="1"/>
      <c r="I174" s="34"/>
      <c r="J174" s="5"/>
    </row>
    <row r="175" spans="2:10" ht="25" customHeight="1">
      <c r="B175" s="34"/>
      <c r="C175" s="34"/>
      <c r="D175" s="34"/>
      <c r="E175" s="34"/>
      <c r="F175" s="34"/>
      <c r="G175" s="1"/>
      <c r="H175" s="1"/>
      <c r="I175" s="34"/>
      <c r="J175" s="5"/>
    </row>
    <row r="176" spans="2:10" ht="25" customHeight="1">
      <c r="B176" s="34"/>
      <c r="C176" s="34"/>
      <c r="D176" s="34"/>
      <c r="E176" s="34"/>
      <c r="F176" s="34"/>
      <c r="G176" s="1"/>
      <c r="H176" s="1"/>
      <c r="I176" s="34"/>
      <c r="J176" s="5"/>
    </row>
    <row r="177" spans="2:10" ht="25" customHeight="1">
      <c r="B177" s="34"/>
      <c r="C177" s="34"/>
      <c r="D177" s="34"/>
      <c r="E177" s="34"/>
      <c r="F177" s="34"/>
      <c r="G177" s="1"/>
      <c r="H177" s="1"/>
      <c r="I177" s="34"/>
      <c r="J177" s="5"/>
    </row>
    <row r="178" spans="2:10" ht="25" customHeight="1">
      <c r="B178" s="34"/>
      <c r="C178" s="34"/>
      <c r="D178" s="34"/>
      <c r="E178" s="34"/>
      <c r="F178" s="34"/>
      <c r="G178" s="1"/>
      <c r="H178" s="1"/>
      <c r="I178" s="34"/>
      <c r="J178" s="5"/>
    </row>
    <row r="179" spans="2:10" ht="25" customHeight="1">
      <c r="B179" s="34"/>
      <c r="C179" s="34"/>
      <c r="D179" s="34"/>
      <c r="E179" s="34"/>
      <c r="F179" s="34"/>
      <c r="G179" s="1"/>
      <c r="H179" s="1"/>
      <c r="I179" s="34"/>
      <c r="J179" s="5"/>
    </row>
    <row r="180" spans="2:10" ht="25" customHeight="1">
      <c r="B180" s="34"/>
      <c r="C180" s="34"/>
      <c r="D180" s="34"/>
      <c r="E180" s="34"/>
      <c r="F180" s="34"/>
      <c r="G180" s="1"/>
      <c r="H180" s="1"/>
      <c r="I180" s="34"/>
      <c r="J180" s="5"/>
    </row>
    <row r="181" spans="2:10" ht="25" customHeight="1">
      <c r="B181" s="34"/>
      <c r="C181" s="34"/>
      <c r="D181" s="34"/>
      <c r="E181" s="34"/>
      <c r="F181" s="34"/>
      <c r="G181" s="1"/>
      <c r="H181" s="1"/>
      <c r="I181" s="34"/>
      <c r="J181" s="5"/>
    </row>
    <row r="182" spans="2:10" ht="25" customHeight="1">
      <c r="B182" s="34"/>
      <c r="C182" s="34"/>
      <c r="D182" s="34"/>
      <c r="E182" s="34"/>
      <c r="F182" s="34"/>
      <c r="G182" s="1"/>
      <c r="H182" s="1"/>
      <c r="I182" s="34"/>
      <c r="J182" s="5"/>
    </row>
    <row r="183" spans="2:10" ht="25" customHeight="1">
      <c r="B183" s="34"/>
      <c r="C183" s="34"/>
      <c r="D183" s="34"/>
      <c r="E183" s="34"/>
      <c r="F183" s="34"/>
      <c r="G183" s="1"/>
      <c r="H183" s="1"/>
      <c r="I183" s="34"/>
      <c r="J183" s="5"/>
    </row>
    <row r="184" spans="2:10" ht="25" customHeight="1">
      <c r="B184" s="34"/>
      <c r="C184" s="34"/>
      <c r="D184" s="34"/>
      <c r="E184" s="34"/>
      <c r="F184" s="34"/>
      <c r="G184" s="1"/>
      <c r="H184" s="1"/>
      <c r="I184" s="34"/>
      <c r="J184" s="5"/>
    </row>
    <row r="185" spans="2:10" ht="25" customHeight="1">
      <c r="B185" s="34"/>
      <c r="C185" s="34"/>
      <c r="D185" s="34"/>
      <c r="E185" s="34"/>
      <c r="F185" s="34"/>
      <c r="G185" s="1"/>
      <c r="H185" s="1"/>
      <c r="I185" s="34"/>
      <c r="J185" s="5"/>
    </row>
    <row r="186" spans="2:10" ht="25" customHeight="1">
      <c r="B186" s="34"/>
      <c r="C186" s="34"/>
      <c r="D186" s="34"/>
      <c r="E186" s="34"/>
      <c r="F186" s="34"/>
      <c r="G186" s="1"/>
      <c r="H186" s="1"/>
      <c r="I186" s="34"/>
      <c r="J186" s="5"/>
    </row>
    <row r="187" spans="2:10" ht="25" customHeight="1">
      <c r="B187" s="34"/>
      <c r="C187" s="34"/>
      <c r="D187" s="34"/>
      <c r="E187" s="34"/>
      <c r="F187" s="34"/>
      <c r="G187" s="1"/>
      <c r="H187" s="1"/>
      <c r="I187" s="34"/>
      <c r="J187" s="5"/>
    </row>
    <row r="188" spans="2:10" ht="25" customHeight="1">
      <c r="B188" s="34"/>
      <c r="C188" s="34"/>
      <c r="D188" s="34"/>
      <c r="E188" s="34"/>
      <c r="F188" s="34"/>
      <c r="G188" s="1"/>
      <c r="H188" s="1"/>
      <c r="I188" s="34"/>
      <c r="J188" s="5"/>
    </row>
    <row r="189" spans="2:10" ht="25" customHeight="1">
      <c r="B189" s="34"/>
      <c r="C189" s="34"/>
      <c r="D189" s="34"/>
      <c r="E189" s="34"/>
      <c r="F189" s="34"/>
      <c r="G189" s="1"/>
      <c r="H189" s="1"/>
      <c r="I189" s="34"/>
      <c r="J189" s="5"/>
    </row>
    <row r="190" spans="2:10" ht="25" customHeight="1">
      <c r="B190" s="34"/>
      <c r="C190" s="34"/>
      <c r="D190" s="34"/>
      <c r="E190" s="34"/>
      <c r="F190" s="34"/>
      <c r="G190" s="1"/>
      <c r="H190" s="1"/>
      <c r="I190" s="34"/>
      <c r="J190" s="5"/>
    </row>
    <row r="191" spans="2:10" ht="25" customHeight="1">
      <c r="B191" s="34"/>
      <c r="C191" s="34"/>
      <c r="D191" s="34"/>
      <c r="E191" s="34"/>
      <c r="F191" s="34"/>
      <c r="G191" s="1"/>
      <c r="H191" s="1"/>
      <c r="I191" s="34"/>
      <c r="J191" s="5"/>
    </row>
    <row r="192" spans="2:10" ht="25" customHeight="1">
      <c r="B192" s="34"/>
      <c r="C192" s="34"/>
      <c r="D192" s="34"/>
      <c r="E192" s="34"/>
      <c r="F192" s="34"/>
      <c r="G192" s="1"/>
      <c r="H192" s="1"/>
      <c r="I192" s="34"/>
      <c r="J192" s="5"/>
    </row>
    <row r="193" spans="2:10" ht="25" customHeight="1">
      <c r="B193" s="34"/>
      <c r="C193" s="34"/>
      <c r="D193" s="34"/>
      <c r="E193" s="34"/>
      <c r="F193" s="34"/>
      <c r="G193" s="1"/>
      <c r="H193" s="1"/>
      <c r="I193" s="34"/>
      <c r="J193" s="5"/>
    </row>
    <row r="194" spans="2:10" ht="25" customHeight="1">
      <c r="B194" s="34"/>
      <c r="C194" s="34"/>
      <c r="D194" s="34"/>
      <c r="E194" s="34"/>
      <c r="F194" s="34"/>
      <c r="G194" s="1"/>
      <c r="H194" s="1"/>
      <c r="I194" s="34"/>
      <c r="J194" s="5"/>
    </row>
    <row r="195" spans="2:10" ht="25" customHeight="1">
      <c r="B195" s="34"/>
      <c r="C195" s="34"/>
      <c r="D195" s="34"/>
      <c r="E195" s="34"/>
      <c r="F195" s="34"/>
      <c r="G195" s="1"/>
      <c r="H195" s="1"/>
      <c r="I195" s="34"/>
      <c r="J195" s="34"/>
    </row>
    <row r="196" spans="2:10" ht="25" customHeight="1">
      <c r="B196" s="34"/>
      <c r="C196" s="34"/>
      <c r="D196" s="34"/>
      <c r="E196" s="34"/>
      <c r="F196" s="34"/>
      <c r="G196" s="1"/>
      <c r="H196" s="1"/>
      <c r="I196" s="34"/>
      <c r="J196" s="34"/>
    </row>
    <row r="197" spans="2:10" ht="25" customHeight="1">
      <c r="B197" s="34"/>
      <c r="C197" s="34"/>
      <c r="D197" s="34"/>
      <c r="E197" s="34"/>
      <c r="F197" s="34"/>
      <c r="I197" s="34"/>
      <c r="J197" s="34"/>
    </row>
    <row r="198" spans="2:10" ht="25" customHeight="1">
      <c r="B198" s="34"/>
      <c r="C198" s="34"/>
      <c r="D198" s="34"/>
      <c r="E198" s="34"/>
      <c r="F198" s="34"/>
      <c r="I198" s="34"/>
      <c r="J198" s="34"/>
    </row>
    <row r="199" spans="2:10" ht="25" customHeight="1">
      <c r="B199" s="34"/>
      <c r="C199" s="34"/>
      <c r="D199" s="34"/>
      <c r="E199" s="34"/>
      <c r="F199" s="34"/>
      <c r="I199" s="34"/>
      <c r="J199" s="34"/>
    </row>
    <row r="200" spans="2:10" ht="25" customHeight="1">
      <c r="B200" s="34"/>
      <c r="C200" s="34"/>
      <c r="D200" s="34"/>
      <c r="E200" s="34"/>
      <c r="F200" s="34"/>
      <c r="I200" s="34"/>
      <c r="J200" s="34"/>
    </row>
    <row r="201" spans="2:10" ht="25" customHeight="1">
      <c r="B201" s="34"/>
      <c r="C201" s="34"/>
      <c r="D201" s="34"/>
      <c r="E201" s="34"/>
      <c r="F201" s="34"/>
      <c r="I201" s="34"/>
      <c r="J201" s="34"/>
    </row>
    <row r="202" spans="2:10" ht="25" customHeight="1">
      <c r="B202" s="34"/>
      <c r="C202" s="34"/>
      <c r="D202" s="34"/>
      <c r="E202" s="34"/>
      <c r="F202" s="34"/>
      <c r="I202" s="34"/>
      <c r="J202" s="34"/>
    </row>
    <row r="203" spans="2:10" ht="25" customHeight="1">
      <c r="B203" s="34"/>
      <c r="C203" s="34"/>
      <c r="D203" s="34"/>
      <c r="E203" s="34"/>
      <c r="F203" s="34"/>
      <c r="I203" s="34"/>
      <c r="J203" s="34"/>
    </row>
    <row r="204" spans="2:10" ht="25" customHeight="1">
      <c r="B204" s="34"/>
      <c r="C204" s="34"/>
      <c r="D204" s="34"/>
      <c r="E204" s="34"/>
      <c r="F204" s="34"/>
      <c r="I204" s="34"/>
      <c r="J204" s="34"/>
    </row>
    <row r="205" spans="2:10" ht="25" customHeight="1">
      <c r="B205" s="34"/>
      <c r="C205" s="34"/>
      <c r="D205" s="34"/>
      <c r="E205" s="34"/>
      <c r="F205" s="34"/>
      <c r="I205" s="34"/>
      <c r="J205" s="34"/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9975-E42E-1348-87DB-24EC912FC603}">
  <dimension ref="A1:S70"/>
  <sheetViews>
    <sheetView showGridLines="0" zoomScale="125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21" sqref="G21"/>
    </sheetView>
  </sheetViews>
  <sheetFormatPr baseColWidth="10" defaultRowHeight="13"/>
  <cols>
    <col min="1" max="1" width="30.83203125" style="1" customWidth="1"/>
    <col min="2" max="8" width="15.83203125" style="1" customWidth="1"/>
    <col min="9" max="9" width="10.1640625" style="1" customWidth="1"/>
    <col min="10" max="10" width="35.83203125" style="1" customWidth="1"/>
    <col min="11" max="11" width="15.83203125" style="1" customWidth="1"/>
    <col min="12" max="12" width="7.83203125" style="1" customWidth="1"/>
    <col min="13" max="16384" width="10.83203125" style="1"/>
  </cols>
  <sheetData>
    <row r="1" spans="1:19" ht="60" customHeight="1">
      <c r="A1" s="306" t="s">
        <v>97</v>
      </c>
      <c r="B1" s="307"/>
      <c r="C1" s="307"/>
      <c r="D1" s="307"/>
      <c r="E1" s="307"/>
      <c r="F1" s="307"/>
      <c r="G1" s="307"/>
      <c r="H1" s="308"/>
    </row>
    <row r="2" spans="1:19" s="2" customFormat="1" ht="25" customHeight="1">
      <c r="A2" s="14" t="s">
        <v>79</v>
      </c>
      <c r="B2" s="9">
        <v>2019</v>
      </c>
      <c r="C2" s="9">
        <v>2020</v>
      </c>
      <c r="D2" s="9">
        <v>2021</v>
      </c>
      <c r="E2" s="9">
        <v>2022</v>
      </c>
      <c r="F2" s="9">
        <v>2023</v>
      </c>
      <c r="G2" s="9">
        <v>2024</v>
      </c>
      <c r="H2" s="9">
        <v>2025</v>
      </c>
      <c r="J2" s="80" t="s">
        <v>80</v>
      </c>
      <c r="K2" s="80" t="s">
        <v>105</v>
      </c>
      <c r="L2" s="81" t="s">
        <v>96</v>
      </c>
      <c r="M2" s="4">
        <f t="shared" ref="M2:S2" si="0">B2</f>
        <v>2019</v>
      </c>
      <c r="N2" s="4">
        <f t="shared" si="0"/>
        <v>2020</v>
      </c>
      <c r="O2" s="4">
        <f t="shared" si="0"/>
        <v>2021</v>
      </c>
      <c r="P2" s="4">
        <f t="shared" si="0"/>
        <v>2022</v>
      </c>
      <c r="Q2" s="4">
        <f t="shared" si="0"/>
        <v>2023</v>
      </c>
      <c r="R2" s="1">
        <f t="shared" si="0"/>
        <v>2024</v>
      </c>
      <c r="S2" s="1">
        <f t="shared" si="0"/>
        <v>2025</v>
      </c>
    </row>
    <row r="3" spans="1:19" s="2" customFormat="1" ht="20" customHeight="1">
      <c r="A3" s="188" t="s">
        <v>171</v>
      </c>
      <c r="B3" s="111">
        <f>('Balanço Patrimonial'!B27/-DRE!D32)*360</f>
        <v>64.97643005308791</v>
      </c>
      <c r="C3" s="111">
        <f>('Balanço Patrimonial'!C27/-DRE!E32)*360</f>
        <v>111.12685476089251</v>
      </c>
      <c r="D3" s="111">
        <f>('Balanço Patrimonial'!D27/-DRE!F32)*360</f>
        <v>135.93429848154284</v>
      </c>
      <c r="E3" s="111">
        <f>('Balanço Patrimonial'!E27/-DRE!G32)*360</f>
        <v>141.75592873917338</v>
      </c>
      <c r="F3" s="111">
        <f>('Balanço Patrimonial'!F27/-DRE!H32)*360</f>
        <v>186.89369069689747</v>
      </c>
      <c r="G3" s="111">
        <f>('Balanço Patrimonial'!G27/(-DRE!I32)*360)</f>
        <v>89.531004952157943</v>
      </c>
      <c r="H3" s="111">
        <f>G3</f>
        <v>89.531004952157943</v>
      </c>
      <c r="J3" s="317" t="s">
        <v>51</v>
      </c>
      <c r="K3" s="319" t="s">
        <v>53</v>
      </c>
      <c r="L3" s="314"/>
      <c r="M3" s="117">
        <v>60</v>
      </c>
      <c r="N3" s="118">
        <v>60</v>
      </c>
      <c r="O3" s="118">
        <v>90</v>
      </c>
      <c r="P3" s="118">
        <v>90</v>
      </c>
      <c r="Q3" s="118">
        <v>90</v>
      </c>
      <c r="R3" s="118">
        <v>120</v>
      </c>
      <c r="S3" s="118">
        <v>90</v>
      </c>
    </row>
    <row r="4" spans="1:19" s="2" customFormat="1" ht="10" customHeight="1">
      <c r="A4" s="139" t="s">
        <v>195</v>
      </c>
      <c r="B4" s="112">
        <v>0</v>
      </c>
      <c r="C4" s="112">
        <f>C3/B3-1</f>
        <v>0.71026408607087466</v>
      </c>
      <c r="D4" s="112">
        <f>D3/C3-1</f>
        <v>0.22323536263153998</v>
      </c>
      <c r="E4" s="112">
        <f>E3/D3-1</f>
        <v>4.2826794434231763E-2</v>
      </c>
      <c r="F4" s="112">
        <f>F3/E3-1</f>
        <v>0.31841886515220263</v>
      </c>
      <c r="G4" s="112">
        <f>G3/F3-1</f>
        <v>-0.52095223429795423</v>
      </c>
      <c r="H4" s="112">
        <f>H3/F3-1</f>
        <v>-0.52095223429795423</v>
      </c>
      <c r="J4" s="318"/>
      <c r="K4" s="320"/>
      <c r="L4" s="315"/>
      <c r="M4" s="119"/>
      <c r="N4" s="119"/>
      <c r="O4" s="119"/>
      <c r="P4" s="119"/>
      <c r="Q4" s="119"/>
      <c r="R4" s="119"/>
      <c r="S4" s="119"/>
    </row>
    <row r="5" spans="1:19" s="2" customFormat="1" ht="20" customHeight="1">
      <c r="A5" s="188" t="s">
        <v>172</v>
      </c>
      <c r="B5" s="111">
        <f>('Balanço Patrimonial'!B15)/DRE!D26*360</f>
        <v>116.67949441160731</v>
      </c>
      <c r="C5" s="111">
        <f>('Balanço Patrimonial'!C15)/DRE!E26*360</f>
        <v>153.28345165866295</v>
      </c>
      <c r="D5" s="111">
        <f>('Balanço Patrimonial'!D15)/DRE!F26*360</f>
        <v>100.20827113422222</v>
      </c>
      <c r="E5" s="111">
        <f>('Balanço Patrimonial'!E15)/DRE!G26*360</f>
        <v>122.75860032124721</v>
      </c>
      <c r="F5" s="111">
        <f>('Balanço Patrimonial'!F15)/DRE!H26*360</f>
        <v>127.4835718018354</v>
      </c>
      <c r="G5" s="111">
        <f>('Balanço Patrimonial'!G15)/DRE!I26*360</f>
        <v>137.8649330324277</v>
      </c>
      <c r="H5" s="111">
        <f>('Balanço Patrimonial'!H15)/DRE!J26*360</f>
        <v>2469.2570529343557</v>
      </c>
      <c r="I5" s="109"/>
      <c r="J5" s="317" t="s">
        <v>55</v>
      </c>
      <c r="K5" s="319" t="s">
        <v>56</v>
      </c>
      <c r="L5" s="314"/>
      <c r="M5" s="111">
        <v>90</v>
      </c>
      <c r="N5" s="111">
        <v>90</v>
      </c>
      <c r="O5" s="111">
        <v>90</v>
      </c>
      <c r="P5" s="111">
        <v>90</v>
      </c>
      <c r="Q5" s="111">
        <v>90</v>
      </c>
      <c r="R5" s="111">
        <v>90</v>
      </c>
      <c r="S5" s="111">
        <v>90</v>
      </c>
    </row>
    <row r="6" spans="1:19" s="2" customFormat="1" ht="10" customHeight="1">
      <c r="A6" s="139" t="s">
        <v>195</v>
      </c>
      <c r="B6" s="112">
        <v>0</v>
      </c>
      <c r="C6" s="112">
        <f>C5/B5-1</f>
        <v>0.31371371149354488</v>
      </c>
      <c r="D6" s="112">
        <f>D5/C5-1</f>
        <v>-0.34625512376006795</v>
      </c>
      <c r="E6" s="112">
        <f>E5/D5-1</f>
        <v>0.22503460973615996</v>
      </c>
      <c r="F6" s="112">
        <f>F5/E5-1</f>
        <v>3.8489942604619021E-2</v>
      </c>
      <c r="G6" s="112">
        <f>G5/F5-1</f>
        <v>8.1432933544797637E-2</v>
      </c>
      <c r="H6" s="112">
        <f>H5/F5-1</f>
        <v>18.369217680632993</v>
      </c>
      <c r="J6" s="318"/>
      <c r="K6" s="320"/>
      <c r="L6" s="315"/>
      <c r="M6" s="119"/>
      <c r="N6" s="119"/>
      <c r="O6" s="119"/>
      <c r="P6" s="119"/>
      <c r="Q6" s="119"/>
      <c r="R6" s="119"/>
      <c r="S6" s="119"/>
    </row>
    <row r="7" spans="1:19" s="2" customFormat="1" ht="20" customHeight="1">
      <c r="A7" s="188" t="s">
        <v>173</v>
      </c>
      <c r="B7" s="116">
        <v>90</v>
      </c>
      <c r="C7" s="111">
        <f>('Balanço Patrimonial'!C57)/(-DRE!E32-'Balanço Patrimonial'!B27+'Balanço Patrimonial'!C27)*360</f>
        <v>156.37613104070462</v>
      </c>
      <c r="D7" s="111">
        <f>('Balanço Patrimonial'!D57)/(-DRE!F32-'Balanço Patrimonial'!C27+'Balanço Patrimonial'!D27)*360</f>
        <v>102.83215171823906</v>
      </c>
      <c r="E7" s="111">
        <f>('Balanço Patrimonial'!E57)/(-DRE!G32-'Balanço Patrimonial'!D27+'Balanço Patrimonial'!E27)*360</f>
        <v>97.52847575557071</v>
      </c>
      <c r="F7" s="111">
        <f>('Balanço Patrimonial'!F57)/(-DRE!H32-'Balanço Patrimonial'!E27+'Balanço Patrimonial'!F27)*360</f>
        <v>148.62694490112531</v>
      </c>
      <c r="G7" s="111">
        <f>('Balanço Patrimonial'!G57)/(-DRE!I32-'Balanço Patrimonial'!F27+'Balanço Patrimonial'!G27)*360</f>
        <v>172.17471178763017</v>
      </c>
      <c r="H7" s="111">
        <f>G7</f>
        <v>172.17471178763017</v>
      </c>
      <c r="I7" s="109"/>
      <c r="J7" s="317" t="s">
        <v>52</v>
      </c>
      <c r="K7" s="319" t="s">
        <v>54</v>
      </c>
      <c r="L7" s="314"/>
      <c r="M7" s="111">
        <v>60</v>
      </c>
      <c r="N7" s="111">
        <v>60</v>
      </c>
      <c r="O7" s="111">
        <v>60</v>
      </c>
      <c r="P7" s="111">
        <v>60</v>
      </c>
      <c r="Q7" s="111">
        <v>60</v>
      </c>
      <c r="R7" s="111">
        <v>60</v>
      </c>
      <c r="S7" s="111">
        <v>60</v>
      </c>
    </row>
    <row r="8" spans="1:19" s="2" customFormat="1" ht="10" customHeight="1">
      <c r="A8" s="139" t="s">
        <v>195</v>
      </c>
      <c r="B8" s="112">
        <v>0</v>
      </c>
      <c r="C8" s="112">
        <f>C7/B7-1</f>
        <v>0.7375125671189402</v>
      </c>
      <c r="D8" s="112">
        <f>D7/C7-1</f>
        <v>-0.34240506505771073</v>
      </c>
      <c r="E8" s="112">
        <f>E7/D7-1</f>
        <v>-5.1576047705395367E-2</v>
      </c>
      <c r="F8" s="112">
        <f>F7/E7-1</f>
        <v>0.52393384342045279</v>
      </c>
      <c r="G8" s="112">
        <f>G7/F7-1</f>
        <v>0.15843538264323542</v>
      </c>
      <c r="H8" s="112">
        <f>H7/F7-1</f>
        <v>0.15843538264323542</v>
      </c>
      <c r="J8" s="318"/>
      <c r="K8" s="320"/>
      <c r="L8" s="315"/>
      <c r="M8" s="120"/>
      <c r="N8" s="120"/>
      <c r="O8" s="120"/>
      <c r="P8" s="120"/>
      <c r="Q8" s="120"/>
      <c r="R8" s="120"/>
      <c r="S8" s="120"/>
    </row>
    <row r="9" spans="1:19" s="2" customFormat="1" ht="20" customHeight="1">
      <c r="A9" s="188" t="s">
        <v>174</v>
      </c>
      <c r="B9" s="111">
        <f>'Indicadores FC e AT'!B3+B5</f>
        <v>181.6559244646952</v>
      </c>
      <c r="C9" s="111">
        <f>'Indicadores FC e AT'!C3+C5</f>
        <v>264.41030641955547</v>
      </c>
      <c r="D9" s="111">
        <f>'Indicadores FC e AT'!D3+D5</f>
        <v>236.14256961576507</v>
      </c>
      <c r="E9" s="111">
        <f>'Indicadores FC e AT'!E3+E5</f>
        <v>264.51452906042061</v>
      </c>
      <c r="F9" s="111">
        <f>'Indicadores FC e AT'!F3+F5</f>
        <v>314.37726249873288</v>
      </c>
      <c r="G9" s="111">
        <f>'Indicadores FC e AT'!G3+G5</f>
        <v>227.39593798458566</v>
      </c>
      <c r="H9" s="111">
        <f>'Indicadores FC e AT'!H3+H5</f>
        <v>2558.7880578865138</v>
      </c>
      <c r="I9" s="109"/>
      <c r="J9" s="317" t="s">
        <v>60</v>
      </c>
      <c r="K9" s="319" t="s">
        <v>58</v>
      </c>
      <c r="L9" s="314"/>
      <c r="M9" s="111">
        <f t="shared" ref="M9:S9" si="1">M3+M5</f>
        <v>150</v>
      </c>
      <c r="N9" s="111">
        <f t="shared" si="1"/>
        <v>150</v>
      </c>
      <c r="O9" s="111">
        <f t="shared" si="1"/>
        <v>180</v>
      </c>
      <c r="P9" s="111">
        <f t="shared" si="1"/>
        <v>180</v>
      </c>
      <c r="Q9" s="111">
        <f t="shared" si="1"/>
        <v>180</v>
      </c>
      <c r="R9" s="111">
        <f>R3+R5</f>
        <v>210</v>
      </c>
      <c r="S9" s="111">
        <f t="shared" si="1"/>
        <v>180</v>
      </c>
    </row>
    <row r="10" spans="1:19" s="2" customFormat="1" ht="10" customHeight="1">
      <c r="A10" s="139" t="s">
        <v>195</v>
      </c>
      <c r="B10" s="112">
        <v>0</v>
      </c>
      <c r="C10" s="112">
        <f>C9/B9-1</f>
        <v>0.45555564564558737</v>
      </c>
      <c r="D10" s="112">
        <f>D9/C9-1</f>
        <v>-0.10690860423169857</v>
      </c>
      <c r="E10" s="112">
        <f>E9/D9-1</f>
        <v>0.12014758495607314</v>
      </c>
      <c r="F10" s="112">
        <f>F9/E9-1</f>
        <v>0.18850659589637364</v>
      </c>
      <c r="G10" s="112">
        <f>G9/F9-1</f>
        <v>-0.27667816629867692</v>
      </c>
      <c r="H10" s="112">
        <f>H9/F9-1</f>
        <v>7.1392274923089492</v>
      </c>
      <c r="J10" s="318"/>
      <c r="K10" s="320"/>
      <c r="L10" s="315"/>
      <c r="M10" s="119"/>
      <c r="N10" s="119"/>
      <c r="O10" s="119"/>
      <c r="P10" s="119"/>
      <c r="Q10" s="119"/>
      <c r="R10" s="119"/>
      <c r="S10" s="119"/>
    </row>
    <row r="11" spans="1:19" s="2" customFormat="1" ht="20" customHeight="1">
      <c r="A11" s="188" t="s">
        <v>175</v>
      </c>
      <c r="B11" s="116">
        <f>B5+'Indicadores FC e AT'!B3-B7</f>
        <v>91.655924464695204</v>
      </c>
      <c r="C11" s="111">
        <f>C5+'Indicadores FC e AT'!C3-C7</f>
        <v>108.03417537885085</v>
      </c>
      <c r="D11" s="111">
        <f>D5+'Indicadores FC e AT'!D3-D7</f>
        <v>133.31041789752601</v>
      </c>
      <c r="E11" s="111">
        <f>E5+'Indicadores FC e AT'!E3-E7</f>
        <v>166.98605330484992</v>
      </c>
      <c r="F11" s="111">
        <f>F5+'Indicadores FC e AT'!F3-F7</f>
        <v>165.75031759760756</v>
      </c>
      <c r="G11" s="111">
        <f>G5+'Indicadores FC e AT'!G3-G7</f>
        <v>55.221226196955485</v>
      </c>
      <c r="H11" s="111">
        <f>H5+'Indicadores FC e AT'!H3-H7</f>
        <v>2386.6133460988835</v>
      </c>
      <c r="I11" s="109"/>
      <c r="J11" s="317" t="s">
        <v>59</v>
      </c>
      <c r="K11" s="319" t="s">
        <v>57</v>
      </c>
      <c r="L11" s="314"/>
      <c r="M11" s="111">
        <f t="shared" ref="M11:S11" si="2">M3-M7</f>
        <v>0</v>
      </c>
      <c r="N11" s="111">
        <f t="shared" si="2"/>
        <v>0</v>
      </c>
      <c r="O11" s="111">
        <f t="shared" si="2"/>
        <v>30</v>
      </c>
      <c r="P11" s="111">
        <f t="shared" si="2"/>
        <v>30</v>
      </c>
      <c r="Q11" s="111">
        <f t="shared" si="2"/>
        <v>30</v>
      </c>
      <c r="R11" s="111">
        <f>R3-R7</f>
        <v>60</v>
      </c>
      <c r="S11" s="111">
        <f t="shared" si="2"/>
        <v>30</v>
      </c>
    </row>
    <row r="12" spans="1:19" s="2" customFormat="1" ht="10" customHeight="1">
      <c r="A12" s="139" t="s">
        <v>195</v>
      </c>
      <c r="B12" s="112">
        <v>0</v>
      </c>
      <c r="C12" s="112">
        <f>C11/B11-1</f>
        <v>0.17869276874147233</v>
      </c>
      <c r="D12" s="112">
        <f>D11/C11-1</f>
        <v>0.23396524692336684</v>
      </c>
      <c r="E12" s="112">
        <f>E11/D11-1</f>
        <v>0.25261068068371029</v>
      </c>
      <c r="F12" s="112">
        <f>F11/E11-1</f>
        <v>-7.4002330301584651E-3</v>
      </c>
      <c r="G12" s="112">
        <f>G11/F11-1</f>
        <v>-0.6668409026460137</v>
      </c>
      <c r="H12" s="112">
        <f>H11/F11-1</f>
        <v>13.398846292969829</v>
      </c>
      <c r="J12" s="318"/>
      <c r="K12" s="320"/>
      <c r="L12" s="315"/>
      <c r="M12" s="119"/>
      <c r="N12" s="119"/>
      <c r="O12" s="119"/>
      <c r="P12" s="119"/>
      <c r="Q12" s="119"/>
      <c r="R12" s="119"/>
      <c r="S12" s="119"/>
    </row>
    <row r="13" spans="1:19" s="2" customFormat="1" ht="20" customHeight="1">
      <c r="A13" s="188" t="s">
        <v>176</v>
      </c>
      <c r="B13" s="115">
        <f t="shared" ref="B13:F13" si="3">365/B11</f>
        <v>3.9822848564534827</v>
      </c>
      <c r="C13" s="115">
        <f t="shared" si="3"/>
        <v>3.3785605223535007</v>
      </c>
      <c r="D13" s="115">
        <f t="shared" si="3"/>
        <v>2.7379705634151623</v>
      </c>
      <c r="E13" s="115">
        <f t="shared" si="3"/>
        <v>2.1858112864890318</v>
      </c>
      <c r="F13" s="115">
        <f t="shared" si="3"/>
        <v>2.202107394364766</v>
      </c>
      <c r="G13" s="115">
        <f>365/G11</f>
        <v>6.6097771660876949</v>
      </c>
      <c r="H13" s="115">
        <f>365/H11</f>
        <v>0.15293637764852971</v>
      </c>
      <c r="I13" s="109"/>
      <c r="J13" s="317" t="s">
        <v>113</v>
      </c>
      <c r="K13" s="319" t="s">
        <v>114</v>
      </c>
      <c r="L13" s="314">
        <v>6</v>
      </c>
      <c r="M13" s="121">
        <v>6</v>
      </c>
      <c r="N13" s="121">
        <v>6</v>
      </c>
      <c r="O13" s="121">
        <v>6</v>
      </c>
      <c r="P13" s="121">
        <v>6</v>
      </c>
      <c r="Q13" s="121">
        <v>6</v>
      </c>
      <c r="R13" s="121">
        <v>6</v>
      </c>
      <c r="S13" s="121">
        <v>6</v>
      </c>
    </row>
    <row r="14" spans="1:19" s="2" customFormat="1" ht="10" customHeight="1">
      <c r="A14" s="139" t="s">
        <v>195</v>
      </c>
      <c r="B14" s="112">
        <v>0</v>
      </c>
      <c r="C14" s="112">
        <f>C13/B13-1</f>
        <v>-0.15160249853086671</v>
      </c>
      <c r="D14" s="112">
        <f>D13/C13-1</f>
        <v>-0.1896044053969187</v>
      </c>
      <c r="E14" s="112">
        <f>E13/D13-1</f>
        <v>-0.20166735329594043</v>
      </c>
      <c r="F14" s="112">
        <f>F13/E13-1</f>
        <v>7.4554047627368725E-3</v>
      </c>
      <c r="G14" s="112">
        <f>G13/F13-1</f>
        <v>2.0015689439135613</v>
      </c>
      <c r="H14" s="112">
        <f>H13/F13-1</f>
        <v>-0.93054999132199601</v>
      </c>
      <c r="J14" s="318"/>
      <c r="K14" s="320"/>
      <c r="L14" s="315"/>
      <c r="M14" s="119"/>
      <c r="N14" s="119"/>
      <c r="O14" s="119"/>
      <c r="P14" s="119"/>
      <c r="Q14" s="119"/>
      <c r="R14" s="119"/>
      <c r="S14" s="119"/>
    </row>
    <row r="15" spans="1:19" s="2" customFormat="1" ht="20" customHeight="1">
      <c r="A15" s="188" t="s">
        <v>177</v>
      </c>
      <c r="B15" s="113">
        <f>('Balanço Patrimonial'!B3-'Balanço Patrimonial'!B54)</f>
        <v>7354356.7700000014</v>
      </c>
      <c r="C15" s="113">
        <f>('Balanço Patrimonial'!C3-'Balanço Patrimonial'!C54)</f>
        <v>15200189.109999996</v>
      </c>
      <c r="D15" s="113">
        <f>('Balanço Patrimonial'!D3-'Balanço Patrimonial'!D54)</f>
        <v>7756010.9900000095</v>
      </c>
      <c r="E15" s="113">
        <f>('Balanço Patrimonial'!E3-'Balanço Patrimonial'!E54)</f>
        <v>5469839.5799999982</v>
      </c>
      <c r="F15" s="113">
        <f>('Balanço Patrimonial'!F3-'Balanço Patrimonial'!F54)</f>
        <v>3240472.3699999899</v>
      </c>
      <c r="G15" s="114">
        <f>('Balanço Patrimonial'!G3-'Balanço Patrimonial'!G54)</f>
        <v>-4993749.5600000024</v>
      </c>
      <c r="H15" s="114">
        <f>('Balanço Patrimonial'!J3-'Balanço Patrimonial'!J54)</f>
        <v>-6538608.0299999863</v>
      </c>
      <c r="I15" s="109"/>
      <c r="J15" s="317" t="s">
        <v>70</v>
      </c>
      <c r="K15" s="319" t="s">
        <v>63</v>
      </c>
      <c r="L15" s="314"/>
      <c r="M15" s="122"/>
      <c r="N15" s="122"/>
      <c r="O15" s="122"/>
      <c r="P15" s="122"/>
      <c r="Q15" s="122"/>
      <c r="R15" s="122"/>
      <c r="S15" s="122"/>
    </row>
    <row r="16" spans="1:19" s="2" customFormat="1" ht="10" customHeight="1">
      <c r="A16" s="139" t="s">
        <v>195</v>
      </c>
      <c r="B16" s="112">
        <v>0</v>
      </c>
      <c r="C16" s="112">
        <f>C15/B15-1</f>
        <v>1.0668278117815588</v>
      </c>
      <c r="D16" s="112">
        <f>D15/C15-1</f>
        <v>-0.48974246742118255</v>
      </c>
      <c r="E16" s="112">
        <f>E15/D15-1</f>
        <v>-0.29476123911474872</v>
      </c>
      <c r="F16" s="112">
        <f>F15/E15-1</f>
        <v>-0.40757451427853564</v>
      </c>
      <c r="G16" s="112">
        <f>G15/F15-1</f>
        <v>-2.5410560528865176</v>
      </c>
      <c r="H16" s="112">
        <f>H15/F15-1</f>
        <v>-3.0177947173794317</v>
      </c>
      <c r="J16" s="318"/>
      <c r="K16" s="320"/>
      <c r="L16" s="315"/>
      <c r="M16" s="119"/>
      <c r="N16" s="119"/>
      <c r="O16" s="119"/>
      <c r="P16" s="119"/>
      <c r="Q16" s="119"/>
      <c r="R16" s="119"/>
      <c r="S16" s="119"/>
    </row>
    <row r="17" spans="1:19" s="2" customFormat="1" ht="20" customHeight="1">
      <c r="A17" s="188" t="s">
        <v>178</v>
      </c>
      <c r="B17" s="114">
        <f>('Balanço Estrutura Fleuriet'!B8-'Balanço Estrutura Fleuriet'!B19)</f>
        <v>10891112.270000001</v>
      </c>
      <c r="C17" s="114">
        <f>('Balanço Estrutura Fleuriet'!C8-'Balanço Estrutura Fleuriet'!C19)</f>
        <v>26622146.829999998</v>
      </c>
      <c r="D17" s="114">
        <f>('Balanço Estrutura Fleuriet'!D8-'Balanço Estrutura Fleuriet'!D19)</f>
        <v>37185910.650000006</v>
      </c>
      <c r="E17" s="114">
        <f>('Balanço Estrutura Fleuriet'!E8-'Balanço Estrutura Fleuriet'!E19)</f>
        <v>53808733.189999998</v>
      </c>
      <c r="F17" s="114">
        <f>('Balanço Estrutura Fleuriet'!F8-'Balanço Estrutura Fleuriet'!F19)</f>
        <v>49714462.620000005</v>
      </c>
      <c r="G17" s="114">
        <f>('Balanço Estrutura Fleuriet'!I8-'Balanço Estrutura Fleuriet'!I19)</f>
        <v>0</v>
      </c>
      <c r="H17" s="114">
        <f>('Balanço Estrutura Fleuriet'!G8-'Balanço Estrutura Fleuriet'!G19)</f>
        <v>37847817.599999987</v>
      </c>
      <c r="I17" s="109"/>
      <c r="J17" s="316" t="s">
        <v>112</v>
      </c>
      <c r="K17" s="321" t="s">
        <v>68</v>
      </c>
      <c r="L17" s="313"/>
    </row>
    <row r="18" spans="1:19" s="2" customFormat="1" ht="10" customHeight="1">
      <c r="A18" s="139" t="s">
        <v>195</v>
      </c>
      <c r="B18" s="112">
        <v>0</v>
      </c>
      <c r="C18" s="112">
        <f>C17/B17-1</f>
        <v>1.4443919197611939</v>
      </c>
      <c r="D18" s="112">
        <f>D17/C17-1</f>
        <v>0.3968036044371861</v>
      </c>
      <c r="E18" s="112">
        <f>E17/D17-1</f>
        <v>0.44701937506537814</v>
      </c>
      <c r="F18" s="112">
        <f>F17/E17-1</f>
        <v>-7.6089332107913021E-2</v>
      </c>
      <c r="G18" s="112">
        <f>G17/F17-1</f>
        <v>-1</v>
      </c>
      <c r="H18" s="112">
        <f>H17/F17-1</f>
        <v>-0.23869603319871946</v>
      </c>
      <c r="J18" s="316"/>
      <c r="K18" s="321"/>
      <c r="L18" s="313"/>
      <c r="M18" s="108"/>
      <c r="N18" s="108"/>
      <c r="O18" s="108"/>
      <c r="P18" s="108"/>
      <c r="Q18" s="108"/>
      <c r="R18" s="108"/>
      <c r="S18" s="108"/>
    </row>
    <row r="19" spans="1:19" s="2" customFormat="1" ht="20" customHeight="1">
      <c r="A19" s="188" t="s">
        <v>179</v>
      </c>
      <c r="B19" s="114">
        <f>('Balanço Estrutura Fleuriet'!B5-'Balanço Estrutura Fleuriet'!B16)</f>
        <v>-3536755.5</v>
      </c>
      <c r="C19" s="114">
        <f>('Balanço Estrutura Fleuriet'!C5-'Balanço Estrutura Fleuriet'!C16)</f>
        <v>-11421957.720000001</v>
      </c>
      <c r="D19" s="114">
        <f>('Balanço Estrutura Fleuriet'!D5-'Balanço Estrutura Fleuriet'!D16)</f>
        <v>-29429899.66</v>
      </c>
      <c r="E19" s="114">
        <f>('Balanço Estrutura Fleuriet'!E5-'Balanço Estrutura Fleuriet'!E16)</f>
        <v>-48338893.609999999</v>
      </c>
      <c r="F19" s="114">
        <f>('Balanço Estrutura Fleuriet'!F5-'Balanço Estrutura Fleuriet'!F16)</f>
        <v>-46473990.25</v>
      </c>
      <c r="G19" s="114">
        <f>('Balanço Estrutura Fleuriet'!I5-'Balanço Estrutura Fleuriet'!I16)</f>
        <v>-42841567.159999996</v>
      </c>
      <c r="H19" s="114">
        <f>('Balanço Estrutura Fleuriet'!G5-'Balanço Estrutura Fleuriet'!G16)</f>
        <v>-41143096.839999989</v>
      </c>
      <c r="I19" s="109"/>
      <c r="J19" s="317" t="s">
        <v>118</v>
      </c>
      <c r="K19" s="319" t="s">
        <v>64</v>
      </c>
      <c r="L19" s="314"/>
      <c r="M19" s="122"/>
      <c r="N19" s="122"/>
      <c r="O19" s="122"/>
      <c r="P19" s="122"/>
      <c r="Q19" s="122"/>
      <c r="R19" s="122"/>
      <c r="S19" s="122"/>
    </row>
    <row r="20" spans="1:19" s="2" customFormat="1" ht="10" customHeight="1">
      <c r="A20" s="139" t="s">
        <v>195</v>
      </c>
      <c r="B20" s="112">
        <v>0</v>
      </c>
      <c r="C20" s="112">
        <f>C19/B19-1</f>
        <v>2.229501649181008</v>
      </c>
      <c r="D20" s="112">
        <f>D19/C19-1</f>
        <v>1.5766073016071362</v>
      </c>
      <c r="E20" s="112">
        <f>E19/D19-1</f>
        <v>0.64250963028937491</v>
      </c>
      <c r="F20" s="112">
        <f>F19/E19-1</f>
        <v>-3.8579769223642368E-2</v>
      </c>
      <c r="G20" s="112">
        <f>G19/F19-1</f>
        <v>-7.8160344538093618E-2</v>
      </c>
      <c r="H20" s="112">
        <f>H19/F19-1</f>
        <v>-0.11470703034801299</v>
      </c>
      <c r="J20" s="318"/>
      <c r="K20" s="320"/>
      <c r="L20" s="315"/>
      <c r="M20" s="119"/>
      <c r="N20" s="119"/>
      <c r="O20" s="119"/>
      <c r="P20" s="119"/>
      <c r="Q20" s="119"/>
      <c r="R20" s="119"/>
      <c r="S20" s="119"/>
    </row>
    <row r="21" spans="1:19" s="2" customFormat="1" ht="20" customHeight="1">
      <c r="A21" s="188" t="s">
        <v>180</v>
      </c>
      <c r="B21" s="114">
        <f>-B19/B17</f>
        <v>0.32473776895516288</v>
      </c>
      <c r="C21" s="114">
        <f t="shared" ref="C21:F21" si="4">C19/C17</f>
        <v>-0.42903969364066502</v>
      </c>
      <c r="D21" s="114">
        <f t="shared" si="4"/>
        <v>-0.79142608438446282</v>
      </c>
      <c r="E21" s="114">
        <f t="shared" si="4"/>
        <v>-0.89834662041409052</v>
      </c>
      <c r="F21" s="114">
        <f t="shared" si="4"/>
        <v>-0.93481831645714364</v>
      </c>
      <c r="G21" s="114" t="e">
        <f>G19/G17</f>
        <v>#DIV/0!</v>
      </c>
      <c r="H21" s="114">
        <f>H19/H17</f>
        <v>-1.0870665588918924</v>
      </c>
      <c r="I21" s="109"/>
      <c r="J21" s="317" t="s">
        <v>116</v>
      </c>
      <c r="K21" s="319" t="s">
        <v>115</v>
      </c>
      <c r="L21" s="314" t="s">
        <v>117</v>
      </c>
      <c r="M21" s="122"/>
      <c r="N21" s="122"/>
      <c r="O21" s="122"/>
      <c r="P21" s="122"/>
      <c r="Q21" s="122"/>
      <c r="R21" s="122"/>
      <c r="S21" s="122"/>
    </row>
    <row r="22" spans="1:19" s="2" customFormat="1" ht="10" customHeight="1">
      <c r="A22" s="139" t="s">
        <v>195</v>
      </c>
      <c r="B22" s="112">
        <v>0</v>
      </c>
      <c r="C22" s="112">
        <f>C21/B21-1</f>
        <v>-2.3211881544333184</v>
      </c>
      <c r="D22" s="112">
        <f>D21/C21-1</f>
        <v>0.84464536991607231</v>
      </c>
      <c r="E22" s="112">
        <f>E21/D21-1</f>
        <v>0.13509857476176812</v>
      </c>
      <c r="F22" s="112">
        <f>F21/E21-1</f>
        <v>4.0598690098307078E-2</v>
      </c>
      <c r="G22" s="112" t="e">
        <f>G21/F21-1</f>
        <v>#DIV/0!</v>
      </c>
      <c r="H22" s="112">
        <f>H21/F21-1</f>
        <v>0.16286399159544973</v>
      </c>
      <c r="J22" s="318"/>
      <c r="K22" s="320"/>
      <c r="L22" s="315"/>
      <c r="M22" s="119"/>
      <c r="N22" s="119"/>
      <c r="O22" s="119"/>
      <c r="P22" s="119"/>
      <c r="Q22" s="119"/>
      <c r="R22" s="119"/>
      <c r="S22" s="119"/>
    </row>
    <row r="23" spans="1:19" s="2" customFormat="1" ht="20" customHeight="1">
      <c r="A23" s="188" t="s">
        <v>181</v>
      </c>
      <c r="B23" s="114">
        <f t="shared" ref="B23:F23" si="5">B15/B17</f>
        <v>0.67526223104483707</v>
      </c>
      <c r="C23" s="114">
        <f t="shared" si="5"/>
        <v>0.57096030635933492</v>
      </c>
      <c r="D23" s="114">
        <f t="shared" si="5"/>
        <v>0.20857391561553726</v>
      </c>
      <c r="E23" s="114">
        <f t="shared" si="5"/>
        <v>0.10165337958590953</v>
      </c>
      <c r="F23" s="114">
        <f t="shared" si="5"/>
        <v>6.5181683542856111E-2</v>
      </c>
      <c r="G23" s="114" t="e">
        <f>G15/G17</f>
        <v>#DIV/0!</v>
      </c>
      <c r="H23" s="114">
        <f>H15/H17</f>
        <v>-0.17276050363337167</v>
      </c>
      <c r="I23" s="110"/>
      <c r="J23" s="317" t="s">
        <v>66</v>
      </c>
      <c r="K23" s="319" t="s">
        <v>67</v>
      </c>
      <c r="L23" s="314" t="s">
        <v>117</v>
      </c>
      <c r="M23" s="121">
        <v>1</v>
      </c>
      <c r="N23" s="121">
        <v>1</v>
      </c>
      <c r="O23" s="121">
        <v>1</v>
      </c>
      <c r="P23" s="121">
        <v>1</v>
      </c>
      <c r="Q23" s="121">
        <v>1</v>
      </c>
      <c r="R23" s="121">
        <v>1</v>
      </c>
      <c r="S23" s="121">
        <v>1</v>
      </c>
    </row>
    <row r="24" spans="1:19" s="2" customFormat="1" ht="10" customHeight="1">
      <c r="A24" s="139" t="s">
        <v>195</v>
      </c>
      <c r="B24" s="112">
        <v>0</v>
      </c>
      <c r="C24" s="112">
        <f>C23/B23-1</f>
        <v>-0.15446136314201253</v>
      </c>
      <c r="D24" s="112">
        <f>D23/C23-1</f>
        <v>-0.63469629448413722</v>
      </c>
      <c r="E24" s="112">
        <f>E23/D23-1</f>
        <v>-0.51262659433748925</v>
      </c>
      <c r="F24" s="112">
        <f>F23/E23-1</f>
        <v>-0.35878488439462441</v>
      </c>
      <c r="G24" s="112" t="e">
        <f>G23/F23-1</f>
        <v>#DIV/0!</v>
      </c>
      <c r="H24" s="112">
        <f>H23/F23-1</f>
        <v>-3.6504455583719908</v>
      </c>
      <c r="J24" s="318"/>
      <c r="K24" s="320"/>
      <c r="L24" s="315"/>
      <c r="M24" s="119"/>
      <c r="N24" s="119"/>
      <c r="O24" s="119"/>
      <c r="P24" s="119"/>
      <c r="Q24" s="119"/>
      <c r="R24" s="119"/>
      <c r="S24" s="119"/>
    </row>
    <row r="25" spans="1:19">
      <c r="A25" s="5"/>
    </row>
    <row r="49" spans="6:10">
      <c r="F49" s="3"/>
      <c r="G49" s="4"/>
      <c r="H49" s="4"/>
      <c r="I49" s="4"/>
      <c r="J49" s="4"/>
    </row>
    <row r="50" spans="6:10">
      <c r="G50" s="5"/>
      <c r="H50" s="5"/>
      <c r="I50" s="5"/>
      <c r="J50" s="5"/>
    </row>
    <row r="51" spans="6:10">
      <c r="G51" s="6"/>
      <c r="H51" s="6"/>
      <c r="I51" s="6"/>
      <c r="J51" s="6"/>
    </row>
    <row r="68" spans="6:10">
      <c r="F68" s="3"/>
      <c r="G68" s="4"/>
      <c r="H68" s="4"/>
      <c r="I68" s="4"/>
      <c r="J68" s="4"/>
    </row>
    <row r="69" spans="6:10">
      <c r="G69" s="5"/>
      <c r="H69" s="5"/>
      <c r="I69" s="5"/>
      <c r="J69" s="5"/>
    </row>
    <row r="70" spans="6:10">
      <c r="G70" s="6"/>
      <c r="H70" s="6"/>
      <c r="I70" s="6"/>
      <c r="J70" s="6"/>
    </row>
  </sheetData>
  <mergeCells count="34">
    <mergeCell ref="L21:L22"/>
    <mergeCell ref="L23:L24"/>
    <mergeCell ref="J23:J24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J13:J14"/>
    <mergeCell ref="J15:J16"/>
    <mergeCell ref="A1:H1"/>
    <mergeCell ref="J21:J22"/>
    <mergeCell ref="J3:J4"/>
    <mergeCell ref="J5:J6"/>
    <mergeCell ref="J7:J8"/>
    <mergeCell ref="J9:J10"/>
    <mergeCell ref="J11:J12"/>
    <mergeCell ref="L17:L18"/>
    <mergeCell ref="L19:L20"/>
    <mergeCell ref="J17:J18"/>
    <mergeCell ref="J19:J20"/>
    <mergeCell ref="L3:L4"/>
    <mergeCell ref="L5:L6"/>
    <mergeCell ref="L7:L8"/>
    <mergeCell ref="L9:L10"/>
    <mergeCell ref="L11:L12"/>
    <mergeCell ref="L13:L14"/>
    <mergeCell ref="L15:L16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4DA0-6954-B847-BE8A-686C1F969854}">
  <dimension ref="A1:Q28"/>
  <sheetViews>
    <sheetView showGridLines="0" zoomScale="150" workbookViewId="0">
      <selection activeCell="G9" sqref="G9"/>
    </sheetView>
  </sheetViews>
  <sheetFormatPr baseColWidth="10" defaultRowHeight="15"/>
  <cols>
    <col min="1" max="1" width="30.83203125" customWidth="1"/>
    <col min="2" max="8" width="14.83203125" customWidth="1"/>
    <col min="9" max="9" width="11.1640625" bestFit="1" customWidth="1"/>
  </cols>
  <sheetData>
    <row r="1" spans="1:17" ht="33" thickBot="1">
      <c r="A1" s="306" t="s">
        <v>186</v>
      </c>
      <c r="B1" s="307"/>
      <c r="C1" s="307"/>
      <c r="D1" s="307"/>
      <c r="E1" s="307"/>
      <c r="F1" s="307"/>
      <c r="G1" s="307"/>
      <c r="H1" s="294"/>
      <c r="J1" s="251" t="s">
        <v>239</v>
      </c>
      <c r="K1" s="252">
        <v>6</v>
      </c>
    </row>
    <row r="2" spans="1:17">
      <c r="A2" s="60"/>
      <c r="B2" s="60">
        <v>2019</v>
      </c>
      <c r="C2" s="60">
        <v>2020</v>
      </c>
      <c r="D2" s="60">
        <v>2021</v>
      </c>
      <c r="E2" s="60">
        <v>2022</v>
      </c>
      <c r="F2" s="60">
        <v>2023</v>
      </c>
      <c r="G2" s="60">
        <v>2024</v>
      </c>
      <c r="H2" s="60">
        <v>2025</v>
      </c>
    </row>
    <row r="3" spans="1:17">
      <c r="A3" s="125" t="s">
        <v>69</v>
      </c>
      <c r="B3" s="265">
        <f>DRE!D53</f>
        <v>4773179.3499999996</v>
      </c>
      <c r="C3" s="265">
        <f>DRE!E53</f>
        <v>10320320.539999999</v>
      </c>
      <c r="D3" s="265">
        <f>DRE!F53</f>
        <v>18057897.45000001</v>
      </c>
      <c r="E3" s="265">
        <f>DRE!G53</f>
        <v>10894772.48000001</v>
      </c>
      <c r="F3" s="265">
        <f>DRE!H53</f>
        <v>11045197.920000017</v>
      </c>
      <c r="G3" s="265">
        <f>DRE!I53</f>
        <v>6279893.450000002</v>
      </c>
      <c r="H3" s="265">
        <f>DRE!J53</f>
        <v>-651301.3899999992</v>
      </c>
      <c r="I3" s="13"/>
    </row>
    <row r="4" spans="1:17">
      <c r="A4" s="125" t="s">
        <v>182</v>
      </c>
      <c r="B4" s="274">
        <f>'Índices de Rentabilidade'!B7</f>
        <v>5.0034427146712822E-2</v>
      </c>
      <c r="C4" s="274">
        <f>'Índices de Rentabilidade'!C7</f>
        <v>0.11897738534204907</v>
      </c>
      <c r="D4" s="274">
        <f>'Índices de Rentabilidade'!D7</f>
        <v>8.9086547398419327E-2</v>
      </c>
      <c r="E4" s="274">
        <f>'Índices de Rentabilidade'!E7</f>
        <v>2.5894710341849273E-3</v>
      </c>
      <c r="F4" s="274">
        <f>'Índices de Rentabilidade'!F7</f>
        <v>3.6533067103323019E-3</v>
      </c>
      <c r="G4" s="274">
        <f>'Índices de Rentabilidade'!G7</f>
        <v>-3.6305644806357569E-2</v>
      </c>
      <c r="H4" s="274">
        <f>'Índices de Rentabilidade'!H7</f>
        <v>-0.22309876740262555</v>
      </c>
      <c r="I4" s="13"/>
    </row>
    <row r="5" spans="1:17">
      <c r="A5" s="125" t="s">
        <v>240</v>
      </c>
      <c r="B5" s="262">
        <f>DRE!D53*$K$1</f>
        <v>28639076.099999998</v>
      </c>
      <c r="C5" s="262">
        <f>DRE!E53*$K$1</f>
        <v>61921923.239999995</v>
      </c>
      <c r="D5" s="262">
        <f>DRE!F53*$K$1</f>
        <v>108347384.70000006</v>
      </c>
      <c r="E5" s="262">
        <f>DRE!G53*$K$1</f>
        <v>65368634.880000055</v>
      </c>
      <c r="F5" s="262">
        <f>DRE!H53*$K$1</f>
        <v>66271187.5200001</v>
      </c>
      <c r="G5" s="262">
        <f>DRE!I53*$K$1</f>
        <v>37679360.70000001</v>
      </c>
      <c r="H5" s="262">
        <f>DRE!J53*$K$1</f>
        <v>-3907808.3399999952</v>
      </c>
      <c r="I5" s="13"/>
    </row>
    <row r="6" spans="1:17" ht="16" thickBot="1">
      <c r="A6" s="266" t="s">
        <v>243</v>
      </c>
      <c r="B6" s="264">
        <f>'Balanço Patrimonial'!B150</f>
        <v>11140639.58</v>
      </c>
      <c r="C6" s="264">
        <f>'Balanço Patrimonial'!C150</f>
        <v>21894331.460000001</v>
      </c>
      <c r="D6" s="264">
        <f>'Balanço Patrimonial'!D150</f>
        <v>41071890.989999995</v>
      </c>
      <c r="E6" s="264">
        <f>'Balanço Patrimonial'!E150</f>
        <v>62941732.419999987</v>
      </c>
      <c r="F6" s="264">
        <f>'Balanço Patrimonial'!F150</f>
        <v>62689267.019999996</v>
      </c>
      <c r="G6" s="264">
        <f>'Balanço Patrimonial'!G150</f>
        <v>61470999.969999984</v>
      </c>
      <c r="H6" s="264">
        <f>'Balanço Patrimonial'!H150</f>
        <v>59252079.519999981</v>
      </c>
      <c r="I6" s="13"/>
    </row>
    <row r="7" spans="1:17" ht="16" thickBot="1">
      <c r="A7" s="266" t="s">
        <v>245</v>
      </c>
      <c r="B7" s="263">
        <f t="shared" ref="B7:G7" si="0">B5-B6</f>
        <v>17498436.519999996</v>
      </c>
      <c r="C7" s="263">
        <f t="shared" si="0"/>
        <v>40027591.779999994</v>
      </c>
      <c r="D7" s="263">
        <f t="shared" si="0"/>
        <v>67275493.710000068</v>
      </c>
      <c r="E7" s="263">
        <f t="shared" si="0"/>
        <v>2426902.4600000679</v>
      </c>
      <c r="F7" s="263">
        <f t="shared" si="0"/>
        <v>3581920.5000001043</v>
      </c>
      <c r="G7" s="263">
        <f t="shared" si="0"/>
        <v>-23791639.269999973</v>
      </c>
      <c r="H7" s="263">
        <f t="shared" ref="H7" si="1">H5-H6</f>
        <v>-63159887.859999977</v>
      </c>
      <c r="I7" s="13"/>
    </row>
    <row r="8" spans="1:17">
      <c r="A8" s="125"/>
      <c r="B8" s="125"/>
      <c r="C8" s="125"/>
      <c r="D8" s="125"/>
      <c r="E8" s="125"/>
      <c r="F8" s="125"/>
      <c r="G8" s="125"/>
      <c r="H8" s="125"/>
      <c r="I8" s="13"/>
    </row>
    <row r="9" spans="1:17">
      <c r="A9" s="125" t="s">
        <v>183</v>
      </c>
      <c r="B9" s="262">
        <f>DRE!D68</f>
        <v>-2550073.8199999998</v>
      </c>
      <c r="C9" s="262">
        <f>DRE!E68</f>
        <v>-3758281.02</v>
      </c>
      <c r="D9" s="262">
        <f>DRE!F68</f>
        <v>-6429779.8600000003</v>
      </c>
      <c r="E9" s="262">
        <f>DRE!G68</f>
        <v>-9760411.9399999995</v>
      </c>
      <c r="F9" s="262">
        <f>DRE!H68</f>
        <v>-10905319.82</v>
      </c>
      <c r="G9" s="262">
        <f>DRE!I68</f>
        <v>-11677346.610000001</v>
      </c>
      <c r="H9" s="262">
        <f>DRE!J68</f>
        <v>-683772.7</v>
      </c>
      <c r="I9" s="13"/>
    </row>
    <row r="10" spans="1:17">
      <c r="A10" s="125" t="s">
        <v>184</v>
      </c>
      <c r="B10" s="262">
        <f>DRE!D83</f>
        <v>1482405.47</v>
      </c>
      <c r="C10" s="262">
        <f>DRE!E83</f>
        <v>5387445.5700000003</v>
      </c>
      <c r="D10" s="262">
        <f>DRE!F83</f>
        <v>8731158.4400000088</v>
      </c>
      <c r="E10" s="262">
        <f>DRE!G83</f>
        <v>297612.76000001142</v>
      </c>
      <c r="F10" s="262">
        <f>DRE!H83</f>
        <v>387086.21000001521</v>
      </c>
      <c r="G10" s="262">
        <f>DRE!I83</f>
        <v>-3896364.1900000004</v>
      </c>
      <c r="H10" s="262">
        <f>DRE!J83</f>
        <v>-1246206.7399999993</v>
      </c>
      <c r="I10" s="13"/>
    </row>
    <row r="11" spans="1:17" ht="16" thickBot="1">
      <c r="A11" s="266" t="s">
        <v>244</v>
      </c>
      <c r="B11" s="267">
        <f t="shared" ref="B11:G11" si="2">(B10/B3)</f>
        <v>0.31056982386383619</v>
      </c>
      <c r="C11" s="267">
        <f t="shared" si="2"/>
        <v>0.52202308534110708</v>
      </c>
      <c r="D11" s="267">
        <f t="shared" si="2"/>
        <v>0.48350913854591659</v>
      </c>
      <c r="E11" s="267">
        <f t="shared" si="2"/>
        <v>2.7317023879695663E-2</v>
      </c>
      <c r="F11" s="267">
        <f t="shared" si="2"/>
        <v>3.5045656293682295E-2</v>
      </c>
      <c r="G11" s="267">
        <f t="shared" si="2"/>
        <v>-0.62045068455739472</v>
      </c>
      <c r="H11" s="267">
        <f t="shared" ref="H11" si="3">(H10/H3)</f>
        <v>1.9134102262548538</v>
      </c>
      <c r="I11" s="125"/>
      <c r="J11" s="123"/>
      <c r="K11" s="123"/>
      <c r="L11" s="123"/>
      <c r="M11" s="123"/>
      <c r="N11" s="123"/>
      <c r="O11" s="123"/>
      <c r="P11" s="123"/>
      <c r="Q11" s="123"/>
    </row>
    <row r="12" spans="1:17" ht="16" thickBot="1">
      <c r="A12" s="273"/>
      <c r="B12" s="273"/>
      <c r="C12" s="273"/>
      <c r="D12" s="273"/>
      <c r="E12" s="273"/>
      <c r="F12" s="273"/>
      <c r="G12" s="273"/>
      <c r="H12" s="273"/>
      <c r="I12" s="125"/>
      <c r="J12" s="125"/>
      <c r="K12" s="125"/>
      <c r="L12" s="123"/>
      <c r="M12" s="123"/>
      <c r="N12" s="123"/>
      <c r="O12" s="123"/>
      <c r="P12" s="123"/>
      <c r="Q12" s="123"/>
    </row>
    <row r="13" spans="1:17" s="270" customFormat="1" ht="27" thickBot="1">
      <c r="A13" s="271" t="s">
        <v>246</v>
      </c>
      <c r="B13" s="272">
        <f>((SUM('Balanço Patrimonial'!B132,'Balanço Patrimonial'!B135)/B4)*'Balanço Patrimonial'!C153)/'Balanço Patrimonial'!B3</f>
        <v>2.9831105600924079</v>
      </c>
      <c r="C13" s="272">
        <f>((SUM('Balanço Patrimonial'!C132,'Balanço Patrimonial'!C135)/C4)*'Balanço Patrimonial'!D153)/'Balanço Patrimonial'!C3</f>
        <v>1.7836505060871886</v>
      </c>
      <c r="D13" s="272">
        <f>((SUM('Balanço Patrimonial'!D132,'Balanço Patrimonial'!D135)/D4)*'Balanço Patrimonial'!E153)/'Balanço Patrimonial'!D3</f>
        <v>4.5013915234004536</v>
      </c>
      <c r="E13" s="272">
        <f>((SUM('Balanço Patrimonial'!E132,'Balanço Patrimonial'!E135)/E4)*'Balanço Patrimonial'!F153)/'Balanço Patrimonial'!E3</f>
        <v>190.69184892723197</v>
      </c>
      <c r="F13" s="272">
        <f>((SUM('Balanço Patrimonial'!F132,'Balanço Patrimonial'!F135)/F4)*'Balanço Patrimonial'!G153)/'Balanço Patrimonial'!F3</f>
        <v>124.13558294494935</v>
      </c>
      <c r="G13" s="272">
        <f>((SUM('Balanço Patrimonial'!G132,'Balanço Patrimonial'!G135)/G4)*'Balanço Patrimonial'!G153)/'Balanço Patrimonial'!G3</f>
        <v>-13.634602428732496</v>
      </c>
      <c r="H13" s="272">
        <f>((SUM('Balanço Patrimonial'!H132,'Balanço Patrimonial'!H135)/H4)*'Balanço Patrimonial'!H153)/'Balanço Patrimonial'!H3</f>
        <v>-2.1453914116761301</v>
      </c>
      <c r="I13" s="268"/>
      <c r="J13" s="268"/>
      <c r="K13" s="268"/>
      <c r="L13" s="269"/>
      <c r="M13" s="269"/>
      <c r="N13" s="269"/>
      <c r="O13" s="269"/>
      <c r="P13" s="269"/>
      <c r="Q13" s="269"/>
    </row>
    <row r="14" spans="1:17">
      <c r="A14" s="125"/>
      <c r="B14" s="261"/>
      <c r="C14" s="261"/>
      <c r="D14" s="261"/>
      <c r="E14" s="261"/>
      <c r="F14" s="261"/>
      <c r="G14" s="125"/>
      <c r="H14" s="125"/>
      <c r="I14" s="125"/>
      <c r="J14" s="125"/>
      <c r="K14" s="125"/>
      <c r="L14" s="123"/>
      <c r="M14" s="123"/>
      <c r="N14" s="123"/>
      <c r="O14" s="123"/>
      <c r="P14" s="123"/>
      <c r="Q14" s="123"/>
    </row>
    <row r="15" spans="1:17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3"/>
      <c r="M15" s="123"/>
      <c r="N15" s="123"/>
      <c r="O15" s="123"/>
      <c r="P15" s="123"/>
      <c r="Q15" s="123"/>
    </row>
    <row r="16" spans="1:17">
      <c r="A16" s="125"/>
      <c r="B16" s="125"/>
      <c r="C16" s="261"/>
      <c r="D16" s="125"/>
      <c r="E16" s="125"/>
      <c r="F16" s="125"/>
      <c r="G16" s="125"/>
      <c r="H16" s="125"/>
      <c r="I16" s="125"/>
      <c r="J16" s="125"/>
      <c r="K16" s="125"/>
      <c r="L16" s="123"/>
      <c r="M16" s="123"/>
      <c r="N16" s="123"/>
      <c r="O16" s="123"/>
      <c r="P16" s="123"/>
      <c r="Q16" s="123"/>
    </row>
    <row r="17" spans="1:17">
      <c r="A17" s="125"/>
      <c r="B17" s="125"/>
      <c r="C17" s="275"/>
      <c r="D17" s="260"/>
      <c r="E17" s="125"/>
      <c r="F17" s="125"/>
      <c r="G17" s="125"/>
      <c r="H17" s="125"/>
      <c r="I17" s="125"/>
      <c r="J17" s="125"/>
      <c r="K17" s="125"/>
      <c r="L17" s="123"/>
      <c r="M17" s="123"/>
      <c r="N17" s="123"/>
      <c r="O17" s="123"/>
      <c r="P17" s="123"/>
      <c r="Q17" s="123"/>
    </row>
    <row r="18" spans="1:17">
      <c r="A18" s="125"/>
      <c r="B18" s="125"/>
      <c r="C18" s="275"/>
      <c r="D18" s="125"/>
      <c r="E18" s="125"/>
      <c r="F18" s="125"/>
      <c r="G18" s="125"/>
      <c r="H18" s="125"/>
      <c r="I18" s="125"/>
      <c r="J18" s="125"/>
      <c r="K18" s="125"/>
      <c r="L18" s="123"/>
      <c r="M18" s="123"/>
      <c r="N18" s="123"/>
      <c r="O18" s="123"/>
      <c r="P18" s="123"/>
      <c r="Q18" s="123"/>
    </row>
    <row r="19" spans="1:17">
      <c r="A19" s="125"/>
      <c r="B19" s="125"/>
      <c r="C19" s="261"/>
      <c r="D19" s="125"/>
      <c r="E19" s="125"/>
      <c r="F19" s="125"/>
      <c r="G19" s="125"/>
      <c r="H19" s="125"/>
      <c r="I19" s="125"/>
      <c r="J19" s="125"/>
      <c r="K19" s="125"/>
      <c r="L19" s="123"/>
      <c r="M19" s="123"/>
      <c r="N19" s="123"/>
      <c r="O19" s="123"/>
      <c r="P19" s="123"/>
      <c r="Q19" s="123"/>
    </row>
    <row r="20" spans="1:17">
      <c r="A20" s="123"/>
      <c r="B20" s="125"/>
      <c r="C20" s="275"/>
      <c r="D20" s="125"/>
      <c r="E20" s="125"/>
      <c r="F20" s="125"/>
      <c r="G20" s="125"/>
      <c r="H20" s="125"/>
      <c r="I20" s="125"/>
      <c r="J20" s="125"/>
      <c r="K20" s="125"/>
      <c r="L20" s="123"/>
      <c r="M20" s="123"/>
      <c r="N20" s="123"/>
      <c r="O20" s="123"/>
      <c r="P20" s="123"/>
      <c r="Q20" s="123"/>
    </row>
    <row r="21" spans="1:17">
      <c r="A21" s="123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3"/>
      <c r="M21" s="123"/>
      <c r="N21" s="123"/>
      <c r="O21" s="123"/>
      <c r="P21" s="123"/>
      <c r="Q21" s="123"/>
    </row>
    <row r="22" spans="1:17">
      <c r="A22" s="123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3"/>
      <c r="M22" s="123"/>
      <c r="N22" s="123"/>
      <c r="O22" s="123"/>
      <c r="P22" s="123"/>
      <c r="Q22" s="123"/>
    </row>
    <row r="23" spans="1:17">
      <c r="A23" s="123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3"/>
      <c r="M23" s="123"/>
      <c r="N23" s="123"/>
      <c r="O23" s="123"/>
      <c r="P23" s="123"/>
      <c r="Q23" s="123"/>
    </row>
    <row r="24" spans="1:17">
      <c r="A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</row>
    <row r="25" spans="1:17">
      <c r="A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</row>
    <row r="26" spans="1:17">
      <c r="A26" s="123"/>
      <c r="B26" s="123"/>
      <c r="C26" s="124"/>
      <c r="D26" s="124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</row>
    <row r="27" spans="1:17">
      <c r="A27" s="123"/>
      <c r="B27" s="123"/>
      <c r="C27" s="124"/>
      <c r="D27" s="124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</row>
    <row r="28" spans="1:17">
      <c r="A28" s="123"/>
      <c r="B28" s="123"/>
      <c r="C28" s="124"/>
      <c r="D28" s="124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 t="s">
        <v>185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C69C-8D72-6A4C-8094-8153AD1254ED}">
  <dimension ref="A1"/>
  <sheetViews>
    <sheetView workbookViewId="0"/>
  </sheetViews>
  <sheetFormatPr baseColWidth="10"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6E06-CE16-425A-826B-07EB629A573E}">
  <dimension ref="A1:R87"/>
  <sheetViews>
    <sheetView showGridLines="0" zoomScale="137" zoomScaleNormal="125" zoomScaleSheetLayoutView="138" workbookViewId="0">
      <pane xSplit="2" ySplit="2" topLeftCell="C80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baseColWidth="10" defaultColWidth="8.83203125" defaultRowHeight="12"/>
  <cols>
    <col min="1" max="1" width="1.83203125" style="13" customWidth="1"/>
    <col min="2" max="2" width="31.83203125" style="13" customWidth="1"/>
    <col min="3" max="3" width="8.33203125" style="32" customWidth="1"/>
    <col min="4" max="10" width="12.83203125" style="13" customWidth="1"/>
    <col min="11" max="16384" width="8.83203125" style="13"/>
  </cols>
  <sheetData>
    <row r="1" spans="1:18" s="1" customFormat="1" ht="60" customHeight="1">
      <c r="A1" s="296" t="s">
        <v>124</v>
      </c>
      <c r="B1" s="296"/>
      <c r="C1" s="296"/>
      <c r="D1" s="296"/>
      <c r="E1" s="296"/>
      <c r="F1" s="296"/>
      <c r="G1" s="296"/>
      <c r="H1" s="296"/>
      <c r="I1" s="296"/>
      <c r="J1" s="296"/>
      <c r="K1" s="3"/>
      <c r="L1" s="4"/>
      <c r="M1" s="4"/>
      <c r="N1" s="4"/>
      <c r="O1" s="4"/>
      <c r="P1" s="4"/>
      <c r="Q1" s="4"/>
      <c r="R1" s="4"/>
    </row>
    <row r="2" spans="1:18" s="20" customFormat="1" ht="34" customHeight="1">
      <c r="B2" s="18"/>
      <c r="C2" s="19" t="s">
        <v>152</v>
      </c>
      <c r="D2" s="19">
        <v>2019</v>
      </c>
      <c r="E2" s="19">
        <v>2020</v>
      </c>
      <c r="F2" s="19">
        <v>2021</v>
      </c>
      <c r="G2" s="19">
        <v>2022</v>
      </c>
      <c r="H2" s="19">
        <v>2023</v>
      </c>
      <c r="I2" s="19">
        <v>2024</v>
      </c>
      <c r="J2" s="19">
        <v>2025</v>
      </c>
    </row>
    <row r="3" spans="1:18" s="22" customFormat="1" ht="20" customHeight="1">
      <c r="A3" s="153" t="s">
        <v>132</v>
      </c>
      <c r="B3" s="153"/>
      <c r="C3" s="154"/>
      <c r="D3" s="29">
        <f t="shared" ref="D3:J3" si="0">D5+D8+D11+D14</f>
        <v>32988040.059999999</v>
      </c>
      <c r="E3" s="29">
        <f t="shared" si="0"/>
        <v>48688781.230000004</v>
      </c>
      <c r="F3" s="29">
        <f t="shared" si="0"/>
        <v>105387486.90000001</v>
      </c>
      <c r="G3" s="29">
        <f t="shared" si="0"/>
        <v>128287177.67</v>
      </c>
      <c r="H3" s="29">
        <f t="shared" si="0"/>
        <v>118657544.68000001</v>
      </c>
      <c r="I3" s="29">
        <f t="shared" si="0"/>
        <v>119046441.11999999</v>
      </c>
      <c r="J3" s="29">
        <f t="shared" si="0"/>
        <v>6068126.6600000001</v>
      </c>
    </row>
    <row r="4" spans="1:18" s="36" customFormat="1" ht="10" customHeight="1">
      <c r="A4" s="39" t="s">
        <v>195</v>
      </c>
      <c r="B4" s="39"/>
      <c r="C4" s="143"/>
      <c r="D4" s="143">
        <v>0</v>
      </c>
      <c r="E4" s="143">
        <f t="shared" ref="E4:J4" si="1">E3/D3-1</f>
        <v>0.47595253132477278</v>
      </c>
      <c r="F4" s="143">
        <f t="shared" si="1"/>
        <v>1.1645127324539519</v>
      </c>
      <c r="G4" s="143">
        <f t="shared" si="1"/>
        <v>0.21729041505400959</v>
      </c>
      <c r="H4" s="143">
        <f t="shared" si="1"/>
        <v>-7.5063098003222195E-2</v>
      </c>
      <c r="I4" s="143">
        <f t="shared" si="1"/>
        <v>3.2774691322727811E-3</v>
      </c>
      <c r="J4" s="143">
        <f t="shared" si="1"/>
        <v>-0.94902723170125458</v>
      </c>
    </row>
    <row r="5" spans="1:18" s="24" customFormat="1" ht="20" customHeight="1">
      <c r="B5" s="24" t="s">
        <v>27</v>
      </c>
      <c r="C5" s="31">
        <f>SUM(D5:H5)/SUM($D$3:$H$3)</f>
        <v>0.62152329158768294</v>
      </c>
      <c r="D5" s="25">
        <v>32988040.059999999</v>
      </c>
      <c r="E5" s="25">
        <v>35059473.229999997</v>
      </c>
      <c r="F5" s="25">
        <v>62145507.789999999</v>
      </c>
      <c r="G5" s="25">
        <v>73117595.030000001</v>
      </c>
      <c r="H5" s="25">
        <v>66436105.130000003</v>
      </c>
      <c r="I5" s="25">
        <v>63375298.309999995</v>
      </c>
      <c r="J5" s="25">
        <f>'DRE Mensal'!C5</f>
        <v>2682247.0099999998</v>
      </c>
    </row>
    <row r="6" spans="1:18" s="36" customFormat="1" ht="10" customHeight="1">
      <c r="B6" s="36" t="s">
        <v>195</v>
      </c>
      <c r="C6" s="28"/>
      <c r="D6" s="37">
        <v>0</v>
      </c>
      <c r="E6" s="37">
        <f t="shared" ref="E6:J6" si="2">E5/D5-1</f>
        <v>6.2793459879167957E-2</v>
      </c>
      <c r="F6" s="37">
        <f t="shared" si="2"/>
        <v>0.7725739169641257</v>
      </c>
      <c r="G6" s="37">
        <f t="shared" si="2"/>
        <v>0.1765547926179396</v>
      </c>
      <c r="H6" s="37">
        <f t="shared" si="2"/>
        <v>-9.1380055611219091E-2</v>
      </c>
      <c r="I6" s="37">
        <f t="shared" si="2"/>
        <v>-4.6071436819041689E-2</v>
      </c>
      <c r="J6" s="37">
        <f t="shared" si="2"/>
        <v>-0.95767677499710058</v>
      </c>
    </row>
    <row r="7" spans="1:18" s="146" customFormat="1" ht="10" customHeight="1">
      <c r="B7" s="144" t="s">
        <v>194</v>
      </c>
      <c r="C7" s="30"/>
      <c r="D7" s="145">
        <f t="shared" ref="D7:H7" si="3">D5/D$3</f>
        <v>1</v>
      </c>
      <c r="E7" s="145">
        <f t="shared" si="3"/>
        <v>0.72007292736253181</v>
      </c>
      <c r="F7" s="145">
        <f t="shared" si="3"/>
        <v>0.58968583100352867</v>
      </c>
      <c r="G7" s="145">
        <f t="shared" si="3"/>
        <v>0.56995247972548213</v>
      </c>
      <c r="H7" s="145">
        <f t="shared" si="3"/>
        <v>0.55989785823705784</v>
      </c>
      <c r="I7" s="145">
        <f t="shared" ref="I7:J7" si="4">I5/I$3</f>
        <v>0.53235777326696454</v>
      </c>
      <c r="J7" s="145">
        <f t="shared" si="4"/>
        <v>0.44202225172406007</v>
      </c>
    </row>
    <row r="8" spans="1:18" s="24" customFormat="1" ht="20" customHeight="1">
      <c r="B8" s="24" t="s">
        <v>28</v>
      </c>
      <c r="C8" s="33">
        <f>SUM(D8:H8)/SUM($D$3:$H$3)</f>
        <v>0.26392686329010134</v>
      </c>
      <c r="D8" s="25">
        <v>0</v>
      </c>
      <c r="E8" s="25">
        <v>12756691.16</v>
      </c>
      <c r="F8" s="25">
        <v>33723336.789999999</v>
      </c>
      <c r="G8" s="25">
        <v>35078508.390000001</v>
      </c>
      <c r="H8" s="25">
        <v>32988105.73</v>
      </c>
      <c r="I8" s="25">
        <v>31791010.419999998</v>
      </c>
      <c r="J8" s="25">
        <f>'DRE Mensal'!C8</f>
        <v>1959016.13</v>
      </c>
    </row>
    <row r="9" spans="1:18" s="36" customFormat="1" ht="10" customHeight="1">
      <c r="B9" s="36" t="s">
        <v>195</v>
      </c>
      <c r="C9" s="28"/>
      <c r="D9" s="37">
        <v>0</v>
      </c>
      <c r="E9" s="37" t="e">
        <f t="shared" ref="E9:J9" si="5">E8/D8-1</f>
        <v>#DIV/0!</v>
      </c>
      <c r="F9" s="37">
        <f t="shared" si="5"/>
        <v>1.6435802487515891</v>
      </c>
      <c r="G9" s="37">
        <f t="shared" si="5"/>
        <v>4.0184979571827206E-2</v>
      </c>
      <c r="H9" s="37">
        <f t="shared" si="5"/>
        <v>-5.9592119390000087E-2</v>
      </c>
      <c r="I9" s="37">
        <f t="shared" si="5"/>
        <v>-3.6288695076884703E-2</v>
      </c>
      <c r="J9" s="37">
        <f t="shared" si="5"/>
        <v>-0.93837829927017458</v>
      </c>
    </row>
    <row r="10" spans="1:18" s="146" customFormat="1" ht="10" customHeight="1">
      <c r="B10" s="144" t="s">
        <v>194</v>
      </c>
      <c r="C10" s="30"/>
      <c r="D10" s="145">
        <f t="shared" ref="D10:H10" si="6">D8/D$3</f>
        <v>0</v>
      </c>
      <c r="E10" s="145">
        <f t="shared" si="6"/>
        <v>0.26200473369294069</v>
      </c>
      <c r="F10" s="145">
        <f t="shared" si="6"/>
        <v>0.31999374671491476</v>
      </c>
      <c r="G10" s="145">
        <f t="shared" si="6"/>
        <v>0.27343736940128444</v>
      </c>
      <c r="H10" s="145">
        <f t="shared" si="6"/>
        <v>0.27801102592307575</v>
      </c>
      <c r="I10" s="145">
        <f t="shared" ref="I10:J10" si="7">I8/I$3</f>
        <v>0.26704712985039464</v>
      </c>
      <c r="J10" s="145">
        <f t="shared" si="7"/>
        <v>0.32283705330567375</v>
      </c>
    </row>
    <row r="11" spans="1:18" s="24" customFormat="1" ht="20" customHeight="1">
      <c r="B11" s="24" t="s">
        <v>136</v>
      </c>
      <c r="C11" s="31">
        <f>SUM(D11:H11)/SUM($D$3:$H$3)</f>
        <v>0.11239160201184878</v>
      </c>
      <c r="D11" s="25">
        <v>0</v>
      </c>
      <c r="E11" s="25">
        <v>872616.84</v>
      </c>
      <c r="F11" s="25">
        <v>9518642.3200000003</v>
      </c>
      <c r="G11" s="25">
        <v>20091074.25</v>
      </c>
      <c r="H11" s="25">
        <v>18296636.82</v>
      </c>
      <c r="I11" s="25">
        <v>23625132.390000001</v>
      </c>
      <c r="J11" s="25">
        <f>'DRE Mensal'!C11</f>
        <v>1426863.52</v>
      </c>
    </row>
    <row r="12" spans="1:18" s="36" customFormat="1" ht="10" customHeight="1">
      <c r="B12" s="36" t="s">
        <v>195</v>
      </c>
      <c r="C12" s="28"/>
      <c r="D12" s="37">
        <v>0</v>
      </c>
      <c r="E12" s="37" t="e">
        <f t="shared" ref="E12:J12" si="8">E11/D11-1</f>
        <v>#DIV/0!</v>
      </c>
      <c r="F12" s="37">
        <f t="shared" si="8"/>
        <v>9.9081579493698531</v>
      </c>
      <c r="G12" s="37">
        <f t="shared" si="8"/>
        <v>1.1107079743700252</v>
      </c>
      <c r="H12" s="37">
        <f t="shared" si="8"/>
        <v>-8.9315155957875203E-2</v>
      </c>
      <c r="I12" s="37">
        <f t="shared" si="8"/>
        <v>0.29122814331513847</v>
      </c>
      <c r="J12" s="37">
        <f t="shared" si="8"/>
        <v>-0.93960399897678626</v>
      </c>
    </row>
    <row r="13" spans="1:18" s="146" customFormat="1" ht="10" customHeight="1">
      <c r="B13" s="144" t="s">
        <v>194</v>
      </c>
      <c r="C13" s="30"/>
      <c r="D13" s="145">
        <f t="shared" ref="D13:H13" si="9">D11/D$3</f>
        <v>0</v>
      </c>
      <c r="E13" s="145">
        <f t="shared" si="9"/>
        <v>1.792233894452732E-2</v>
      </c>
      <c r="F13" s="145">
        <f t="shared" si="9"/>
        <v>9.0320422281556456E-2</v>
      </c>
      <c r="G13" s="145">
        <f t="shared" si="9"/>
        <v>0.15661015087323341</v>
      </c>
      <c r="H13" s="145">
        <f t="shared" si="9"/>
        <v>0.15419699496852929</v>
      </c>
      <c r="I13" s="145">
        <f t="shared" ref="I13:J13" si="10">I11/I$3</f>
        <v>0.1984530756882151</v>
      </c>
      <c r="J13" s="145">
        <f t="shared" si="10"/>
        <v>0.23514069497026616</v>
      </c>
    </row>
    <row r="14" spans="1:18" s="24" customFormat="1" ht="20" customHeight="1">
      <c r="B14" s="24" t="s">
        <v>61</v>
      </c>
      <c r="C14" s="31">
        <f>SUM(D14:H14)/SUM($D$3:$H$3)</f>
        <v>2.1582431103669632E-3</v>
      </c>
      <c r="D14" s="25">
        <v>0</v>
      </c>
      <c r="E14" s="25">
        <v>0</v>
      </c>
      <c r="F14" s="25">
        <v>0</v>
      </c>
      <c r="G14" s="25">
        <v>0</v>
      </c>
      <c r="H14" s="25">
        <v>936697</v>
      </c>
      <c r="I14" s="25">
        <v>255000</v>
      </c>
      <c r="J14" s="25">
        <f>'DRE Mensal'!C14</f>
        <v>0</v>
      </c>
    </row>
    <row r="15" spans="1:18" s="36" customFormat="1" ht="10" customHeight="1">
      <c r="B15" s="36" t="s">
        <v>195</v>
      </c>
      <c r="C15" s="28"/>
      <c r="D15" s="37">
        <v>0</v>
      </c>
      <c r="E15" s="37" t="e">
        <f t="shared" ref="E15:J15" si="11">E14/D14-1</f>
        <v>#DIV/0!</v>
      </c>
      <c r="F15" s="37" t="e">
        <f t="shared" si="11"/>
        <v>#DIV/0!</v>
      </c>
      <c r="G15" s="37" t="e">
        <f t="shared" si="11"/>
        <v>#DIV/0!</v>
      </c>
      <c r="H15" s="37" t="e">
        <f t="shared" si="11"/>
        <v>#DIV/0!</v>
      </c>
      <c r="I15" s="37">
        <f t="shared" si="11"/>
        <v>-0.72776682320963981</v>
      </c>
      <c r="J15" s="37">
        <f t="shared" si="11"/>
        <v>-1</v>
      </c>
    </row>
    <row r="16" spans="1:18" s="146" customFormat="1" ht="10" customHeight="1">
      <c r="B16" s="146" t="s">
        <v>194</v>
      </c>
      <c r="C16" s="28"/>
      <c r="D16" s="147">
        <f t="shared" ref="D16:H16" si="12">D14/D$3</f>
        <v>0</v>
      </c>
      <c r="E16" s="147">
        <f t="shared" si="12"/>
        <v>0</v>
      </c>
      <c r="F16" s="147">
        <f t="shared" si="12"/>
        <v>0</v>
      </c>
      <c r="G16" s="147">
        <f t="shared" si="12"/>
        <v>0</v>
      </c>
      <c r="H16" s="147">
        <f t="shared" si="12"/>
        <v>7.8941208713370781E-3</v>
      </c>
      <c r="I16" s="147">
        <f t="shared" ref="I16:J16" si="13">I14/I$3</f>
        <v>2.1420211944257746E-3</v>
      </c>
      <c r="J16" s="147">
        <f t="shared" si="13"/>
        <v>0</v>
      </c>
    </row>
    <row r="17" spans="1:10" s="22" customFormat="1" ht="20" customHeight="1">
      <c r="B17" s="153" t="s">
        <v>133</v>
      </c>
      <c r="C17" s="154"/>
      <c r="D17" s="29">
        <f t="shared" ref="D17:J17" si="14">D20+D23</f>
        <v>-3360330.61</v>
      </c>
      <c r="E17" s="29">
        <f t="shared" si="14"/>
        <v>-3407524.17</v>
      </c>
      <c r="F17" s="29">
        <f t="shared" si="14"/>
        <v>-7379889.8499999996</v>
      </c>
      <c r="G17" s="29">
        <f t="shared" si="14"/>
        <v>-13355303.140000001</v>
      </c>
      <c r="H17" s="29">
        <f t="shared" si="14"/>
        <v>-12702517.989999998</v>
      </c>
      <c r="I17" s="29">
        <f t="shared" si="14"/>
        <v>-11725273.550000001</v>
      </c>
      <c r="J17" s="29">
        <f t="shared" si="14"/>
        <v>-482229.64</v>
      </c>
    </row>
    <row r="18" spans="1:10" s="36" customFormat="1" ht="10" customHeight="1">
      <c r="B18" s="36" t="s">
        <v>195</v>
      </c>
      <c r="C18" s="28"/>
      <c r="D18" s="37">
        <v>0</v>
      </c>
      <c r="E18" s="37">
        <f t="shared" ref="E18:J18" si="15">E17/D17-1</f>
        <v>1.404432047833537E-2</v>
      </c>
      <c r="F18" s="37">
        <f t="shared" si="15"/>
        <v>1.1657630237733572</v>
      </c>
      <c r="G18" s="37">
        <f t="shared" si="15"/>
        <v>0.80968868254856141</v>
      </c>
      <c r="H18" s="37">
        <f t="shared" si="15"/>
        <v>-4.8878347661377219E-2</v>
      </c>
      <c r="I18" s="37">
        <f t="shared" si="15"/>
        <v>-7.6933127807362944E-2</v>
      </c>
      <c r="J18" s="37">
        <f t="shared" si="15"/>
        <v>-0.95887263201633366</v>
      </c>
    </row>
    <row r="19" spans="1:10" s="146" customFormat="1" ht="10" customHeight="1">
      <c r="B19" s="144" t="s">
        <v>194</v>
      </c>
      <c r="C19" s="30"/>
      <c r="D19" s="145">
        <f t="shared" ref="D19:H19" si="16">D17/D$3*-1</f>
        <v>0.10186511850622507</v>
      </c>
      <c r="E19" s="145">
        <f t="shared" si="16"/>
        <v>6.9985817757549973E-2</v>
      </c>
      <c r="F19" s="145">
        <f t="shared" si="16"/>
        <v>7.0026243789289927E-2</v>
      </c>
      <c r="G19" s="145">
        <f t="shared" si="16"/>
        <v>0.10410473893466239</v>
      </c>
      <c r="H19" s="145">
        <f t="shared" si="16"/>
        <v>0.10705192008023268</v>
      </c>
      <c r="I19" s="145">
        <f t="shared" ref="I19:J19" si="17">I17/I$3*-1</f>
        <v>9.8493272370744872E-2</v>
      </c>
      <c r="J19" s="145">
        <f t="shared" si="17"/>
        <v>7.9469277261262711E-2</v>
      </c>
    </row>
    <row r="20" spans="1:10" s="24" customFormat="1" ht="20" customHeight="1">
      <c r="B20" s="155" t="s">
        <v>62</v>
      </c>
      <c r="C20" s="33">
        <f>SUM(D20:H20)/SUM($D$3:$H$3)*-1</f>
        <v>8.7870276691132555E-3</v>
      </c>
      <c r="D20" s="156">
        <v>0</v>
      </c>
      <c r="E20" s="156">
        <v>-367058.21</v>
      </c>
      <c r="F20" s="156">
        <v>-440693.29</v>
      </c>
      <c r="G20" s="156">
        <v>-1720827.9</v>
      </c>
      <c r="H20" s="156">
        <v>-1285069.96</v>
      </c>
      <c r="I20" s="25">
        <v>-829071.80000000016</v>
      </c>
      <c r="J20" s="25">
        <f>'DRE Mensal'!C20</f>
        <v>-2044.78</v>
      </c>
    </row>
    <row r="21" spans="1:10" s="36" customFormat="1" ht="10" customHeight="1">
      <c r="B21" s="36" t="s">
        <v>195</v>
      </c>
      <c r="C21" s="28"/>
      <c r="D21" s="37">
        <v>0</v>
      </c>
      <c r="E21" s="37" t="e">
        <f t="shared" ref="E21:J21" si="18">E20/D20-1</f>
        <v>#DIV/0!</v>
      </c>
      <c r="F21" s="37">
        <f t="shared" si="18"/>
        <v>0.20060872633798321</v>
      </c>
      <c r="G21" s="37">
        <f t="shared" si="18"/>
        <v>2.9048198351284178</v>
      </c>
      <c r="H21" s="37">
        <f t="shared" si="18"/>
        <v>-0.25322575255782409</v>
      </c>
      <c r="I21" s="37">
        <f t="shared" si="18"/>
        <v>-0.35484306239638486</v>
      </c>
      <c r="J21" s="37">
        <f t="shared" si="18"/>
        <v>-0.99753365148832707</v>
      </c>
    </row>
    <row r="22" spans="1:10" s="146" customFormat="1" ht="10" customHeight="1">
      <c r="B22" s="144" t="s">
        <v>194</v>
      </c>
      <c r="C22" s="30"/>
      <c r="D22" s="145">
        <f t="shared" ref="D22:H22" si="19">D20/D$17</f>
        <v>0</v>
      </c>
      <c r="E22" s="145">
        <f t="shared" si="19"/>
        <v>0.10771991383996553</v>
      </c>
      <c r="F22" s="145">
        <f t="shared" si="19"/>
        <v>5.9715429221480862E-2</v>
      </c>
      <c r="G22" s="145">
        <f t="shared" si="19"/>
        <v>0.12884978213980097</v>
      </c>
      <c r="H22" s="145">
        <f t="shared" si="19"/>
        <v>0.1011665530418194</v>
      </c>
      <c r="I22" s="145">
        <f t="shared" ref="I22:J22" si="20">I20/I$17</f>
        <v>7.070809874623353E-2</v>
      </c>
      <c r="J22" s="145">
        <f t="shared" si="20"/>
        <v>4.2402619631592949E-3</v>
      </c>
    </row>
    <row r="23" spans="1:10" s="24" customFormat="1" ht="20" customHeight="1">
      <c r="B23" s="24" t="s">
        <v>125</v>
      </c>
      <c r="C23" s="31">
        <f>SUM(D23:H23)/SUM($D$3:$H$3)*-1</f>
        <v>8.3850597197760321E-2</v>
      </c>
      <c r="D23" s="25">
        <v>-3360330.61</v>
      </c>
      <c r="E23" s="25">
        <v>-3040465.96</v>
      </c>
      <c r="F23" s="25">
        <v>-6939196.5599999996</v>
      </c>
      <c r="G23" s="25">
        <v>-11634475.24</v>
      </c>
      <c r="H23" s="25">
        <v>-11417448.029999999</v>
      </c>
      <c r="I23" s="25">
        <v>-10896201.75</v>
      </c>
      <c r="J23" s="25">
        <f>'DRE Mensal'!C23</f>
        <v>-480184.86</v>
      </c>
    </row>
    <row r="24" spans="1:10" s="36" customFormat="1" ht="10" customHeight="1">
      <c r="B24" s="36" t="s">
        <v>195</v>
      </c>
      <c r="C24" s="28"/>
      <c r="D24" s="37">
        <v>0</v>
      </c>
      <c r="E24" s="37">
        <f t="shared" ref="E24:J24" si="21">E23/D23-1</f>
        <v>-9.5188446353497325E-2</v>
      </c>
      <c r="F24" s="37">
        <f t="shared" si="21"/>
        <v>1.2822806278021939</v>
      </c>
      <c r="G24" s="37">
        <f t="shared" si="21"/>
        <v>0.67663145717261552</v>
      </c>
      <c r="H24" s="37">
        <f t="shared" si="21"/>
        <v>-1.8653803074319075E-2</v>
      </c>
      <c r="I24" s="37">
        <f t="shared" si="21"/>
        <v>-4.565348391605506E-2</v>
      </c>
      <c r="J24" s="37">
        <f t="shared" si="21"/>
        <v>-0.95593098668533738</v>
      </c>
    </row>
    <row r="25" spans="1:10" s="146" customFormat="1" ht="10" customHeight="1">
      <c r="B25" s="144" t="s">
        <v>194</v>
      </c>
      <c r="C25" s="30"/>
      <c r="D25" s="145">
        <f t="shared" ref="D25:H25" si="22">D23/D$17</f>
        <v>1</v>
      </c>
      <c r="E25" s="145">
        <f t="shared" si="22"/>
        <v>0.89228008616003451</v>
      </c>
      <c r="F25" s="145">
        <f t="shared" si="22"/>
        <v>0.94028457077851912</v>
      </c>
      <c r="G25" s="145">
        <f t="shared" si="22"/>
        <v>0.87115021786019897</v>
      </c>
      <c r="H25" s="145">
        <f t="shared" si="22"/>
        <v>0.89883344695818068</v>
      </c>
      <c r="I25" s="145">
        <f t="shared" ref="I25:J25" si="23">I23/I$17</f>
        <v>0.92929190125376637</v>
      </c>
      <c r="J25" s="145">
        <f t="shared" si="23"/>
        <v>0.9957597380368407</v>
      </c>
    </row>
    <row r="26" spans="1:10" s="22" customFormat="1" ht="20" customHeight="1">
      <c r="A26" s="158" t="s">
        <v>134</v>
      </c>
      <c r="B26" s="158"/>
      <c r="C26" s="253">
        <f>SUM(D26:I26)/SUM(D3:I3)</f>
        <v>0.90610193376420423</v>
      </c>
      <c r="D26" s="159">
        <f t="shared" ref="D26:J26" si="24">D3+D17</f>
        <v>29627709.449999999</v>
      </c>
      <c r="E26" s="159">
        <f t="shared" si="24"/>
        <v>45281257.060000002</v>
      </c>
      <c r="F26" s="159">
        <f t="shared" si="24"/>
        <v>98007597.050000012</v>
      </c>
      <c r="G26" s="159">
        <f t="shared" si="24"/>
        <v>114931874.53</v>
      </c>
      <c r="H26" s="159">
        <f t="shared" si="24"/>
        <v>105955026.69000001</v>
      </c>
      <c r="I26" s="159">
        <f t="shared" si="24"/>
        <v>107321167.56999999</v>
      </c>
      <c r="J26" s="159">
        <f t="shared" si="24"/>
        <v>5585897.0200000005</v>
      </c>
    </row>
    <row r="27" spans="1:10" s="36" customFormat="1" ht="10" customHeight="1">
      <c r="A27" s="160" t="s">
        <v>195</v>
      </c>
      <c r="B27" s="160"/>
      <c r="C27" s="161"/>
      <c r="D27" s="162">
        <v>0</v>
      </c>
      <c r="E27" s="162">
        <f t="shared" ref="E27:J27" si="25">E26/D26-1</f>
        <v>0.52834147156792799</v>
      </c>
      <c r="F27" s="162">
        <f t="shared" si="25"/>
        <v>1.1644186450065837</v>
      </c>
      <c r="G27" s="162">
        <f t="shared" si="25"/>
        <v>0.17268332240985185</v>
      </c>
      <c r="H27" s="162">
        <f t="shared" si="25"/>
        <v>-7.8105815960191394E-2</v>
      </c>
      <c r="I27" s="162">
        <f t="shared" si="25"/>
        <v>1.2893591957623629E-2</v>
      </c>
      <c r="J27" s="162">
        <f t="shared" si="25"/>
        <v>-0.94795158171982608</v>
      </c>
    </row>
    <row r="28" spans="1:10" s="146" customFormat="1" ht="10" customHeight="1">
      <c r="A28" s="163" t="s">
        <v>194</v>
      </c>
      <c r="B28" s="163"/>
      <c r="C28" s="164"/>
      <c r="D28" s="165">
        <f t="shared" ref="D28:H28" si="26">D26/D$3</f>
        <v>0.89813488149377496</v>
      </c>
      <c r="E28" s="165">
        <f t="shared" si="26"/>
        <v>0.93001418224245003</v>
      </c>
      <c r="F28" s="165">
        <f t="shared" si="26"/>
        <v>0.9299737562107101</v>
      </c>
      <c r="G28" s="165">
        <f t="shared" si="26"/>
        <v>0.89589526106533757</v>
      </c>
      <c r="H28" s="165">
        <f t="shared" si="26"/>
        <v>0.89294807991976732</v>
      </c>
      <c r="I28" s="165">
        <f t="shared" ref="I28:J28" si="27">I26/I$3</f>
        <v>0.90150672762925521</v>
      </c>
      <c r="J28" s="165">
        <f t="shared" si="27"/>
        <v>0.92053072273873737</v>
      </c>
    </row>
    <row r="29" spans="1:10" s="22" customFormat="1" ht="20" customHeight="1">
      <c r="A29" s="157" t="s">
        <v>130</v>
      </c>
      <c r="C29" s="31">
        <f>SUM(D29:H29)/SUM($D$26:$H$26)*-1</f>
        <v>0.69701270864476217</v>
      </c>
      <c r="D29" s="23">
        <f t="shared" ref="D29:J29" si="28">SUM(D32,D35)</f>
        <v>-21245518.789999999</v>
      </c>
      <c r="E29" s="23">
        <f t="shared" si="28"/>
        <v>-27583396.440000001</v>
      </c>
      <c r="F29" s="23">
        <f t="shared" si="28"/>
        <v>-65778679.420000002</v>
      </c>
      <c r="G29" s="23">
        <f t="shared" si="28"/>
        <v>-85471902.899999991</v>
      </c>
      <c r="H29" s="23">
        <f t="shared" si="28"/>
        <v>-74406522.109999999</v>
      </c>
      <c r="I29" s="23">
        <f t="shared" si="28"/>
        <v>-81167259.039999992</v>
      </c>
      <c r="J29" s="23">
        <f t="shared" si="28"/>
        <v>-4967646.43</v>
      </c>
    </row>
    <row r="30" spans="1:10" s="36" customFormat="1" ht="10" customHeight="1">
      <c r="A30" s="36" t="s">
        <v>195</v>
      </c>
      <c r="C30" s="28"/>
      <c r="D30" s="37">
        <v>0</v>
      </c>
      <c r="E30" s="37">
        <f t="shared" ref="E30:J30" si="29">E29/D29-1</f>
        <v>0.29831597489552308</v>
      </c>
      <c r="F30" s="37">
        <f t="shared" si="29"/>
        <v>1.3847200819914693</v>
      </c>
      <c r="G30" s="37">
        <f t="shared" si="29"/>
        <v>0.29938611801945458</v>
      </c>
      <c r="H30" s="37">
        <f t="shared" si="29"/>
        <v>-0.12946220236779116</v>
      </c>
      <c r="I30" s="37">
        <f t="shared" si="29"/>
        <v>9.0862154798811323E-2</v>
      </c>
      <c r="J30" s="37">
        <f t="shared" si="29"/>
        <v>-0.93879741057226174</v>
      </c>
    </row>
    <row r="31" spans="1:10" s="146" customFormat="1" ht="10" customHeight="1">
      <c r="A31" s="144" t="s">
        <v>194</v>
      </c>
      <c r="B31" s="144"/>
      <c r="C31" s="30"/>
      <c r="D31" s="145">
        <f t="shared" ref="D31:H31" si="30">D29/D$26*-1</f>
        <v>0.71708273047074855</v>
      </c>
      <c r="E31" s="145">
        <f t="shared" si="30"/>
        <v>0.60915703827414902</v>
      </c>
      <c r="F31" s="145">
        <f t="shared" si="30"/>
        <v>0.67115898562885945</v>
      </c>
      <c r="G31" s="145">
        <f t="shared" si="30"/>
        <v>0.74367448759995436</v>
      </c>
      <c r="H31" s="145">
        <f t="shared" si="30"/>
        <v>0.70224626838796744</v>
      </c>
      <c r="I31" s="145">
        <f t="shared" ref="I31:J31" si="31">I29/I$26*-1</f>
        <v>0.75630242269828851</v>
      </c>
      <c r="J31" s="145">
        <f t="shared" si="31"/>
        <v>0.8893193720209327</v>
      </c>
    </row>
    <row r="32" spans="1:10" s="24" customFormat="1" ht="20" customHeight="1">
      <c r="B32" s="155" t="s">
        <v>111</v>
      </c>
      <c r="C32" s="31">
        <f>SUM(D32:H32)/SUM($D$26:$H$26)*-1</f>
        <v>0.64080424983304018</v>
      </c>
      <c r="D32" s="156">
        <v>-21245518.789999999</v>
      </c>
      <c r="E32" s="156">
        <v>-27583396.440000001</v>
      </c>
      <c r="F32" s="156">
        <v>-65778679.420000002</v>
      </c>
      <c r="G32" s="156">
        <v>-74633551.849999994</v>
      </c>
      <c r="H32" s="156">
        <v>-63109787.329999998</v>
      </c>
      <c r="I32" s="25">
        <v>-68499525.629999995</v>
      </c>
      <c r="J32" s="25">
        <f>'DRE Mensal'!C32</f>
        <v>-4098335.47</v>
      </c>
    </row>
    <row r="33" spans="1:10" s="36" customFormat="1" ht="10" customHeight="1">
      <c r="B33" s="36" t="s">
        <v>195</v>
      </c>
      <c r="C33" s="28"/>
      <c r="D33" s="37">
        <v>0</v>
      </c>
      <c r="E33" s="37">
        <f t="shared" ref="E33:J33" si="32">E32/D32-1</f>
        <v>0.29831597489552308</v>
      </c>
      <c r="F33" s="37">
        <f t="shared" si="32"/>
        <v>1.3847200819914693</v>
      </c>
      <c r="G33" s="37">
        <f t="shared" si="32"/>
        <v>0.13461614778644626</v>
      </c>
      <c r="H33" s="37">
        <f t="shared" si="32"/>
        <v>-0.15440461071932754</v>
      </c>
      <c r="I33" s="37">
        <f t="shared" si="32"/>
        <v>8.5402574276112642E-2</v>
      </c>
      <c r="J33" s="37">
        <f t="shared" si="32"/>
        <v>-0.94016987077929348</v>
      </c>
    </row>
    <row r="34" spans="1:10" s="146" customFormat="1" ht="10" customHeight="1">
      <c r="B34" s="144" t="s">
        <v>194</v>
      </c>
      <c r="C34" s="30"/>
      <c r="D34" s="145">
        <f>D32/D$29</f>
        <v>1</v>
      </c>
      <c r="E34" s="145">
        <f t="shared" ref="E34:H34" si="33">E32/E$17</f>
        <v>8.0948498275802407</v>
      </c>
      <c r="F34" s="145">
        <f t="shared" si="33"/>
        <v>8.9132332266449747</v>
      </c>
      <c r="G34" s="145">
        <f t="shared" si="33"/>
        <v>5.5883083347219324</v>
      </c>
      <c r="H34" s="145">
        <f t="shared" si="33"/>
        <v>4.9682895454021718</v>
      </c>
      <c r="I34" s="145">
        <f t="shared" ref="I34:J34" si="34">I32/I$17</f>
        <v>5.8420407283376337</v>
      </c>
      <c r="J34" s="145">
        <f t="shared" si="34"/>
        <v>8.4987216256553619</v>
      </c>
    </row>
    <row r="35" spans="1:10" s="24" customFormat="1" ht="20" customHeight="1">
      <c r="B35" s="24" t="s">
        <v>106</v>
      </c>
      <c r="C35" s="31">
        <f>SUM(D35:H35)/SUM($D$26:$H$26)*-1</f>
        <v>5.6208458811721873E-2</v>
      </c>
      <c r="D35" s="25">
        <v>0</v>
      </c>
      <c r="E35" s="25">
        <v>0</v>
      </c>
      <c r="F35" s="25">
        <v>0</v>
      </c>
      <c r="G35" s="25">
        <v>-10838351.050000001</v>
      </c>
      <c r="H35" s="25">
        <v>-11296734.779999999</v>
      </c>
      <c r="I35" s="25">
        <v>-12667733.41</v>
      </c>
      <c r="J35" s="25">
        <f>'DRE Mensal'!C35</f>
        <v>-869310.96</v>
      </c>
    </row>
    <row r="36" spans="1:10" s="36" customFormat="1" ht="10" customHeight="1">
      <c r="B36" s="36" t="s">
        <v>195</v>
      </c>
      <c r="C36" s="28"/>
      <c r="D36" s="37">
        <v>0</v>
      </c>
      <c r="E36" s="37" t="e">
        <f t="shared" ref="E36:J36" si="35">E35/D35-1</f>
        <v>#DIV/0!</v>
      </c>
      <c r="F36" s="37" t="e">
        <f t="shared" si="35"/>
        <v>#DIV/0!</v>
      </c>
      <c r="G36" s="37" t="e">
        <f t="shared" si="35"/>
        <v>#DIV/0!</v>
      </c>
      <c r="H36" s="37">
        <f t="shared" si="35"/>
        <v>4.2292755409504723E-2</v>
      </c>
      <c r="I36" s="37">
        <f t="shared" si="35"/>
        <v>0.12136238096226259</v>
      </c>
      <c r="J36" s="37">
        <f t="shared" si="35"/>
        <v>-0.93137596664974343</v>
      </c>
    </row>
    <row r="37" spans="1:10" s="146" customFormat="1" ht="10" customHeight="1">
      <c r="B37" s="144" t="s">
        <v>194</v>
      </c>
      <c r="C37" s="30"/>
      <c r="D37" s="145">
        <f t="shared" ref="D37:H37" si="36">D35/D$17</f>
        <v>0</v>
      </c>
      <c r="E37" s="145">
        <f t="shared" si="36"/>
        <v>0</v>
      </c>
      <c r="F37" s="145">
        <f t="shared" si="36"/>
        <v>0</v>
      </c>
      <c r="G37" s="145">
        <f t="shared" si="36"/>
        <v>0.81153912692093344</v>
      </c>
      <c r="H37" s="145">
        <f t="shared" si="36"/>
        <v>0.889330350792914</v>
      </c>
      <c r="I37" s="145">
        <f t="shared" ref="I37:J37" si="37">I35/I$17</f>
        <v>1.0803784965852672</v>
      </c>
      <c r="J37" s="145">
        <f t="shared" si="37"/>
        <v>1.8026908507739174</v>
      </c>
    </row>
    <row r="38" spans="1:10" s="24" customFormat="1" ht="20" customHeight="1">
      <c r="A38" s="158" t="s">
        <v>135</v>
      </c>
      <c r="B38" s="166"/>
      <c r="C38" s="167">
        <f>SUM(D38:H38)/SUM($D$26:$H$26)</f>
        <v>0.30298729135523789</v>
      </c>
      <c r="D38" s="159">
        <f t="shared" ref="D38:J38" si="38">D26+D29</f>
        <v>8382190.6600000001</v>
      </c>
      <c r="E38" s="159">
        <f t="shared" si="38"/>
        <v>17697860.620000001</v>
      </c>
      <c r="F38" s="159">
        <f t="shared" si="38"/>
        <v>32228917.63000001</v>
      </c>
      <c r="G38" s="159">
        <f t="shared" si="38"/>
        <v>29459971.63000001</v>
      </c>
      <c r="H38" s="159">
        <f t="shared" si="38"/>
        <v>31548504.580000013</v>
      </c>
      <c r="I38" s="159">
        <f t="shared" si="38"/>
        <v>26153908.530000001</v>
      </c>
      <c r="J38" s="159">
        <f t="shared" si="38"/>
        <v>618250.59000000078</v>
      </c>
    </row>
    <row r="39" spans="1:10" s="36" customFormat="1" ht="10" customHeight="1">
      <c r="A39" s="160" t="s">
        <v>195</v>
      </c>
      <c r="B39" s="160"/>
      <c r="C39" s="161"/>
      <c r="D39" s="162">
        <v>0</v>
      </c>
      <c r="E39" s="162">
        <f t="shared" ref="E39:J39" si="39">E38/D38-1</f>
        <v>1.1113645988100203</v>
      </c>
      <c r="F39" s="162">
        <f t="shared" si="39"/>
        <v>0.82106291387438946</v>
      </c>
      <c r="G39" s="162">
        <f t="shared" si="39"/>
        <v>-8.5914954755494155E-2</v>
      </c>
      <c r="H39" s="162">
        <f t="shared" si="39"/>
        <v>7.0893922649714503E-2</v>
      </c>
      <c r="I39" s="162">
        <f t="shared" si="39"/>
        <v>-0.17099371655859352</v>
      </c>
      <c r="J39" s="162">
        <f t="shared" si="39"/>
        <v>-0.97636106323111005</v>
      </c>
    </row>
    <row r="40" spans="1:10" s="146" customFormat="1" ht="10" customHeight="1">
      <c r="A40" s="168" t="s">
        <v>194</v>
      </c>
      <c r="B40" s="168"/>
      <c r="C40" s="161"/>
      <c r="D40" s="169">
        <f t="shared" ref="D40:H40" si="40">D38/D$26</f>
        <v>0.28291726952925145</v>
      </c>
      <c r="E40" s="169">
        <f t="shared" si="40"/>
        <v>0.39084296172585098</v>
      </c>
      <c r="F40" s="169">
        <f t="shared" si="40"/>
        <v>0.32884101437114061</v>
      </c>
      <c r="G40" s="169">
        <f t="shared" si="40"/>
        <v>0.2563255124000457</v>
      </c>
      <c r="H40" s="169">
        <f t="shared" si="40"/>
        <v>0.29775373161203261</v>
      </c>
      <c r="I40" s="169">
        <f t="shared" ref="I40:J40" si="41">I38/I$26</f>
        <v>0.24369757730171146</v>
      </c>
      <c r="J40" s="169">
        <f t="shared" si="41"/>
        <v>0.11068062797906732</v>
      </c>
    </row>
    <row r="41" spans="1:10" s="22" customFormat="1" ht="20" customHeight="1">
      <c r="A41" s="153" t="s">
        <v>131</v>
      </c>
      <c r="B41" s="153"/>
      <c r="C41" s="33">
        <f>SUM(D41:H41)/SUM($D$26:$H$26)*-1</f>
        <v>0.17100637445539338</v>
      </c>
      <c r="D41" s="29">
        <f t="shared" ref="D41:J41" si="42">SUM(D44,D47,D50)</f>
        <v>-3609011.31</v>
      </c>
      <c r="E41" s="29">
        <f t="shared" si="42"/>
        <v>-7469480.9400000004</v>
      </c>
      <c r="F41" s="29">
        <f t="shared" si="42"/>
        <v>-14626324.800000001</v>
      </c>
      <c r="G41" s="29">
        <f t="shared" si="42"/>
        <v>-19813350.68</v>
      </c>
      <c r="H41" s="29">
        <f t="shared" si="42"/>
        <v>-21824735.029999997</v>
      </c>
      <c r="I41" s="29">
        <f t="shared" si="42"/>
        <v>-21195443.449999999</v>
      </c>
      <c r="J41" s="29">
        <f t="shared" si="42"/>
        <v>-1365424.5</v>
      </c>
    </row>
    <row r="42" spans="1:10" s="36" customFormat="1" ht="10" customHeight="1">
      <c r="A42" s="46" t="s">
        <v>195</v>
      </c>
      <c r="B42" s="46"/>
      <c r="C42" s="28"/>
      <c r="D42" s="170">
        <v>0</v>
      </c>
      <c r="E42" s="170">
        <f t="shared" ref="E42:J42" si="43">E41/D41-1</f>
        <v>1.0696751266207589</v>
      </c>
      <c r="F42" s="170">
        <f t="shared" si="43"/>
        <v>0.95814473823397961</v>
      </c>
      <c r="G42" s="170">
        <f t="shared" si="43"/>
        <v>0.35463631164542431</v>
      </c>
      <c r="H42" s="170">
        <f t="shared" si="43"/>
        <v>0.10151661788484523</v>
      </c>
      <c r="I42" s="170">
        <f t="shared" si="43"/>
        <v>-2.8833870337256373E-2</v>
      </c>
      <c r="J42" s="170">
        <f t="shared" si="43"/>
        <v>-0.93557933792604842</v>
      </c>
    </row>
    <row r="43" spans="1:10" s="146" customFormat="1" ht="10" customHeight="1">
      <c r="A43" s="144" t="s">
        <v>194</v>
      </c>
      <c r="B43" s="144"/>
      <c r="C43" s="30"/>
      <c r="D43" s="145">
        <f t="shared" ref="D43:H43" si="44">D41/D$26*-1</f>
        <v>0.12181202587026181</v>
      </c>
      <c r="E43" s="145">
        <f t="shared" si="44"/>
        <v>0.16495745535735795</v>
      </c>
      <c r="F43" s="145">
        <f t="shared" si="44"/>
        <v>0.14923664328325656</v>
      </c>
      <c r="G43" s="145">
        <f t="shared" si="44"/>
        <v>0.17239213021648087</v>
      </c>
      <c r="H43" s="145">
        <f t="shared" si="44"/>
        <v>0.20598111964856694</v>
      </c>
      <c r="I43" s="145">
        <f t="shared" ref="I43:J43" si="45">I41/I$26*-1</f>
        <v>0.19749546086679795</v>
      </c>
      <c r="J43" s="145">
        <f t="shared" si="45"/>
        <v>0.24444140217966279</v>
      </c>
    </row>
    <row r="44" spans="1:10" s="24" customFormat="1" ht="20" customHeight="1">
      <c r="B44" s="24" t="s">
        <v>22</v>
      </c>
      <c r="C44" s="31">
        <f>SUM(D44:H44)/SUM($D$26:$H$26)*-1</f>
        <v>8.6740149376498835E-2</v>
      </c>
      <c r="D44" s="25">
        <v>-2381535.2999999998</v>
      </c>
      <c r="E44" s="25">
        <v>-4230255.57</v>
      </c>
      <c r="F44" s="25">
        <v>-8700862.5899999999</v>
      </c>
      <c r="G44" s="25">
        <v>-8206372.3200000003</v>
      </c>
      <c r="H44" s="25">
        <v>-10639545.58</v>
      </c>
      <c r="I44" s="25">
        <v>-13715866.880000001</v>
      </c>
      <c r="J44" s="25">
        <f>'DRE Mensal'!C44</f>
        <v>-950987.29</v>
      </c>
    </row>
    <row r="45" spans="1:10" s="36" customFormat="1" ht="10" customHeight="1">
      <c r="B45" s="36" t="s">
        <v>195</v>
      </c>
      <c r="C45" s="28"/>
      <c r="D45" s="37">
        <v>0</v>
      </c>
      <c r="E45" s="37">
        <f t="shared" ref="E45:J45" si="46">E44/D44-1</f>
        <v>0.77627246171828768</v>
      </c>
      <c r="F45" s="37">
        <f t="shared" si="46"/>
        <v>1.056817240949818</v>
      </c>
      <c r="G45" s="37">
        <f t="shared" si="46"/>
        <v>-5.6832327241706171E-2</v>
      </c>
      <c r="H45" s="37">
        <f t="shared" si="46"/>
        <v>0.29649803410333209</v>
      </c>
      <c r="I45" s="37">
        <f t="shared" si="46"/>
        <v>0.28914029051981371</v>
      </c>
      <c r="J45" s="37">
        <f t="shared" si="46"/>
        <v>-0.93066517061442933</v>
      </c>
    </row>
    <row r="46" spans="1:10" s="146" customFormat="1" ht="10" customHeight="1">
      <c r="B46" s="144" t="s">
        <v>194</v>
      </c>
      <c r="C46" s="30"/>
      <c r="D46" s="145">
        <f t="shared" ref="D46:H46" si="47">D44/D$41</f>
        <v>0.65988579570286798</v>
      </c>
      <c r="E46" s="145">
        <f t="shared" si="47"/>
        <v>0.56633862566627025</v>
      </c>
      <c r="F46" s="145">
        <f t="shared" si="47"/>
        <v>0.59487688869045208</v>
      </c>
      <c r="G46" s="145">
        <f t="shared" si="47"/>
        <v>0.4141839738537349</v>
      </c>
      <c r="H46" s="145">
        <f t="shared" si="47"/>
        <v>0.48749941593219892</v>
      </c>
      <c r="I46" s="145">
        <f t="shared" ref="I46:J46" si="48">I44/I$41</f>
        <v>0.64711393806672168</v>
      </c>
      <c r="J46" s="145">
        <f t="shared" si="48"/>
        <v>0.69647738853374908</v>
      </c>
    </row>
    <row r="47" spans="1:10" s="24" customFormat="1" ht="20" customHeight="1">
      <c r="B47" s="24" t="s">
        <v>23</v>
      </c>
      <c r="C47" s="31">
        <f>SUM(D47:H47)/SUM($D$26:$H$26)*-1</f>
        <v>7.7774568126540988E-2</v>
      </c>
      <c r="D47" s="25">
        <v>-698456.16</v>
      </c>
      <c r="E47" s="25">
        <v>-2945004.57</v>
      </c>
      <c r="F47" s="25">
        <v>-5591901.2999999998</v>
      </c>
      <c r="G47" s="25">
        <v>-11006172.26</v>
      </c>
      <c r="H47" s="25">
        <v>-10386360.109999999</v>
      </c>
      <c r="I47" s="25">
        <v>-6941980.7999999998</v>
      </c>
      <c r="J47" s="25">
        <f>'DRE Mensal'!C47</f>
        <v>-404465.36</v>
      </c>
    </row>
    <row r="48" spans="1:10" s="36" customFormat="1" ht="10" customHeight="1">
      <c r="B48" s="36" t="s">
        <v>195</v>
      </c>
      <c r="C48" s="28"/>
      <c r="D48" s="37">
        <v>0</v>
      </c>
      <c r="E48" s="37">
        <f t="shared" ref="E48:J48" si="49">E47/D47-1</f>
        <v>3.2164487030939775</v>
      </c>
      <c r="F48" s="37">
        <f t="shared" si="49"/>
        <v>0.89877508407397833</v>
      </c>
      <c r="G48" s="37">
        <f t="shared" si="49"/>
        <v>0.96823435706921357</v>
      </c>
      <c r="H48" s="37">
        <f t="shared" si="49"/>
        <v>-5.6314959947755705E-2</v>
      </c>
      <c r="I48" s="37">
        <f t="shared" si="49"/>
        <v>-0.33162525403714316</v>
      </c>
      <c r="J48" s="37">
        <f t="shared" si="49"/>
        <v>-0.94173631825659898</v>
      </c>
    </row>
    <row r="49" spans="1:10" s="146" customFormat="1" ht="10" customHeight="1">
      <c r="B49" s="144" t="s">
        <v>194</v>
      </c>
      <c r="C49" s="30"/>
      <c r="D49" s="145">
        <f t="shared" ref="D49:H49" si="50">D47/D$41</f>
        <v>0.19353116407939436</v>
      </c>
      <c r="E49" s="145">
        <f t="shared" si="50"/>
        <v>0.39427164934970699</v>
      </c>
      <c r="F49" s="145">
        <f t="shared" si="50"/>
        <v>0.38231759354885919</v>
      </c>
      <c r="G49" s="145">
        <f t="shared" si="50"/>
        <v>0.55549273001612265</v>
      </c>
      <c r="H49" s="145">
        <f t="shared" si="50"/>
        <v>0.47589856627001625</v>
      </c>
      <c r="I49" s="145">
        <f t="shared" ref="I49:J49" si="51">I47/I$41</f>
        <v>0.32752231942568771</v>
      </c>
      <c r="J49" s="145">
        <f t="shared" si="51"/>
        <v>0.29621949803888825</v>
      </c>
    </row>
    <row r="50" spans="1:10" s="24" customFormat="1" ht="20" customHeight="1">
      <c r="B50" s="24" t="s">
        <v>24</v>
      </c>
      <c r="C50" s="31">
        <f>SUM(D50:H50)/SUM($D$26:$H$26)*-1</f>
        <v>6.4916569523535399E-3</v>
      </c>
      <c r="D50" s="25">
        <v>-529019.85</v>
      </c>
      <c r="E50" s="25">
        <v>-294220.79999999999</v>
      </c>
      <c r="F50" s="25">
        <v>-333560.90999999997</v>
      </c>
      <c r="G50" s="25">
        <v>-600806.1</v>
      </c>
      <c r="H50" s="25">
        <v>-798829.34</v>
      </c>
      <c r="I50" s="25">
        <v>-537595.7699999999</v>
      </c>
      <c r="J50" s="25">
        <f>'DRE Mensal'!C50</f>
        <v>-9971.85</v>
      </c>
    </row>
    <row r="51" spans="1:10" s="36" customFormat="1" ht="10" customHeight="1">
      <c r="B51" s="36" t="s">
        <v>195</v>
      </c>
      <c r="C51" s="28"/>
      <c r="D51" s="37">
        <v>0</v>
      </c>
      <c r="E51" s="37">
        <f t="shared" ref="E51:J51" si="52">E50/D50-1</f>
        <v>-0.44383788245374911</v>
      </c>
      <c r="F51" s="37">
        <f t="shared" si="52"/>
        <v>0.13370947941138089</v>
      </c>
      <c r="G51" s="37">
        <f t="shared" si="52"/>
        <v>0.80118857452451486</v>
      </c>
      <c r="H51" s="37">
        <f t="shared" si="52"/>
        <v>0.32959592121318337</v>
      </c>
      <c r="I51" s="37">
        <f t="shared" si="52"/>
        <v>-0.32702049977283021</v>
      </c>
      <c r="J51" s="37">
        <f t="shared" si="52"/>
        <v>-0.98145102592604105</v>
      </c>
    </row>
    <row r="52" spans="1:10" s="146" customFormat="1" ht="10" customHeight="1">
      <c r="B52" s="144" t="s">
        <v>194</v>
      </c>
      <c r="C52" s="30"/>
      <c r="D52" s="145">
        <f t="shared" ref="D52:H52" si="53">D50/D$41</f>
        <v>0.14658304021773763</v>
      </c>
      <c r="E52" s="145">
        <f t="shared" si="53"/>
        <v>3.9389724984022781E-2</v>
      </c>
      <c r="F52" s="145">
        <f t="shared" si="53"/>
        <v>2.2805517760688589E-2</v>
      </c>
      <c r="G52" s="145">
        <f t="shared" si="53"/>
        <v>3.0323296130142487E-2</v>
      </c>
      <c r="H52" s="145">
        <f t="shared" si="53"/>
        <v>3.6602017797784922E-2</v>
      </c>
      <c r="I52" s="145">
        <f t="shared" ref="I52:J52" si="54">I50/I$41</f>
        <v>2.5363742507590704E-2</v>
      </c>
      <c r="J52" s="145">
        <f t="shared" si="54"/>
        <v>7.3031134273626999E-3</v>
      </c>
    </row>
    <row r="53" spans="1:10" s="24" customFormat="1" ht="20" customHeight="1">
      <c r="A53" s="172" t="s">
        <v>69</v>
      </c>
      <c r="B53" s="179"/>
      <c r="C53" s="297">
        <f>SUM(D53:H53)/SUM($D$26:$H$26)</f>
        <v>0.13989558921422152</v>
      </c>
      <c r="D53" s="173">
        <f t="shared" ref="D53:J53" si="55">D59-D56</f>
        <v>4773179.3499999996</v>
      </c>
      <c r="E53" s="173">
        <f t="shared" si="55"/>
        <v>10320320.539999999</v>
      </c>
      <c r="F53" s="173">
        <f t="shared" si="55"/>
        <v>18057897.45000001</v>
      </c>
      <c r="G53" s="173">
        <f t="shared" si="55"/>
        <v>10894772.48000001</v>
      </c>
      <c r="H53" s="173">
        <f t="shared" si="55"/>
        <v>11045197.920000017</v>
      </c>
      <c r="I53" s="173">
        <f t="shared" si="55"/>
        <v>6279893.450000002</v>
      </c>
      <c r="J53" s="173">
        <f t="shared" si="55"/>
        <v>-651301.3899999992</v>
      </c>
    </row>
    <row r="54" spans="1:10" s="36" customFormat="1" ht="10" customHeight="1">
      <c r="A54" s="174" t="s">
        <v>195</v>
      </c>
      <c r="B54" s="174"/>
      <c r="C54" s="298"/>
      <c r="D54" s="175">
        <v>0</v>
      </c>
      <c r="E54" s="175">
        <f t="shared" ref="E54:J54" si="56">E53/D53-1</f>
        <v>1.1621480743228307</v>
      </c>
      <c r="F54" s="175">
        <f t="shared" si="56"/>
        <v>0.74974191741529106</v>
      </c>
      <c r="G54" s="175">
        <f t="shared" si="56"/>
        <v>-0.39667547065397679</v>
      </c>
      <c r="H54" s="175">
        <f t="shared" si="56"/>
        <v>1.3807120825712449E-2</v>
      </c>
      <c r="I54" s="175">
        <f t="shared" si="56"/>
        <v>-0.43143676596064173</v>
      </c>
      <c r="J54" s="175">
        <f t="shared" si="56"/>
        <v>-1.1037121720592249</v>
      </c>
    </row>
    <row r="55" spans="1:10" s="146" customFormat="1" ht="10" customHeight="1">
      <c r="A55" s="176" t="s">
        <v>194</v>
      </c>
      <c r="B55" s="176"/>
      <c r="C55" s="177"/>
      <c r="D55" s="178">
        <f t="shared" ref="D55:H55" si="57">D53/D$26</f>
        <v>0.16110524365898962</v>
      </c>
      <c r="E55" s="178">
        <f t="shared" si="57"/>
        <v>0.22791594602431292</v>
      </c>
      <c r="F55" s="178">
        <f t="shared" si="57"/>
        <v>0.1842499764664928</v>
      </c>
      <c r="G55" s="178">
        <f t="shared" si="57"/>
        <v>9.4793307118263434E-2</v>
      </c>
      <c r="H55" s="178">
        <f t="shared" si="57"/>
        <v>0.10424420874637426</v>
      </c>
      <c r="I55" s="178">
        <f t="shared" ref="I55:J55" si="58">I53/I$26</f>
        <v>5.8514956482410195E-2</v>
      </c>
      <c r="J55" s="178">
        <f t="shared" si="58"/>
        <v>-0.11659745743039121</v>
      </c>
    </row>
    <row r="56" spans="1:10" s="24" customFormat="1" ht="20" customHeight="1">
      <c r="B56" s="24" t="s">
        <v>11</v>
      </c>
      <c r="C56" s="31">
        <f>SUM(D56:H56)/SUM($D$26:$H$26)</f>
        <v>-7.9146723143769891E-3</v>
      </c>
      <c r="D56" s="25">
        <v>0</v>
      </c>
      <c r="E56" s="25">
        <v>-91940.86</v>
      </c>
      <c r="F56" s="25">
        <f>-547245.48+91940.86</f>
        <v>-455304.62</v>
      </c>
      <c r="G56" s="25">
        <f>-1795397.01+91940.86+455304.62</f>
        <v>-1248151.5299999998</v>
      </c>
      <c r="H56" s="25">
        <v>-1321428.3700000001</v>
      </c>
      <c r="I56" s="25">
        <v>-1321428.3700000001</v>
      </c>
      <c r="J56" s="25">
        <f>'DRE Mensal'!C56</f>
        <v>-95872.52</v>
      </c>
    </row>
    <row r="57" spans="1:10" s="36" customFormat="1" ht="10" customHeight="1">
      <c r="B57" s="36" t="s">
        <v>195</v>
      </c>
      <c r="C57" s="28"/>
      <c r="D57" s="37">
        <v>0</v>
      </c>
      <c r="E57" s="37" t="e">
        <f t="shared" ref="E57:J57" si="59">E56/D56-1</f>
        <v>#DIV/0!</v>
      </c>
      <c r="F57" s="37">
        <f t="shared" si="59"/>
        <v>3.9521466299097048</v>
      </c>
      <c r="G57" s="37">
        <f t="shared" si="59"/>
        <v>1.7413548538119374</v>
      </c>
      <c r="H57" s="37">
        <f t="shared" si="59"/>
        <v>5.8708288407898879E-2</v>
      </c>
      <c r="I57" s="37">
        <f t="shared" si="59"/>
        <v>0</v>
      </c>
      <c r="J57" s="37">
        <f t="shared" si="59"/>
        <v>-0.92744781164339618</v>
      </c>
    </row>
    <row r="58" spans="1:10" s="146" customFormat="1" ht="10" customHeight="1">
      <c r="B58" s="144" t="s">
        <v>194</v>
      </c>
      <c r="C58" s="30"/>
      <c r="D58" s="145">
        <f>D56/D$59</f>
        <v>0</v>
      </c>
      <c r="E58" s="145">
        <f t="shared" ref="E58:H58" si="60">E56/E$17</f>
        <v>2.698171910545832E-2</v>
      </c>
      <c r="F58" s="145">
        <f t="shared" si="60"/>
        <v>6.1695313785747087E-2</v>
      </c>
      <c r="G58" s="145">
        <f t="shared" si="60"/>
        <v>9.3457371720878799E-2</v>
      </c>
      <c r="H58" s="145">
        <f t="shared" si="60"/>
        <v>0.10402885247163506</v>
      </c>
      <c r="I58" s="145">
        <f t="shared" ref="I58:J58" si="61">I56/I$17</f>
        <v>0.11269915063090362</v>
      </c>
      <c r="J58" s="145">
        <f t="shared" si="61"/>
        <v>0.19881092336008213</v>
      </c>
    </row>
    <row r="59" spans="1:10" s="24" customFormat="1" ht="20" customHeight="1">
      <c r="A59" s="158" t="s">
        <v>201</v>
      </c>
      <c r="B59" s="166"/>
      <c r="C59" s="167">
        <f>SUM(D59:H59)/SUM($D$26:$H$26)</f>
        <v>0.13198091689984451</v>
      </c>
      <c r="D59" s="159">
        <f t="shared" ref="D59:J59" si="62">D38+D41</f>
        <v>4773179.3499999996</v>
      </c>
      <c r="E59" s="159">
        <f t="shared" si="62"/>
        <v>10228379.68</v>
      </c>
      <c r="F59" s="159">
        <f t="shared" si="62"/>
        <v>17602592.830000009</v>
      </c>
      <c r="G59" s="159">
        <f t="shared" si="62"/>
        <v>9646620.9500000104</v>
      </c>
      <c r="H59" s="159">
        <f t="shared" si="62"/>
        <v>9723769.5500000156</v>
      </c>
      <c r="I59" s="159">
        <f t="shared" si="62"/>
        <v>4958465.0800000019</v>
      </c>
      <c r="J59" s="159">
        <f t="shared" si="62"/>
        <v>-747173.90999999922</v>
      </c>
    </row>
    <row r="60" spans="1:10" s="36" customFormat="1" ht="10" customHeight="1">
      <c r="A60" s="160" t="s">
        <v>195</v>
      </c>
      <c r="B60" s="160"/>
      <c r="C60" s="161"/>
      <c r="D60" s="162">
        <v>0</v>
      </c>
      <c r="E60" s="162">
        <f t="shared" ref="E60:J60" si="63">E59/D59-1</f>
        <v>1.1428860995973262</v>
      </c>
      <c r="F60" s="162">
        <f t="shared" si="63"/>
        <v>0.72095614170630884</v>
      </c>
      <c r="G60" s="162">
        <f t="shared" si="63"/>
        <v>-0.45197727157789369</v>
      </c>
      <c r="H60" s="162">
        <f t="shared" si="63"/>
        <v>7.9974739755899193E-3</v>
      </c>
      <c r="I60" s="162">
        <f t="shared" si="63"/>
        <v>-0.49006760654873871</v>
      </c>
      <c r="J60" s="162">
        <f t="shared" si="63"/>
        <v>-1.1506865326154518</v>
      </c>
    </row>
    <row r="61" spans="1:10" s="146" customFormat="1" ht="10" customHeight="1">
      <c r="A61" s="168" t="s">
        <v>194</v>
      </c>
      <c r="B61" s="168"/>
      <c r="C61" s="161"/>
      <c r="D61" s="169">
        <f t="shared" ref="D61:H61" si="64">D59/D$26</f>
        <v>0.16110524365898962</v>
      </c>
      <c r="E61" s="169">
        <f t="shared" si="64"/>
        <v>0.225885506368493</v>
      </c>
      <c r="F61" s="169">
        <f t="shared" si="64"/>
        <v>0.17960437108788402</v>
      </c>
      <c r="G61" s="169">
        <f t="shared" si="64"/>
        <v>8.3933382183564831E-2</v>
      </c>
      <c r="H61" s="169">
        <f t="shared" si="64"/>
        <v>9.1772611963465631E-2</v>
      </c>
      <c r="I61" s="169">
        <f t="shared" ref="I61:J61" si="65">I59/I$26</f>
        <v>4.6202116434913496E-2</v>
      </c>
      <c r="J61" s="169">
        <f t="shared" si="65"/>
        <v>-0.13376077420059548</v>
      </c>
    </row>
    <row r="62" spans="1:10" s="22" customFormat="1" ht="20" customHeight="1">
      <c r="A62" s="153" t="s">
        <v>197</v>
      </c>
      <c r="B62" s="153"/>
      <c r="C62" s="33">
        <f>SUM(D62:H62)/SUM($D$26:$H$26)*-1</f>
        <v>7.004017048303228E-2</v>
      </c>
      <c r="D62" s="29">
        <f t="shared" ref="D62:J62" si="66">SUM(D65,D68,D71,D74)</f>
        <v>-2235099.8299999996</v>
      </c>
      <c r="E62" s="29">
        <f t="shared" si="66"/>
        <v>-3191247.6999999997</v>
      </c>
      <c r="F62" s="29">
        <f t="shared" si="66"/>
        <v>-5267618.8000000007</v>
      </c>
      <c r="G62" s="29">
        <f t="shared" si="66"/>
        <v>-8503842.7899999991</v>
      </c>
      <c r="H62" s="29">
        <f t="shared" si="66"/>
        <v>-8384252.6900000004</v>
      </c>
      <c r="I62" s="29">
        <f t="shared" si="66"/>
        <v>-8405034.8100000024</v>
      </c>
      <c r="J62" s="29">
        <f t="shared" si="66"/>
        <v>-499032.82999999996</v>
      </c>
    </row>
    <row r="63" spans="1:10" s="36" customFormat="1" ht="10" customHeight="1">
      <c r="A63" s="46" t="s">
        <v>195</v>
      </c>
      <c r="B63" s="46"/>
      <c r="C63" s="28"/>
      <c r="D63" s="170">
        <v>0</v>
      </c>
      <c r="E63" s="170">
        <f t="shared" ref="E63:J63" si="67">E62/D62-1</f>
        <v>0.4277875454001534</v>
      </c>
      <c r="F63" s="170">
        <f t="shared" si="67"/>
        <v>0.65064554531445529</v>
      </c>
      <c r="G63" s="170">
        <f t="shared" si="67"/>
        <v>0.6143618422046786</v>
      </c>
      <c r="H63" s="170">
        <f t="shared" si="67"/>
        <v>-1.406306571666982E-2</v>
      </c>
      <c r="I63" s="170">
        <f t="shared" si="67"/>
        <v>2.4787086897786192E-3</v>
      </c>
      <c r="J63" s="170">
        <f t="shared" si="67"/>
        <v>-0.94062691692766476</v>
      </c>
    </row>
    <row r="64" spans="1:10" s="146" customFormat="1" ht="10" customHeight="1">
      <c r="A64" s="144" t="s">
        <v>194</v>
      </c>
      <c r="B64" s="144"/>
      <c r="C64" s="30"/>
      <c r="D64" s="145">
        <f t="shared" ref="D64:H64" si="68">D62/D$26*-1</f>
        <v>7.5439508199983366E-2</v>
      </c>
      <c r="E64" s="145">
        <f t="shared" si="68"/>
        <v>7.0476128694294676E-2</v>
      </c>
      <c r="F64" s="145">
        <f t="shared" si="68"/>
        <v>5.3747045724553862E-2</v>
      </c>
      <c r="G64" s="145">
        <f t="shared" si="68"/>
        <v>7.3990290550601703E-2</v>
      </c>
      <c r="H64" s="145">
        <f t="shared" si="68"/>
        <v>7.9130296616605006E-2</v>
      </c>
      <c r="I64" s="145">
        <f t="shared" ref="I64:J64" si="69">I62/I$26*-1</f>
        <v>7.8316654582776854E-2</v>
      </c>
      <c r="J64" s="145">
        <f t="shared" si="69"/>
        <v>8.933799320203005E-2</v>
      </c>
    </row>
    <row r="65" spans="1:10" s="24" customFormat="1" ht="20" customHeight="1">
      <c r="B65" s="24" t="s">
        <v>25</v>
      </c>
      <c r="C65" s="31">
        <f>SUM(D65:H65)/SUM($D$26:$H$26)</f>
        <v>1.5582642685554279E-2</v>
      </c>
      <c r="D65" s="25">
        <v>285602.46999999997</v>
      </c>
      <c r="E65" s="25">
        <v>561340.68000000005</v>
      </c>
      <c r="F65" s="25">
        <v>1159669.3999999999</v>
      </c>
      <c r="G65" s="25">
        <v>2367226.23</v>
      </c>
      <c r="H65" s="25">
        <v>1762659.9</v>
      </c>
      <c r="I65" s="25">
        <v>2532109.6799999997</v>
      </c>
      <c r="J65" s="25">
        <f>'DRE Mensal'!C65</f>
        <v>163199.79999999999</v>
      </c>
    </row>
    <row r="66" spans="1:10" s="36" customFormat="1" ht="10" customHeight="1">
      <c r="B66" s="36" t="s">
        <v>195</v>
      </c>
      <c r="C66" s="28"/>
      <c r="D66" s="37">
        <v>0</v>
      </c>
      <c r="E66" s="37">
        <f t="shared" ref="E66:J66" si="70">E65/D65-1</f>
        <v>0.96546157321398551</v>
      </c>
      <c r="F66" s="37">
        <f t="shared" si="70"/>
        <v>1.0658923205066837</v>
      </c>
      <c r="G66" s="37">
        <f t="shared" si="70"/>
        <v>1.0412940360416512</v>
      </c>
      <c r="H66" s="37">
        <f t="shared" si="70"/>
        <v>-0.2553901787409647</v>
      </c>
      <c r="I66" s="37">
        <f t="shared" si="70"/>
        <v>0.43652764778957076</v>
      </c>
      <c r="J66" s="37">
        <f t="shared" si="70"/>
        <v>-0.93554789459199095</v>
      </c>
    </row>
    <row r="67" spans="1:10" s="146" customFormat="1" ht="10" customHeight="1">
      <c r="B67" s="144" t="s">
        <v>194</v>
      </c>
      <c r="C67" s="30"/>
      <c r="D67" s="145">
        <f>D65/D$59</f>
        <v>5.983484990984049E-2</v>
      </c>
      <c r="E67" s="145">
        <f t="shared" ref="E67:H67" si="71">E65/E$17</f>
        <v>-0.16473564147895686</v>
      </c>
      <c r="F67" s="145">
        <f t="shared" si="71"/>
        <v>-0.15713912044364728</v>
      </c>
      <c r="G67" s="145">
        <f t="shared" si="71"/>
        <v>-0.17724990628703916</v>
      </c>
      <c r="H67" s="145">
        <f t="shared" si="71"/>
        <v>-0.13876460567799598</v>
      </c>
      <c r="I67" s="145">
        <f t="shared" ref="I67:J67" si="72">I65/I$17</f>
        <v>-0.21595314337037361</v>
      </c>
      <c r="J67" s="145">
        <f t="shared" si="72"/>
        <v>-0.3384275591189293</v>
      </c>
    </row>
    <row r="68" spans="1:10" s="24" customFormat="1" ht="20" customHeight="1">
      <c r="B68" s="27" t="s">
        <v>26</v>
      </c>
      <c r="C68" s="31">
        <f>SUM(D68:H68)/SUM($D$26:$H$26)*-1</f>
        <v>8.4823698741861533E-2</v>
      </c>
      <c r="D68" s="25">
        <v>-2550073.8199999998</v>
      </c>
      <c r="E68" s="25">
        <v>-3758281.02</v>
      </c>
      <c r="F68" s="25">
        <v>-6429779.8600000003</v>
      </c>
      <c r="G68" s="25">
        <v>-9760411.9399999995</v>
      </c>
      <c r="H68" s="25">
        <v>-10905319.82</v>
      </c>
      <c r="I68" s="25">
        <v>-11677346.610000001</v>
      </c>
      <c r="J68" s="25">
        <f>'DRE Mensal'!C68</f>
        <v>-683772.7</v>
      </c>
    </row>
    <row r="69" spans="1:10" s="36" customFormat="1" ht="10" customHeight="1">
      <c r="B69" s="36" t="s">
        <v>195</v>
      </c>
      <c r="C69" s="28"/>
      <c r="D69" s="37">
        <v>0</v>
      </c>
      <c r="E69" s="37">
        <f t="shared" ref="E69:J69" si="73">E68/D68-1</f>
        <v>0.4737930292543453</v>
      </c>
      <c r="F69" s="37">
        <f t="shared" si="73"/>
        <v>0.71082998471466086</v>
      </c>
      <c r="G69" s="37">
        <f t="shared" si="73"/>
        <v>0.51800095065774143</v>
      </c>
      <c r="H69" s="37">
        <f t="shared" si="73"/>
        <v>0.1173011843186611</v>
      </c>
      <c r="I69" s="37">
        <f t="shared" si="73"/>
        <v>7.0793594570617735E-2</v>
      </c>
      <c r="J69" s="37">
        <f t="shared" si="73"/>
        <v>-0.94144451450859179</v>
      </c>
    </row>
    <row r="70" spans="1:10" s="146" customFormat="1" ht="10" customHeight="1">
      <c r="B70" s="144" t="s">
        <v>194</v>
      </c>
      <c r="C70" s="30"/>
      <c r="D70" s="145">
        <f t="shared" ref="D70:H70" si="74">D68/D$59</f>
        <v>-0.53425057660990682</v>
      </c>
      <c r="E70" s="145">
        <f t="shared" si="74"/>
        <v>-0.36743659676114021</v>
      </c>
      <c r="F70" s="145">
        <f t="shared" si="74"/>
        <v>-0.36527458892543146</v>
      </c>
      <c r="G70" s="145">
        <f t="shared" si="74"/>
        <v>-1.0117959429099357</v>
      </c>
      <c r="H70" s="145">
        <f t="shared" si="74"/>
        <v>-1.1215115459004252</v>
      </c>
      <c r="I70" s="145">
        <f t="shared" ref="I70:J70" si="75">I68/I$59</f>
        <v>-2.3550325396261531</v>
      </c>
      <c r="J70" s="145">
        <f t="shared" si="75"/>
        <v>0.91514531068141913</v>
      </c>
    </row>
    <row r="71" spans="1:10" s="24" customFormat="1" ht="20" customHeight="1">
      <c r="B71" s="24" t="s">
        <v>190</v>
      </c>
      <c r="C71" s="31">
        <f>SUM(D71:H71)/SUM($D$26:$H$26)</f>
        <v>2.9450894512772245E-3</v>
      </c>
      <c r="D71" s="25">
        <v>29371.52</v>
      </c>
      <c r="E71" s="25">
        <v>5692.64</v>
      </c>
      <c r="F71" s="25">
        <v>2491.66</v>
      </c>
      <c r="G71" s="25">
        <v>219893.68</v>
      </c>
      <c r="H71" s="25">
        <v>902336.93</v>
      </c>
      <c r="I71" s="25">
        <v>930928.35</v>
      </c>
      <c r="J71" s="25">
        <f>'DRE Mensal'!C71</f>
        <v>42349.090000000004</v>
      </c>
    </row>
    <row r="72" spans="1:10" s="36" customFormat="1" ht="10" customHeight="1">
      <c r="B72" s="36" t="s">
        <v>195</v>
      </c>
      <c r="C72" s="28"/>
      <c r="D72" s="37">
        <v>0</v>
      </c>
      <c r="E72" s="37">
        <f t="shared" ref="E72:J72" si="76">E71/D71-1</f>
        <v>-0.80618503911271877</v>
      </c>
      <c r="F72" s="37">
        <f t="shared" si="76"/>
        <v>-0.56230149807470697</v>
      </c>
      <c r="G72" s="37">
        <f t="shared" si="76"/>
        <v>87.251880272589361</v>
      </c>
      <c r="H72" s="37">
        <f t="shared" si="76"/>
        <v>3.1035146167002168</v>
      </c>
      <c r="I72" s="37">
        <f t="shared" si="76"/>
        <v>3.1685969009380921E-2</v>
      </c>
      <c r="J72" s="37">
        <f t="shared" si="76"/>
        <v>-0.95450875462112628</v>
      </c>
    </row>
    <row r="73" spans="1:10" s="146" customFormat="1" ht="10" customHeight="1">
      <c r="B73" s="144" t="s">
        <v>194</v>
      </c>
      <c r="C73" s="30"/>
      <c r="D73" s="145">
        <f t="shared" ref="D73:H73" si="77">D71/D$59</f>
        <v>6.1534499012696857E-3</v>
      </c>
      <c r="E73" s="145">
        <f t="shared" si="77"/>
        <v>5.5655345011596208E-4</v>
      </c>
      <c r="F73" s="145">
        <f t="shared" si="77"/>
        <v>1.4155073767050251E-4</v>
      </c>
      <c r="G73" s="145">
        <f t="shared" si="77"/>
        <v>2.2794891718016529E-2</v>
      </c>
      <c r="H73" s="145">
        <f t="shared" si="77"/>
        <v>9.2797029522362406E-2</v>
      </c>
      <c r="I73" s="145">
        <f t="shared" ref="I73:J73" si="78">I71/I$59</f>
        <v>0.18774526692845028</v>
      </c>
      <c r="J73" s="145">
        <f t="shared" si="78"/>
        <v>-5.6679026707450272E-2</v>
      </c>
    </row>
    <row r="74" spans="1:10" s="24" customFormat="1" ht="20" customHeight="1">
      <c r="B74" s="24" t="s">
        <v>191</v>
      </c>
      <c r="C74" s="31">
        <f>SUM(D74:H74)/SUM($D$26:$H$26)*-1</f>
        <v>3.7442038780022536E-3</v>
      </c>
      <c r="D74" s="25">
        <v>0</v>
      </c>
      <c r="E74" s="25">
        <v>0</v>
      </c>
      <c r="F74" s="25">
        <v>0</v>
      </c>
      <c r="G74" s="25">
        <v>-1330550.76</v>
      </c>
      <c r="H74" s="25">
        <v>-143929.70000000001</v>
      </c>
      <c r="I74" s="25">
        <v>-190726.22999999998</v>
      </c>
      <c r="J74" s="25">
        <f>'DRE Mensal'!C74</f>
        <v>-20809.02</v>
      </c>
    </row>
    <row r="75" spans="1:10" s="36" customFormat="1" ht="10" customHeight="1">
      <c r="B75" s="36" t="s">
        <v>195</v>
      </c>
      <c r="C75" s="28"/>
      <c r="D75" s="37">
        <v>0</v>
      </c>
      <c r="E75" s="37" t="e">
        <f t="shared" ref="E75:J75" si="79">E74/D74-1</f>
        <v>#DIV/0!</v>
      </c>
      <c r="F75" s="37" t="e">
        <f t="shared" si="79"/>
        <v>#DIV/0!</v>
      </c>
      <c r="G75" s="37" t="e">
        <f t="shared" si="79"/>
        <v>#DIV/0!</v>
      </c>
      <c r="H75" s="37">
        <f t="shared" si="79"/>
        <v>-0.8918269754699174</v>
      </c>
      <c r="I75" s="37">
        <f t="shared" si="79"/>
        <v>0.32513463169866941</v>
      </c>
      <c r="J75" s="37">
        <f t="shared" si="79"/>
        <v>-0.89089586681391442</v>
      </c>
    </row>
    <row r="76" spans="1:10" s="146" customFormat="1" ht="10" customHeight="1">
      <c r="B76" s="144" t="s">
        <v>194</v>
      </c>
      <c r="C76" s="30"/>
      <c r="D76" s="145">
        <f t="shared" ref="D76:H76" si="80">D74/D$59</f>
        <v>0</v>
      </c>
      <c r="E76" s="145">
        <f t="shared" si="80"/>
        <v>0</v>
      </c>
      <c r="F76" s="145">
        <f t="shared" si="80"/>
        <v>0</v>
      </c>
      <c r="G76" s="145">
        <f t="shared" si="80"/>
        <v>-0.13792920514825438</v>
      </c>
      <c r="H76" s="145">
        <f t="shared" si="80"/>
        <v>-1.480184194616169E-2</v>
      </c>
      <c r="I76" s="145">
        <f t="shared" ref="I76:J76" si="81">I74/I$59</f>
        <v>-3.8464772247624644E-2</v>
      </c>
      <c r="J76" s="145">
        <f t="shared" si="81"/>
        <v>2.7850303284813603E-2</v>
      </c>
    </row>
    <row r="77" spans="1:10" s="24" customFormat="1" ht="20" customHeight="1">
      <c r="A77" s="158" t="s">
        <v>202</v>
      </c>
      <c r="B77" s="166"/>
      <c r="C77" s="181">
        <f>SUM(D77:H77)/SUM($D$26:$H$26)</f>
        <v>6.1940746416812242E-2</v>
      </c>
      <c r="D77" s="159">
        <f t="shared" ref="D77:J77" si="82">D59+D62</f>
        <v>2538079.52</v>
      </c>
      <c r="E77" s="159">
        <f t="shared" si="82"/>
        <v>7037131.9800000004</v>
      </c>
      <c r="F77" s="159">
        <f t="shared" si="82"/>
        <v>12334974.030000009</v>
      </c>
      <c r="G77" s="159">
        <f t="shared" si="82"/>
        <v>1142778.1600000113</v>
      </c>
      <c r="H77" s="159">
        <f t="shared" si="82"/>
        <v>1339516.8600000152</v>
      </c>
      <c r="I77" s="159">
        <f t="shared" si="82"/>
        <v>-3446569.7300000004</v>
      </c>
      <c r="J77" s="159">
        <f t="shared" si="82"/>
        <v>-1246206.7399999993</v>
      </c>
    </row>
    <row r="78" spans="1:10" s="36" customFormat="1" ht="10" customHeight="1">
      <c r="A78" s="160" t="s">
        <v>195</v>
      </c>
      <c r="B78" s="160"/>
      <c r="C78" s="161"/>
      <c r="D78" s="162">
        <v>0</v>
      </c>
      <c r="E78" s="162">
        <f t="shared" ref="E78:J78" si="83">E77/D77-1</f>
        <v>1.7726207648529471</v>
      </c>
      <c r="F78" s="162">
        <f t="shared" si="83"/>
        <v>0.75284108143158734</v>
      </c>
      <c r="G78" s="162">
        <f t="shared" si="83"/>
        <v>-0.9073546359140563</v>
      </c>
      <c r="H78" s="162">
        <f t="shared" si="83"/>
        <v>0.17215826035737503</v>
      </c>
      <c r="I78" s="162">
        <f t="shared" si="83"/>
        <v>-3.5729946616722401</v>
      </c>
      <c r="J78" s="162">
        <f t="shared" si="83"/>
        <v>-0.63842114402832673</v>
      </c>
    </row>
    <row r="79" spans="1:10" s="146" customFormat="1" ht="10" customHeight="1">
      <c r="A79" s="163" t="s">
        <v>194</v>
      </c>
      <c r="B79" s="163"/>
      <c r="C79" s="164"/>
      <c r="D79" s="165">
        <f t="shared" ref="D79:H79" si="84">D77/D$26</f>
        <v>8.566573545900627E-2</v>
      </c>
      <c r="E79" s="165">
        <f t="shared" si="84"/>
        <v>0.15540937767419835</v>
      </c>
      <c r="F79" s="165">
        <f t="shared" si="84"/>
        <v>0.12585732536333016</v>
      </c>
      <c r="G79" s="165">
        <f t="shared" si="84"/>
        <v>9.9430916329631309E-3</v>
      </c>
      <c r="H79" s="165">
        <f t="shared" si="84"/>
        <v>1.2642315346860633E-2</v>
      </c>
      <c r="I79" s="165">
        <f t="shared" ref="I79:J79" si="85">I77/I$26</f>
        <v>-3.2114538147863358E-2</v>
      </c>
      <c r="J79" s="165">
        <f t="shared" si="85"/>
        <v>-0.22309876740262555</v>
      </c>
    </row>
    <row r="80" spans="1:10" s="24" customFormat="1" ht="20" customHeight="1">
      <c r="B80" s="155" t="s">
        <v>127</v>
      </c>
      <c r="C80" s="33">
        <f>SUM(D80:H80)/SUM($D$26:$H$26)*-1</f>
        <v>2.058583233778525E-2</v>
      </c>
      <c r="D80" s="25">
        <v>-1055674.05</v>
      </c>
      <c r="E80" s="25">
        <v>-1649686.41</v>
      </c>
      <c r="F80" s="25">
        <v>-3603815.59</v>
      </c>
      <c r="G80" s="25">
        <f>-618280.85-226884.55</f>
        <v>-845165.39999999991</v>
      </c>
      <c r="H80" s="25">
        <f>-698728.42-253702.23</f>
        <v>-952430.65</v>
      </c>
      <c r="I80" s="25">
        <v>-449794.45999999996</v>
      </c>
      <c r="J80" s="25">
        <f>'DRE Mensal'!C80</f>
        <v>0</v>
      </c>
    </row>
    <row r="81" spans="1:10" s="36" customFormat="1" ht="10" customHeight="1">
      <c r="B81" s="36" t="s">
        <v>195</v>
      </c>
      <c r="C81" s="28"/>
      <c r="D81" s="37">
        <v>0</v>
      </c>
      <c r="E81" s="37">
        <f t="shared" ref="E81:J81" si="86">E80/D80-1</f>
        <v>0.56268538570214921</v>
      </c>
      <c r="F81" s="37">
        <f t="shared" si="86"/>
        <v>1.1845458434733667</v>
      </c>
      <c r="G81" s="37">
        <f t="shared" si="86"/>
        <v>-0.7654803974029093</v>
      </c>
      <c r="H81" s="37">
        <f t="shared" si="86"/>
        <v>0.12691628171243186</v>
      </c>
      <c r="I81" s="37">
        <f t="shared" si="86"/>
        <v>-0.52774046068341041</v>
      </c>
      <c r="J81" s="37">
        <f t="shared" si="86"/>
        <v>-1</v>
      </c>
    </row>
    <row r="82" spans="1:10" s="146" customFormat="1" ht="10" customHeight="1">
      <c r="B82" s="144" t="s">
        <v>194</v>
      </c>
      <c r="C82" s="30"/>
      <c r="D82" s="145">
        <f t="shared" ref="D82:H82" si="87">D80/D$59</f>
        <v>-0.22116789933736727</v>
      </c>
      <c r="E82" s="145">
        <f t="shared" si="87"/>
        <v>-0.16128521443388577</v>
      </c>
      <c r="F82" s="145">
        <f t="shared" si="87"/>
        <v>-0.20473208832383122</v>
      </c>
      <c r="G82" s="145">
        <f t="shared" si="87"/>
        <v>-8.7612585213063546E-2</v>
      </c>
      <c r="H82" s="145">
        <f t="shared" si="87"/>
        <v>-9.7948706528117838E-2</v>
      </c>
      <c r="I82" s="145">
        <f t="shared" ref="I82:J82" si="88">I80/I$59</f>
        <v>-9.0712438777525842E-2</v>
      </c>
      <c r="J82" s="145">
        <f t="shared" si="88"/>
        <v>0</v>
      </c>
    </row>
    <row r="83" spans="1:10" s="22" customFormat="1" ht="20" customHeight="1">
      <c r="A83" s="158" t="s">
        <v>126</v>
      </c>
      <c r="B83" s="180"/>
      <c r="C83" s="167">
        <f>SUM(D83:H83)/SUM($D$26:$H$26)</f>
        <v>4.1354914079026993E-2</v>
      </c>
      <c r="D83" s="159">
        <f t="shared" ref="D83:J83" si="89">D77+D80</f>
        <v>1482405.47</v>
      </c>
      <c r="E83" s="159">
        <f t="shared" si="89"/>
        <v>5387445.5700000003</v>
      </c>
      <c r="F83" s="159">
        <f t="shared" si="89"/>
        <v>8731158.4400000088</v>
      </c>
      <c r="G83" s="159">
        <f t="shared" si="89"/>
        <v>297612.76000001142</v>
      </c>
      <c r="H83" s="159">
        <f t="shared" si="89"/>
        <v>387086.21000001521</v>
      </c>
      <c r="I83" s="159">
        <f t="shared" si="89"/>
        <v>-3896364.1900000004</v>
      </c>
      <c r="J83" s="159">
        <f t="shared" si="89"/>
        <v>-1246206.7399999993</v>
      </c>
    </row>
    <row r="84" spans="1:10" s="36" customFormat="1" ht="10" customHeight="1">
      <c r="A84" s="160" t="s">
        <v>195</v>
      </c>
      <c r="B84" s="160"/>
      <c r="C84" s="161"/>
      <c r="D84" s="162">
        <v>0</v>
      </c>
      <c r="E84" s="162">
        <f t="shared" ref="E84:J84" si="90">E83/D83-1</f>
        <v>2.6342591005145173</v>
      </c>
      <c r="F84" s="162">
        <f t="shared" si="90"/>
        <v>0.6206490305200445</v>
      </c>
      <c r="G84" s="162">
        <f t="shared" si="90"/>
        <v>-0.96591371442344243</v>
      </c>
      <c r="H84" s="162">
        <f t="shared" si="90"/>
        <v>0.30063714338054703</v>
      </c>
      <c r="I84" s="162">
        <f t="shared" si="90"/>
        <v>-11.065882197146333</v>
      </c>
      <c r="J84" s="162">
        <f t="shared" si="90"/>
        <v>-0.68016163807315988</v>
      </c>
    </row>
    <row r="85" spans="1:10" s="146" customFormat="1" ht="10" customHeight="1">
      <c r="A85" s="163" t="s">
        <v>194</v>
      </c>
      <c r="B85" s="163"/>
      <c r="C85" s="164"/>
      <c r="D85" s="165">
        <f t="shared" ref="D85:H85" si="91">D83/D$26</f>
        <v>5.0034427146712822E-2</v>
      </c>
      <c r="E85" s="165">
        <f t="shared" si="91"/>
        <v>0.11897738534204907</v>
      </c>
      <c r="F85" s="165">
        <f t="shared" si="91"/>
        <v>8.9086547398419327E-2</v>
      </c>
      <c r="G85" s="165">
        <f t="shared" si="91"/>
        <v>2.5894710341849273E-3</v>
      </c>
      <c r="H85" s="165">
        <f t="shared" si="91"/>
        <v>3.6533067103323019E-3</v>
      </c>
      <c r="I85" s="165">
        <f t="shared" ref="I85:J85" si="92">I83/I$26</f>
        <v>-3.6305644806357569E-2</v>
      </c>
      <c r="J85" s="165">
        <f t="shared" si="92"/>
        <v>-0.22309876740262555</v>
      </c>
    </row>
    <row r="86" spans="1:10">
      <c r="D86" s="17"/>
      <c r="E86" s="17"/>
      <c r="F86" s="17"/>
      <c r="G86" s="17"/>
      <c r="H86" s="17"/>
      <c r="I86" s="228"/>
      <c r="J86" s="228"/>
    </row>
    <row r="87" spans="1:10">
      <c r="D87" s="17">
        <f t="shared" ref="D87:H87" si="93">D59/D77</f>
        <v>1.8806263997591375</v>
      </c>
      <c r="E87" s="17">
        <f t="shared" si="93"/>
        <v>1.4534869758119839</v>
      </c>
      <c r="F87" s="17">
        <f t="shared" si="93"/>
        <v>1.4270474171399612</v>
      </c>
      <c r="G87" s="17">
        <f t="shared" si="93"/>
        <v>8.4413767147946857</v>
      </c>
      <c r="H87" s="17">
        <f t="shared" si="93"/>
        <v>7.259161747318287</v>
      </c>
      <c r="I87" s="17">
        <v>-1.4386666942612536</v>
      </c>
      <c r="J87" s="17">
        <v>-1.4386666942612536</v>
      </c>
    </row>
  </sheetData>
  <mergeCells count="2">
    <mergeCell ref="A1:J1"/>
    <mergeCell ref="C53:C54"/>
  </mergeCells>
  <pageMargins left="0.511811024" right="0.511811024" top="0.78740157499999996" bottom="0.78740157499999996" header="0.31496062000000002" footer="0.31496062000000002"/>
  <pageSetup paperSize="9" scale="97" orientation="landscape" horizontalDpi="0" verticalDpi="0"/>
  <rowBreaks count="1" manualBreakCount="1">
    <brk id="35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EF96-B970-AE4A-8E9B-3DB981E50917}">
  <dimension ref="A1:AJ95"/>
  <sheetViews>
    <sheetView showGridLines="0" tabSelected="1" zoomScale="194" workbookViewId="0">
      <selection activeCell="D2" sqref="D2"/>
    </sheetView>
  </sheetViews>
  <sheetFormatPr baseColWidth="10" defaultColWidth="8.83203125" defaultRowHeight="15"/>
  <cols>
    <col min="1" max="1" width="1.83203125" style="13" customWidth="1"/>
    <col min="2" max="2" width="31.83203125" style="13" customWidth="1"/>
    <col min="3" max="4" width="12.83203125" style="13" customWidth="1"/>
    <col min="5" max="5" width="3.6640625" style="13" customWidth="1"/>
    <col min="6" max="6" width="10.6640625" style="13" bestFit="1" customWidth="1"/>
    <col min="7" max="7" width="13.5" style="13" bestFit="1" customWidth="1"/>
    <col min="8" max="17" width="12.1640625" style="13" customWidth="1"/>
    <col min="18" max="18" width="3.5" style="13" customWidth="1"/>
    <col min="19" max="19" width="10.6640625" style="13" bestFit="1" customWidth="1"/>
    <col min="20" max="20" width="10.1640625" style="13" bestFit="1" customWidth="1"/>
    <col min="21" max="21" width="11.5" bestFit="1" customWidth="1"/>
    <col min="28" max="16384" width="8.83203125" style="13"/>
  </cols>
  <sheetData>
    <row r="1" spans="1:36" s="1" customFormat="1" ht="60" customHeight="1">
      <c r="A1" s="299" t="s">
        <v>124</v>
      </c>
      <c r="B1" s="299"/>
      <c r="C1" s="299"/>
      <c r="D1" s="299"/>
      <c r="E1" s="2"/>
      <c r="F1" s="230" t="s">
        <v>129</v>
      </c>
      <c r="G1" s="230">
        <v>1</v>
      </c>
      <c r="H1" s="130"/>
      <c r="I1" s="130"/>
      <c r="J1" s="130"/>
      <c r="K1" s="227"/>
      <c r="L1" s="130"/>
      <c r="M1" s="130"/>
      <c r="N1" s="130"/>
      <c r="O1" s="130"/>
      <c r="P1" s="130"/>
      <c r="Q1" s="130"/>
      <c r="R1" s="2"/>
      <c r="S1" s="2"/>
      <c r="T1" s="2"/>
      <c r="U1"/>
      <c r="V1"/>
      <c r="W1"/>
      <c r="X1"/>
      <c r="Y1"/>
      <c r="Z1"/>
      <c r="AA1"/>
      <c r="AC1" s="3"/>
      <c r="AD1" s="4"/>
      <c r="AE1" s="4"/>
      <c r="AF1" s="4"/>
      <c r="AG1" s="4"/>
      <c r="AH1" s="4"/>
      <c r="AI1" s="4"/>
      <c r="AJ1" s="4"/>
    </row>
    <row r="2" spans="1:36" s="20" customFormat="1" ht="34" customHeight="1">
      <c r="B2" s="18"/>
      <c r="C2" s="19">
        <v>2025</v>
      </c>
      <c r="D2" s="19" t="s">
        <v>250</v>
      </c>
      <c r="F2" s="127" t="s">
        <v>187</v>
      </c>
      <c r="G2" s="127" t="s">
        <v>188</v>
      </c>
      <c r="H2" s="127" t="s">
        <v>216</v>
      </c>
      <c r="I2" s="127" t="s">
        <v>228</v>
      </c>
      <c r="J2" s="127" t="s">
        <v>236</v>
      </c>
      <c r="K2" s="127" t="s">
        <v>235</v>
      </c>
      <c r="L2" s="127" t="s">
        <v>234</v>
      </c>
      <c r="M2" s="127" t="s">
        <v>233</v>
      </c>
      <c r="N2" s="127" t="s">
        <v>232</v>
      </c>
      <c r="O2" s="127" t="s">
        <v>231</v>
      </c>
      <c r="P2" s="127" t="s">
        <v>230</v>
      </c>
      <c r="Q2" s="127" t="s">
        <v>229</v>
      </c>
      <c r="R2" s="127"/>
      <c r="S2" s="127" t="s">
        <v>192</v>
      </c>
      <c r="T2" s="127"/>
      <c r="U2" s="127"/>
      <c r="V2" s="127"/>
      <c r="W2" s="127"/>
      <c r="X2" s="21"/>
      <c r="Y2" s="21"/>
      <c r="Z2" s="21"/>
      <c r="AA2" s="21"/>
    </row>
    <row r="3" spans="1:36" s="22" customFormat="1" ht="20" customHeight="1">
      <c r="A3" s="153" t="s">
        <v>132</v>
      </c>
      <c r="B3" s="153"/>
      <c r="C3" s="29">
        <f>S3*G1</f>
        <v>6068126.6600000001</v>
      </c>
      <c r="D3" s="29">
        <f>D5+D8+D11+D14</f>
        <v>72817519.919999987</v>
      </c>
      <c r="F3" s="23">
        <f t="shared" ref="F3:G3" si="0">F5+F8+F11+F14</f>
        <v>6068126.6600000001</v>
      </c>
      <c r="G3" s="23">
        <f t="shared" si="0"/>
        <v>0</v>
      </c>
      <c r="H3" s="23">
        <f t="shared" ref="H3:P3" si="1">H5+H8+H11+H14</f>
        <v>0</v>
      </c>
      <c r="I3" s="23">
        <f t="shared" si="1"/>
        <v>0</v>
      </c>
      <c r="J3" s="23">
        <f t="shared" si="1"/>
        <v>0</v>
      </c>
      <c r="K3" s="23">
        <f t="shared" si="1"/>
        <v>0</v>
      </c>
      <c r="L3" s="23">
        <f t="shared" si="1"/>
        <v>0</v>
      </c>
      <c r="M3" s="23">
        <f t="shared" si="1"/>
        <v>0</v>
      </c>
      <c r="N3" s="23">
        <f t="shared" si="1"/>
        <v>0</v>
      </c>
      <c r="O3" s="23">
        <f t="shared" si="1"/>
        <v>0</v>
      </c>
      <c r="P3" s="23">
        <f t="shared" si="1"/>
        <v>0</v>
      </c>
      <c r="Q3" s="23">
        <f t="shared" ref="Q3" si="2">Q5+Q8+Q11+Q14</f>
        <v>0</v>
      </c>
      <c r="R3" s="129"/>
      <c r="S3" s="23">
        <f>S5+S8+S11+S14</f>
        <v>6068126.6600000001</v>
      </c>
      <c r="T3" s="129"/>
      <c r="U3" s="129"/>
      <c r="V3" s="129"/>
      <c r="W3" s="129"/>
      <c r="X3" s="21"/>
      <c r="Y3" s="21"/>
      <c r="Z3" s="21"/>
      <c r="AA3" s="21"/>
    </row>
    <row r="4" spans="1:36" s="36" customFormat="1" ht="10" customHeight="1">
      <c r="A4" s="39" t="s">
        <v>195</v>
      </c>
      <c r="B4" s="39"/>
      <c r="C4" s="143"/>
      <c r="D4" s="143" t="e">
        <f>D3/#REF!-1</f>
        <v>#REF!</v>
      </c>
      <c r="F4" s="143">
        <v>0</v>
      </c>
      <c r="G4" s="143">
        <f t="shared" ref="G4:Q4" si="3">G3/F3-1</f>
        <v>-1</v>
      </c>
      <c r="H4" s="143" t="e">
        <f t="shared" si="3"/>
        <v>#DIV/0!</v>
      </c>
      <c r="I4" s="143" t="e">
        <f t="shared" si="3"/>
        <v>#DIV/0!</v>
      </c>
      <c r="J4" s="143" t="e">
        <f t="shared" si="3"/>
        <v>#DIV/0!</v>
      </c>
      <c r="K4" s="143" t="e">
        <f t="shared" si="3"/>
        <v>#DIV/0!</v>
      </c>
      <c r="L4" s="143" t="e">
        <f t="shared" si="3"/>
        <v>#DIV/0!</v>
      </c>
      <c r="M4" s="143" t="e">
        <f t="shared" si="3"/>
        <v>#DIV/0!</v>
      </c>
      <c r="N4" s="143" t="e">
        <f t="shared" si="3"/>
        <v>#DIV/0!</v>
      </c>
      <c r="O4" s="143" t="e">
        <f t="shared" si="3"/>
        <v>#DIV/0!</v>
      </c>
      <c r="P4" s="143" t="e">
        <f t="shared" si="3"/>
        <v>#DIV/0!</v>
      </c>
      <c r="Q4" s="143" t="e">
        <f t="shared" si="3"/>
        <v>#DIV/0!</v>
      </c>
      <c r="S4" s="143">
        <f>S3/F3-1</f>
        <v>0</v>
      </c>
    </row>
    <row r="5" spans="1:36" s="24" customFormat="1" ht="20" customHeight="1">
      <c r="B5" s="24" t="s">
        <v>27</v>
      </c>
      <c r="C5" s="25">
        <f>SUM(F5:Q5)</f>
        <v>2682247.0099999998</v>
      </c>
      <c r="D5" s="25">
        <f>S5*12</f>
        <v>32186964.119999997</v>
      </c>
      <c r="F5" s="128">
        <f>2682247.01</f>
        <v>2682247.0099999998</v>
      </c>
      <c r="G5" s="128">
        <v>0</v>
      </c>
      <c r="H5" s="128">
        <v>0</v>
      </c>
      <c r="I5" s="128">
        <v>0</v>
      </c>
      <c r="J5" s="128">
        <v>0</v>
      </c>
      <c r="K5" s="128">
        <v>0</v>
      </c>
      <c r="L5" s="128">
        <v>0</v>
      </c>
      <c r="M5" s="128">
        <v>0</v>
      </c>
      <c r="N5" s="128">
        <v>0</v>
      </c>
      <c r="O5" s="128">
        <v>0</v>
      </c>
      <c r="P5" s="128">
        <v>0</v>
      </c>
      <c r="Q5" s="128">
        <v>0</v>
      </c>
      <c r="R5" s="128"/>
      <c r="S5" s="128">
        <f>(SUM(F5:Q5)/$G$1)</f>
        <v>2682247.0099999998</v>
      </c>
      <c r="T5" s="128"/>
      <c r="U5" s="128"/>
      <c r="V5" s="128"/>
      <c r="W5" s="128"/>
      <c r="X5" s="21"/>
      <c r="Y5" s="21"/>
      <c r="Z5" s="21"/>
      <c r="AA5" s="21"/>
    </row>
    <row r="6" spans="1:36" s="36" customFormat="1" ht="10" customHeight="1">
      <c r="B6" s="36" t="s">
        <v>195</v>
      </c>
      <c r="C6" s="37"/>
      <c r="D6" s="37" t="e">
        <f>D5/#REF!-1</f>
        <v>#REF!</v>
      </c>
      <c r="F6" s="37">
        <v>0</v>
      </c>
      <c r="G6" s="37">
        <f t="shared" ref="G6:Q6" si="4">G5/F5-1</f>
        <v>-1</v>
      </c>
      <c r="H6" s="37" t="e">
        <f t="shared" si="4"/>
        <v>#DIV/0!</v>
      </c>
      <c r="I6" s="37" t="e">
        <f t="shared" si="4"/>
        <v>#DIV/0!</v>
      </c>
      <c r="J6" s="37" t="e">
        <f t="shared" si="4"/>
        <v>#DIV/0!</v>
      </c>
      <c r="K6" s="37" t="e">
        <f t="shared" si="4"/>
        <v>#DIV/0!</v>
      </c>
      <c r="L6" s="37" t="e">
        <f t="shared" si="4"/>
        <v>#DIV/0!</v>
      </c>
      <c r="M6" s="37" t="e">
        <f t="shared" si="4"/>
        <v>#DIV/0!</v>
      </c>
      <c r="N6" s="37" t="e">
        <f t="shared" si="4"/>
        <v>#DIV/0!</v>
      </c>
      <c r="O6" s="37" t="e">
        <f t="shared" si="4"/>
        <v>#DIV/0!</v>
      </c>
      <c r="P6" s="37" t="e">
        <f t="shared" si="4"/>
        <v>#DIV/0!</v>
      </c>
      <c r="Q6" s="37" t="e">
        <f t="shared" si="4"/>
        <v>#DIV/0!</v>
      </c>
      <c r="S6" s="37" t="e">
        <f>S5/R5-1</f>
        <v>#DIV/0!</v>
      </c>
    </row>
    <row r="7" spans="1:36" s="146" customFormat="1" ht="10" customHeight="1">
      <c r="B7" s="144" t="s">
        <v>194</v>
      </c>
      <c r="C7" s="145">
        <f>C5/C$3</f>
        <v>0.44202225172406007</v>
      </c>
      <c r="D7" s="145">
        <f>D5/D$3</f>
        <v>0.44202225172406012</v>
      </c>
      <c r="F7" s="145">
        <f t="shared" ref="F7:G7" si="5">F5/F$3</f>
        <v>0.44202225172406007</v>
      </c>
      <c r="G7" s="145" t="e">
        <f t="shared" si="5"/>
        <v>#DIV/0!</v>
      </c>
      <c r="H7" s="145" t="e">
        <f t="shared" ref="H7:P7" si="6">H5/H$3</f>
        <v>#DIV/0!</v>
      </c>
      <c r="I7" s="145" t="e">
        <f t="shared" si="6"/>
        <v>#DIV/0!</v>
      </c>
      <c r="J7" s="145" t="e">
        <f t="shared" si="6"/>
        <v>#DIV/0!</v>
      </c>
      <c r="K7" s="145" t="e">
        <f t="shared" si="6"/>
        <v>#DIV/0!</v>
      </c>
      <c r="L7" s="145" t="e">
        <f t="shared" si="6"/>
        <v>#DIV/0!</v>
      </c>
      <c r="M7" s="145" t="e">
        <f t="shared" si="6"/>
        <v>#DIV/0!</v>
      </c>
      <c r="N7" s="145" t="e">
        <f t="shared" si="6"/>
        <v>#DIV/0!</v>
      </c>
      <c r="O7" s="145" t="e">
        <f t="shared" si="6"/>
        <v>#DIV/0!</v>
      </c>
      <c r="P7" s="145" t="e">
        <f t="shared" si="6"/>
        <v>#DIV/0!</v>
      </c>
      <c r="Q7" s="145" t="e">
        <f t="shared" ref="Q7" si="7">Q5/Q$3</f>
        <v>#DIV/0!</v>
      </c>
      <c r="S7" s="145">
        <f>S5/S$3</f>
        <v>0.44202225172406007</v>
      </c>
    </row>
    <row r="8" spans="1:36" s="24" customFormat="1" ht="20" customHeight="1">
      <c r="B8" s="24" t="s">
        <v>28</v>
      </c>
      <c r="C8" s="25">
        <f>SUM(F8:Q8)</f>
        <v>1959016.13</v>
      </c>
      <c r="D8" s="25">
        <f>S8*12</f>
        <v>23508193.559999999</v>
      </c>
      <c r="F8" s="128">
        <f>349047.24+1539431.52+70537.37</f>
        <v>1959016.13</v>
      </c>
      <c r="G8" s="128">
        <v>0</v>
      </c>
      <c r="H8" s="128">
        <v>0</v>
      </c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128">
        <v>0</v>
      </c>
      <c r="O8" s="128">
        <v>0</v>
      </c>
      <c r="P8" s="128">
        <v>0</v>
      </c>
      <c r="Q8" s="128">
        <v>0</v>
      </c>
      <c r="R8" s="128"/>
      <c r="S8" s="128">
        <f>(SUM(F8:Q8)/$G$1)</f>
        <v>1959016.13</v>
      </c>
      <c r="T8" s="128"/>
      <c r="U8" s="128"/>
      <c r="V8" s="128"/>
      <c r="W8" s="128"/>
      <c r="X8" s="21"/>
      <c r="Y8" s="21"/>
      <c r="Z8" s="21"/>
      <c r="AA8" s="21"/>
    </row>
    <row r="9" spans="1:36" s="36" customFormat="1" ht="10" customHeight="1">
      <c r="B9" s="36" t="s">
        <v>195</v>
      </c>
      <c r="C9" s="37"/>
      <c r="D9" s="37" t="e">
        <f>D8/#REF!-1</f>
        <v>#REF!</v>
      </c>
      <c r="F9" s="37">
        <v>0</v>
      </c>
      <c r="G9" s="37">
        <f t="shared" ref="G9:Q9" si="8">G8/F8-1</f>
        <v>-1</v>
      </c>
      <c r="H9" s="37" t="e">
        <f t="shared" si="8"/>
        <v>#DIV/0!</v>
      </c>
      <c r="I9" s="37" t="e">
        <f t="shared" si="8"/>
        <v>#DIV/0!</v>
      </c>
      <c r="J9" s="37" t="e">
        <f t="shared" si="8"/>
        <v>#DIV/0!</v>
      </c>
      <c r="K9" s="37" t="e">
        <f t="shared" si="8"/>
        <v>#DIV/0!</v>
      </c>
      <c r="L9" s="37" t="e">
        <f t="shared" si="8"/>
        <v>#DIV/0!</v>
      </c>
      <c r="M9" s="37" t="e">
        <f t="shared" si="8"/>
        <v>#DIV/0!</v>
      </c>
      <c r="N9" s="37" t="e">
        <f t="shared" si="8"/>
        <v>#DIV/0!</v>
      </c>
      <c r="O9" s="37" t="e">
        <f t="shared" si="8"/>
        <v>#DIV/0!</v>
      </c>
      <c r="P9" s="37" t="e">
        <f t="shared" si="8"/>
        <v>#DIV/0!</v>
      </c>
      <c r="Q9" s="37" t="e">
        <f t="shared" si="8"/>
        <v>#DIV/0!</v>
      </c>
      <c r="S9" s="37" t="e">
        <f>S8/R8-1</f>
        <v>#DIV/0!</v>
      </c>
    </row>
    <row r="10" spans="1:36" s="146" customFormat="1" ht="10" customHeight="1">
      <c r="B10" s="144" t="s">
        <v>194</v>
      </c>
      <c r="C10" s="145">
        <f>C8/C$3</f>
        <v>0.32283705330567375</v>
      </c>
      <c r="D10" s="145">
        <f>D8/D$3</f>
        <v>0.3228370533056738</v>
      </c>
      <c r="F10" s="145">
        <f t="shared" ref="F10:G10" si="9">F8/F$3</f>
        <v>0.32283705330567375</v>
      </c>
      <c r="G10" s="145" t="e">
        <f t="shared" si="9"/>
        <v>#DIV/0!</v>
      </c>
      <c r="H10" s="145" t="e">
        <f t="shared" ref="H10:P10" si="10">H8/H$3</f>
        <v>#DIV/0!</v>
      </c>
      <c r="I10" s="145" t="e">
        <f t="shared" si="10"/>
        <v>#DIV/0!</v>
      </c>
      <c r="J10" s="145" t="e">
        <f t="shared" si="10"/>
        <v>#DIV/0!</v>
      </c>
      <c r="K10" s="145" t="e">
        <f t="shared" si="10"/>
        <v>#DIV/0!</v>
      </c>
      <c r="L10" s="145" t="e">
        <f t="shared" si="10"/>
        <v>#DIV/0!</v>
      </c>
      <c r="M10" s="145" t="e">
        <f t="shared" si="10"/>
        <v>#DIV/0!</v>
      </c>
      <c r="N10" s="145" t="e">
        <f t="shared" si="10"/>
        <v>#DIV/0!</v>
      </c>
      <c r="O10" s="145" t="e">
        <f t="shared" si="10"/>
        <v>#DIV/0!</v>
      </c>
      <c r="P10" s="145" t="e">
        <f t="shared" si="10"/>
        <v>#DIV/0!</v>
      </c>
      <c r="Q10" s="145" t="e">
        <f t="shared" ref="Q10" si="11">Q8/Q$3</f>
        <v>#DIV/0!</v>
      </c>
      <c r="S10" s="145">
        <f>S8/S$3</f>
        <v>0.32283705330567375</v>
      </c>
    </row>
    <row r="11" spans="1:36" s="24" customFormat="1" ht="20" customHeight="1">
      <c r="B11" s="24" t="s">
        <v>136</v>
      </c>
      <c r="C11" s="25">
        <f>SUM(F11:Q11)</f>
        <v>1426863.52</v>
      </c>
      <c r="D11" s="25">
        <f>S11*12</f>
        <v>17122362.240000002</v>
      </c>
      <c r="F11" s="128">
        <f>2800+1424063.52</f>
        <v>1426863.52</v>
      </c>
      <c r="G11" s="128">
        <v>0</v>
      </c>
      <c r="H11" s="128">
        <v>0</v>
      </c>
      <c r="I11" s="128">
        <v>0</v>
      </c>
      <c r="J11" s="128">
        <v>0</v>
      </c>
      <c r="K11" s="128">
        <v>0</v>
      </c>
      <c r="L11" s="128">
        <v>0</v>
      </c>
      <c r="M11" s="128">
        <v>0</v>
      </c>
      <c r="N11" s="128">
        <v>0</v>
      </c>
      <c r="O11" s="128">
        <v>0</v>
      </c>
      <c r="P11" s="128">
        <v>0</v>
      </c>
      <c r="Q11" s="128">
        <v>0</v>
      </c>
      <c r="R11" s="128"/>
      <c r="S11" s="128">
        <f>(SUM(F11:Q11)/$G$1)</f>
        <v>1426863.52</v>
      </c>
      <c r="T11" s="128"/>
      <c r="U11" s="128"/>
      <c r="V11" s="128"/>
      <c r="W11" s="128"/>
      <c r="X11" s="21"/>
      <c r="Y11" s="21"/>
      <c r="Z11" s="21"/>
      <c r="AA11" s="21"/>
    </row>
    <row r="12" spans="1:36" s="36" customFormat="1" ht="10" customHeight="1">
      <c r="B12" s="36" t="s">
        <v>195</v>
      </c>
      <c r="C12" s="37"/>
      <c r="D12" s="37" t="e">
        <f>D11/#REF!-1</f>
        <v>#REF!</v>
      </c>
      <c r="F12" s="37">
        <v>0</v>
      </c>
      <c r="G12" s="37">
        <f t="shared" ref="G12:Q12" si="12">G11/F11-1</f>
        <v>-1</v>
      </c>
      <c r="H12" s="37" t="e">
        <f t="shared" si="12"/>
        <v>#DIV/0!</v>
      </c>
      <c r="I12" s="37" t="e">
        <f t="shared" si="12"/>
        <v>#DIV/0!</v>
      </c>
      <c r="J12" s="37" t="e">
        <f t="shared" si="12"/>
        <v>#DIV/0!</v>
      </c>
      <c r="K12" s="37" t="e">
        <f t="shared" si="12"/>
        <v>#DIV/0!</v>
      </c>
      <c r="L12" s="37" t="e">
        <f t="shared" si="12"/>
        <v>#DIV/0!</v>
      </c>
      <c r="M12" s="37" t="e">
        <f t="shared" si="12"/>
        <v>#DIV/0!</v>
      </c>
      <c r="N12" s="37" t="e">
        <f t="shared" si="12"/>
        <v>#DIV/0!</v>
      </c>
      <c r="O12" s="37" t="e">
        <f t="shared" si="12"/>
        <v>#DIV/0!</v>
      </c>
      <c r="P12" s="37" t="e">
        <f t="shared" si="12"/>
        <v>#DIV/0!</v>
      </c>
      <c r="Q12" s="37" t="e">
        <f t="shared" si="12"/>
        <v>#DIV/0!</v>
      </c>
      <c r="S12" s="37" t="e">
        <f>S11/R11-1</f>
        <v>#DIV/0!</v>
      </c>
    </row>
    <row r="13" spans="1:36" s="146" customFormat="1" ht="10" customHeight="1">
      <c r="B13" s="144" t="s">
        <v>194</v>
      </c>
      <c r="C13" s="145">
        <f>C11/C$3</f>
        <v>0.23514069497026616</v>
      </c>
      <c r="D13" s="145">
        <f>D11/D$3</f>
        <v>0.23514069497026624</v>
      </c>
      <c r="F13" s="145">
        <f t="shared" ref="F13:G13" si="13">F11/F$3</f>
        <v>0.23514069497026616</v>
      </c>
      <c r="G13" s="145" t="e">
        <f t="shared" si="13"/>
        <v>#DIV/0!</v>
      </c>
      <c r="H13" s="145" t="e">
        <f t="shared" ref="H13:P13" si="14">H11/H$3</f>
        <v>#DIV/0!</v>
      </c>
      <c r="I13" s="145" t="e">
        <f t="shared" si="14"/>
        <v>#DIV/0!</v>
      </c>
      <c r="J13" s="145" t="e">
        <f t="shared" si="14"/>
        <v>#DIV/0!</v>
      </c>
      <c r="K13" s="145" t="e">
        <f t="shared" si="14"/>
        <v>#DIV/0!</v>
      </c>
      <c r="L13" s="145" t="e">
        <f t="shared" si="14"/>
        <v>#DIV/0!</v>
      </c>
      <c r="M13" s="145" t="e">
        <f t="shared" si="14"/>
        <v>#DIV/0!</v>
      </c>
      <c r="N13" s="145" t="e">
        <f t="shared" si="14"/>
        <v>#DIV/0!</v>
      </c>
      <c r="O13" s="145" t="e">
        <f t="shared" si="14"/>
        <v>#DIV/0!</v>
      </c>
      <c r="P13" s="145" t="e">
        <f t="shared" si="14"/>
        <v>#DIV/0!</v>
      </c>
      <c r="Q13" s="145" t="e">
        <f t="shared" ref="Q13" si="15">Q11/Q$3</f>
        <v>#DIV/0!</v>
      </c>
      <c r="S13" s="145">
        <f>S11/S$3</f>
        <v>0.23514069497026616</v>
      </c>
    </row>
    <row r="14" spans="1:36" s="24" customFormat="1" ht="20" customHeight="1">
      <c r="B14" s="24" t="s">
        <v>61</v>
      </c>
      <c r="C14" s="25">
        <f>SUM(F14:Q14)</f>
        <v>0</v>
      </c>
      <c r="D14" s="25">
        <f>S14*12</f>
        <v>0</v>
      </c>
      <c r="F14" s="128">
        <v>0</v>
      </c>
      <c r="G14" s="128">
        <v>0</v>
      </c>
      <c r="H14" s="128">
        <v>0</v>
      </c>
      <c r="I14" s="128">
        <v>0</v>
      </c>
      <c r="J14" s="128">
        <v>0</v>
      </c>
      <c r="K14" s="128">
        <v>0</v>
      </c>
      <c r="L14" s="128">
        <v>0</v>
      </c>
      <c r="M14" s="128">
        <v>0</v>
      </c>
      <c r="N14" s="128">
        <v>0</v>
      </c>
      <c r="O14" s="128">
        <v>0</v>
      </c>
      <c r="P14" s="128">
        <v>0</v>
      </c>
      <c r="Q14" s="128">
        <v>0</v>
      </c>
      <c r="R14" s="128"/>
      <c r="S14" s="128">
        <f>(SUM(F14:Q14)/$G$1)</f>
        <v>0</v>
      </c>
      <c r="T14" s="128"/>
      <c r="U14" s="128"/>
      <c r="V14" s="128"/>
      <c r="W14" s="128"/>
      <c r="X14" s="21"/>
      <c r="Y14" s="21"/>
      <c r="Z14" s="21"/>
      <c r="AA14" s="21"/>
    </row>
    <row r="15" spans="1:36" s="36" customFormat="1" ht="10" customHeight="1">
      <c r="B15" s="36" t="s">
        <v>195</v>
      </c>
      <c r="C15" s="37"/>
      <c r="D15" s="37" t="e">
        <f>D14/#REF!-1</f>
        <v>#REF!</v>
      </c>
      <c r="F15" s="37">
        <v>0</v>
      </c>
      <c r="G15" s="37" t="e">
        <f t="shared" ref="G15:Q15" si="16">G14/F14-1</f>
        <v>#DIV/0!</v>
      </c>
      <c r="H15" s="37" t="e">
        <f t="shared" si="16"/>
        <v>#DIV/0!</v>
      </c>
      <c r="I15" s="37" t="e">
        <f t="shared" si="16"/>
        <v>#DIV/0!</v>
      </c>
      <c r="J15" s="37" t="e">
        <f t="shared" si="16"/>
        <v>#DIV/0!</v>
      </c>
      <c r="K15" s="37" t="e">
        <f t="shared" si="16"/>
        <v>#DIV/0!</v>
      </c>
      <c r="L15" s="37" t="e">
        <f t="shared" si="16"/>
        <v>#DIV/0!</v>
      </c>
      <c r="M15" s="37" t="e">
        <f t="shared" si="16"/>
        <v>#DIV/0!</v>
      </c>
      <c r="N15" s="37" t="e">
        <f t="shared" si="16"/>
        <v>#DIV/0!</v>
      </c>
      <c r="O15" s="37" t="e">
        <f t="shared" si="16"/>
        <v>#DIV/0!</v>
      </c>
      <c r="P15" s="37" t="e">
        <f t="shared" si="16"/>
        <v>#DIV/0!</v>
      </c>
      <c r="Q15" s="37" t="e">
        <f t="shared" si="16"/>
        <v>#DIV/0!</v>
      </c>
      <c r="S15" s="37" t="e">
        <f>S14/R14-1</f>
        <v>#DIV/0!</v>
      </c>
    </row>
    <row r="16" spans="1:36" s="146" customFormat="1" ht="10" customHeight="1">
      <c r="B16" s="146" t="s">
        <v>194</v>
      </c>
      <c r="C16" s="145">
        <f>C14/C$3</f>
        <v>0</v>
      </c>
      <c r="D16" s="147">
        <f>D14/D$3</f>
        <v>0</v>
      </c>
      <c r="F16" s="147">
        <f t="shared" ref="F16:G16" si="17">F14/F$3</f>
        <v>0</v>
      </c>
      <c r="G16" s="147" t="e">
        <f t="shared" si="17"/>
        <v>#DIV/0!</v>
      </c>
      <c r="H16" s="147" t="e">
        <f t="shared" ref="H16:P16" si="18">H14/H$3</f>
        <v>#DIV/0!</v>
      </c>
      <c r="I16" s="147" t="e">
        <f t="shared" si="18"/>
        <v>#DIV/0!</v>
      </c>
      <c r="J16" s="147" t="e">
        <f t="shared" si="18"/>
        <v>#DIV/0!</v>
      </c>
      <c r="K16" s="147" t="e">
        <f t="shared" si="18"/>
        <v>#DIV/0!</v>
      </c>
      <c r="L16" s="147" t="e">
        <f t="shared" si="18"/>
        <v>#DIV/0!</v>
      </c>
      <c r="M16" s="147" t="e">
        <f t="shared" si="18"/>
        <v>#DIV/0!</v>
      </c>
      <c r="N16" s="147" t="e">
        <f t="shared" si="18"/>
        <v>#DIV/0!</v>
      </c>
      <c r="O16" s="147" t="e">
        <f t="shared" si="18"/>
        <v>#DIV/0!</v>
      </c>
      <c r="P16" s="147" t="e">
        <f t="shared" si="18"/>
        <v>#DIV/0!</v>
      </c>
      <c r="Q16" s="147" t="e">
        <f t="shared" ref="Q16" si="19">Q14/Q$3</f>
        <v>#DIV/0!</v>
      </c>
      <c r="S16" s="147">
        <f>S14/S$3</f>
        <v>0</v>
      </c>
    </row>
    <row r="17" spans="1:27" s="22" customFormat="1" ht="20" customHeight="1">
      <c r="B17" s="153" t="s">
        <v>133</v>
      </c>
      <c r="C17" s="29">
        <f>C20+C23</f>
        <v>-482229.64</v>
      </c>
      <c r="D17" s="29">
        <f>D20+D23</f>
        <v>-5786755.6800000006</v>
      </c>
      <c r="F17" s="29">
        <f t="shared" ref="F17:G17" si="20">F20+F23</f>
        <v>-482229.64</v>
      </c>
      <c r="G17" s="29">
        <f t="shared" si="20"/>
        <v>0</v>
      </c>
      <c r="H17" s="29">
        <f t="shared" ref="H17:P17" si="21">H20+H23</f>
        <v>0</v>
      </c>
      <c r="I17" s="29">
        <f t="shared" si="21"/>
        <v>0</v>
      </c>
      <c r="J17" s="29">
        <f t="shared" si="21"/>
        <v>0</v>
      </c>
      <c r="K17" s="29">
        <f t="shared" si="21"/>
        <v>0</v>
      </c>
      <c r="L17" s="29">
        <f t="shared" si="21"/>
        <v>0</v>
      </c>
      <c r="M17" s="29">
        <f t="shared" si="21"/>
        <v>0</v>
      </c>
      <c r="N17" s="29">
        <f t="shared" si="21"/>
        <v>0</v>
      </c>
      <c r="O17" s="29">
        <f t="shared" si="21"/>
        <v>0</v>
      </c>
      <c r="P17" s="29">
        <f t="shared" si="21"/>
        <v>0</v>
      </c>
      <c r="Q17" s="29">
        <f t="shared" ref="Q17" si="22">Q20+Q23</f>
        <v>0</v>
      </c>
      <c r="R17" s="129"/>
      <c r="S17" s="29">
        <f>S20+S23</f>
        <v>-482229.64</v>
      </c>
      <c r="T17" s="129"/>
      <c r="U17" s="129"/>
      <c r="V17" s="129"/>
      <c r="W17" s="129"/>
      <c r="X17" s="26"/>
      <c r="Y17" s="26"/>
      <c r="Z17" s="26"/>
      <c r="AA17" s="26"/>
    </row>
    <row r="18" spans="1:27" s="36" customFormat="1" ht="10" customHeight="1">
      <c r="B18" s="36" t="s">
        <v>195</v>
      </c>
      <c r="C18" s="37"/>
      <c r="D18" s="37" t="e">
        <f>D17/#REF!-1</f>
        <v>#REF!</v>
      </c>
      <c r="F18" s="37">
        <v>0</v>
      </c>
      <c r="G18" s="37">
        <f t="shared" ref="G18:Q18" si="23">G17/F17-1</f>
        <v>-1</v>
      </c>
      <c r="H18" s="37" t="e">
        <f t="shared" si="23"/>
        <v>#DIV/0!</v>
      </c>
      <c r="I18" s="37" t="e">
        <f t="shared" si="23"/>
        <v>#DIV/0!</v>
      </c>
      <c r="J18" s="37" t="e">
        <f t="shared" si="23"/>
        <v>#DIV/0!</v>
      </c>
      <c r="K18" s="37" t="e">
        <f t="shared" si="23"/>
        <v>#DIV/0!</v>
      </c>
      <c r="L18" s="37" t="e">
        <f t="shared" si="23"/>
        <v>#DIV/0!</v>
      </c>
      <c r="M18" s="37" t="e">
        <f t="shared" si="23"/>
        <v>#DIV/0!</v>
      </c>
      <c r="N18" s="37" t="e">
        <f t="shared" si="23"/>
        <v>#DIV/0!</v>
      </c>
      <c r="O18" s="37" t="e">
        <f t="shared" si="23"/>
        <v>#DIV/0!</v>
      </c>
      <c r="P18" s="37" t="e">
        <f t="shared" si="23"/>
        <v>#DIV/0!</v>
      </c>
      <c r="Q18" s="37" t="e">
        <f t="shared" si="23"/>
        <v>#DIV/0!</v>
      </c>
      <c r="S18" s="37" t="e">
        <f>S17/R17-1</f>
        <v>#DIV/0!</v>
      </c>
    </row>
    <row r="19" spans="1:27" s="146" customFormat="1" ht="10" customHeight="1">
      <c r="B19" s="144" t="s">
        <v>194</v>
      </c>
      <c r="C19" s="145">
        <f t="shared" ref="C19:D19" si="24">C17/C$3*-1</f>
        <v>7.9469277261262711E-2</v>
      </c>
      <c r="D19" s="145">
        <f t="shared" si="24"/>
        <v>7.9469277261262725E-2</v>
      </c>
      <c r="F19" s="145">
        <f t="shared" ref="F19:G19" si="25">F17/F$3*-1</f>
        <v>7.9469277261262711E-2</v>
      </c>
      <c r="G19" s="145" t="e">
        <f t="shared" si="25"/>
        <v>#DIV/0!</v>
      </c>
      <c r="H19" s="145" t="e">
        <f t="shared" ref="H19:P19" si="26">H17/H$3*-1</f>
        <v>#DIV/0!</v>
      </c>
      <c r="I19" s="145" t="e">
        <f t="shared" si="26"/>
        <v>#DIV/0!</v>
      </c>
      <c r="J19" s="145" t="e">
        <f t="shared" si="26"/>
        <v>#DIV/0!</v>
      </c>
      <c r="K19" s="145" t="e">
        <f t="shared" si="26"/>
        <v>#DIV/0!</v>
      </c>
      <c r="L19" s="145" t="e">
        <f t="shared" si="26"/>
        <v>#DIV/0!</v>
      </c>
      <c r="M19" s="145" t="e">
        <f t="shared" si="26"/>
        <v>#DIV/0!</v>
      </c>
      <c r="N19" s="145" t="e">
        <f t="shared" si="26"/>
        <v>#DIV/0!</v>
      </c>
      <c r="O19" s="145" t="e">
        <f t="shared" si="26"/>
        <v>#DIV/0!</v>
      </c>
      <c r="P19" s="145" t="e">
        <f t="shared" si="26"/>
        <v>#DIV/0!</v>
      </c>
      <c r="Q19" s="145" t="e">
        <f t="shared" ref="Q19" si="27">Q17/Q$3*-1</f>
        <v>#DIV/0!</v>
      </c>
      <c r="S19" s="145">
        <f>S17/S$3*-1</f>
        <v>7.9469277261262711E-2</v>
      </c>
    </row>
    <row r="20" spans="1:27" s="24" customFormat="1" ht="20" customHeight="1">
      <c r="B20" s="155" t="s">
        <v>62</v>
      </c>
      <c r="C20" s="25">
        <f>SUM(F20:Q20)</f>
        <v>-2044.78</v>
      </c>
      <c r="D20" s="156">
        <f>S20*12</f>
        <v>-24537.360000000001</v>
      </c>
      <c r="F20" s="128">
        <f>-2044.78</f>
        <v>-2044.78</v>
      </c>
      <c r="G20" s="128">
        <v>0</v>
      </c>
      <c r="H20" s="128">
        <v>0</v>
      </c>
      <c r="I20" s="128">
        <v>0</v>
      </c>
      <c r="J20" s="128">
        <v>0</v>
      </c>
      <c r="K20" s="128">
        <v>0</v>
      </c>
      <c r="L20" s="128">
        <v>0</v>
      </c>
      <c r="M20" s="128">
        <v>0</v>
      </c>
      <c r="N20" s="128">
        <v>0</v>
      </c>
      <c r="O20" s="128">
        <v>0</v>
      </c>
      <c r="P20" s="128">
        <v>0</v>
      </c>
      <c r="Q20" s="128">
        <v>0</v>
      </c>
      <c r="R20" s="128"/>
      <c r="S20" s="128">
        <f>(SUM(F20:Q20)/$G$1)</f>
        <v>-2044.78</v>
      </c>
      <c r="T20" s="128"/>
      <c r="U20" s="128"/>
      <c r="V20" s="128"/>
      <c r="W20" s="128"/>
      <c r="X20" s="21"/>
      <c r="Y20" s="21"/>
      <c r="Z20" s="21"/>
      <c r="AA20" s="21"/>
    </row>
    <row r="21" spans="1:27" s="36" customFormat="1" ht="10" customHeight="1">
      <c r="B21" s="36" t="s">
        <v>195</v>
      </c>
      <c r="C21" s="37"/>
      <c r="D21" s="37" t="e">
        <f>D20/#REF!-1</f>
        <v>#REF!</v>
      </c>
      <c r="F21" s="37">
        <v>0</v>
      </c>
      <c r="G21" s="37">
        <f t="shared" ref="G21:Q21" si="28">G20/F20-1</f>
        <v>-1</v>
      </c>
      <c r="H21" s="37" t="e">
        <f t="shared" si="28"/>
        <v>#DIV/0!</v>
      </c>
      <c r="I21" s="37" t="e">
        <f t="shared" si="28"/>
        <v>#DIV/0!</v>
      </c>
      <c r="J21" s="37" t="e">
        <f t="shared" si="28"/>
        <v>#DIV/0!</v>
      </c>
      <c r="K21" s="37" t="e">
        <f t="shared" si="28"/>
        <v>#DIV/0!</v>
      </c>
      <c r="L21" s="37" t="e">
        <f t="shared" si="28"/>
        <v>#DIV/0!</v>
      </c>
      <c r="M21" s="37" t="e">
        <f t="shared" si="28"/>
        <v>#DIV/0!</v>
      </c>
      <c r="N21" s="37" t="e">
        <f t="shared" si="28"/>
        <v>#DIV/0!</v>
      </c>
      <c r="O21" s="37" t="e">
        <f t="shared" si="28"/>
        <v>#DIV/0!</v>
      </c>
      <c r="P21" s="37" t="e">
        <f t="shared" si="28"/>
        <v>#DIV/0!</v>
      </c>
      <c r="Q21" s="37" t="e">
        <f t="shared" si="28"/>
        <v>#DIV/0!</v>
      </c>
      <c r="S21" s="37" t="e">
        <f>S20/R20-1</f>
        <v>#DIV/0!</v>
      </c>
    </row>
    <row r="22" spans="1:27" s="146" customFormat="1" ht="10" customHeight="1">
      <c r="B22" s="144" t="s">
        <v>194</v>
      </c>
      <c r="C22" s="145">
        <f t="shared" ref="C22:D22" si="29">C20/C$17</f>
        <v>4.2402619631592949E-3</v>
      </c>
      <c r="D22" s="145">
        <f t="shared" si="29"/>
        <v>4.240261963159294E-3</v>
      </c>
      <c r="E22" s="293"/>
      <c r="F22" s="145">
        <f t="shared" ref="F22:G22" si="30">F20/F$17</f>
        <v>4.2402619631592949E-3</v>
      </c>
      <c r="G22" s="145" t="e">
        <f t="shared" si="30"/>
        <v>#DIV/0!</v>
      </c>
      <c r="H22" s="145" t="e">
        <f t="shared" ref="H22:P22" si="31">H20/H$17</f>
        <v>#DIV/0!</v>
      </c>
      <c r="I22" s="145" t="e">
        <f t="shared" si="31"/>
        <v>#DIV/0!</v>
      </c>
      <c r="J22" s="145" t="e">
        <f t="shared" si="31"/>
        <v>#DIV/0!</v>
      </c>
      <c r="K22" s="145" t="e">
        <f t="shared" si="31"/>
        <v>#DIV/0!</v>
      </c>
      <c r="L22" s="145" t="e">
        <f t="shared" si="31"/>
        <v>#DIV/0!</v>
      </c>
      <c r="M22" s="145" t="e">
        <f t="shared" si="31"/>
        <v>#DIV/0!</v>
      </c>
      <c r="N22" s="145" t="e">
        <f t="shared" si="31"/>
        <v>#DIV/0!</v>
      </c>
      <c r="O22" s="145" t="e">
        <f t="shared" si="31"/>
        <v>#DIV/0!</v>
      </c>
      <c r="P22" s="145" t="e">
        <f t="shared" si="31"/>
        <v>#DIV/0!</v>
      </c>
      <c r="Q22" s="145" t="e">
        <f t="shared" ref="Q22" si="32">Q20/Q$17</f>
        <v>#DIV/0!</v>
      </c>
      <c r="S22" s="145">
        <f>S20/S$17</f>
        <v>4.2402619631592949E-3</v>
      </c>
    </row>
    <row r="23" spans="1:27" s="24" customFormat="1" ht="20" customHeight="1">
      <c r="B23" s="24" t="s">
        <v>125</v>
      </c>
      <c r="C23" s="25">
        <f>SUM(F23:Q23)</f>
        <v>-480184.86</v>
      </c>
      <c r="D23" s="25">
        <f>S23*12</f>
        <v>-5762218.3200000003</v>
      </c>
      <c r="F23" s="128">
        <f>-482229.64+2044.78</f>
        <v>-480184.86</v>
      </c>
      <c r="G23" s="128">
        <v>0</v>
      </c>
      <c r="H23" s="128">
        <v>0</v>
      </c>
      <c r="I23" s="128">
        <v>0</v>
      </c>
      <c r="J23" s="128">
        <v>0</v>
      </c>
      <c r="K23" s="128">
        <v>0</v>
      </c>
      <c r="L23" s="128">
        <v>0</v>
      </c>
      <c r="M23" s="128">
        <v>0</v>
      </c>
      <c r="N23" s="128">
        <v>0</v>
      </c>
      <c r="O23" s="128">
        <v>0</v>
      </c>
      <c r="P23" s="128">
        <v>0</v>
      </c>
      <c r="Q23" s="128">
        <v>0</v>
      </c>
      <c r="R23" s="128"/>
      <c r="S23" s="128">
        <f>(SUM(F23:Q23)/$G$1)</f>
        <v>-480184.86</v>
      </c>
      <c r="T23" s="128"/>
      <c r="U23" s="128"/>
      <c r="V23" s="128"/>
      <c r="W23" s="128"/>
      <c r="X23" s="21"/>
      <c r="Y23" s="21"/>
      <c r="Z23" s="21"/>
      <c r="AA23" s="21"/>
    </row>
    <row r="24" spans="1:27" s="36" customFormat="1" ht="10" customHeight="1">
      <c r="B24" s="36" t="s">
        <v>195</v>
      </c>
      <c r="C24" s="37"/>
      <c r="D24" s="37" t="e">
        <f>D23/#REF!-1</f>
        <v>#REF!</v>
      </c>
      <c r="F24" s="37">
        <v>0</v>
      </c>
      <c r="G24" s="37">
        <f t="shared" ref="G24:Q24" si="33">G23/F23-1</f>
        <v>-1</v>
      </c>
      <c r="H24" s="37" t="e">
        <f t="shared" si="33"/>
        <v>#DIV/0!</v>
      </c>
      <c r="I24" s="37" t="e">
        <f t="shared" si="33"/>
        <v>#DIV/0!</v>
      </c>
      <c r="J24" s="37" t="e">
        <f t="shared" si="33"/>
        <v>#DIV/0!</v>
      </c>
      <c r="K24" s="37" t="e">
        <f t="shared" si="33"/>
        <v>#DIV/0!</v>
      </c>
      <c r="L24" s="37" t="e">
        <f t="shared" si="33"/>
        <v>#DIV/0!</v>
      </c>
      <c r="M24" s="37" t="e">
        <f t="shared" si="33"/>
        <v>#DIV/0!</v>
      </c>
      <c r="N24" s="37" t="e">
        <f t="shared" si="33"/>
        <v>#DIV/0!</v>
      </c>
      <c r="O24" s="37" t="e">
        <f t="shared" si="33"/>
        <v>#DIV/0!</v>
      </c>
      <c r="P24" s="37" t="e">
        <f t="shared" si="33"/>
        <v>#DIV/0!</v>
      </c>
      <c r="Q24" s="37" t="e">
        <f t="shared" si="33"/>
        <v>#DIV/0!</v>
      </c>
      <c r="S24" s="37" t="e">
        <f>S23/R23-1</f>
        <v>#DIV/0!</v>
      </c>
    </row>
    <row r="25" spans="1:27" s="146" customFormat="1" ht="10" customHeight="1">
      <c r="B25" s="144" t="s">
        <v>194</v>
      </c>
      <c r="C25" s="145">
        <f t="shared" ref="C25:D25" si="34">C23/C$17</f>
        <v>0.9957597380368407</v>
      </c>
      <c r="D25" s="145">
        <f t="shared" si="34"/>
        <v>0.9957597380368407</v>
      </c>
      <c r="F25" s="145">
        <f t="shared" ref="F25:G25" si="35">F23/F$17</f>
        <v>0.9957597380368407</v>
      </c>
      <c r="G25" s="145" t="e">
        <f t="shared" si="35"/>
        <v>#DIV/0!</v>
      </c>
      <c r="H25" s="145" t="e">
        <f t="shared" ref="H25:P25" si="36">H23/H$17</f>
        <v>#DIV/0!</v>
      </c>
      <c r="I25" s="145" t="e">
        <f t="shared" si="36"/>
        <v>#DIV/0!</v>
      </c>
      <c r="J25" s="145" t="e">
        <f t="shared" si="36"/>
        <v>#DIV/0!</v>
      </c>
      <c r="K25" s="145" t="e">
        <f t="shared" si="36"/>
        <v>#DIV/0!</v>
      </c>
      <c r="L25" s="145" t="e">
        <f t="shared" si="36"/>
        <v>#DIV/0!</v>
      </c>
      <c r="M25" s="145" t="e">
        <f t="shared" si="36"/>
        <v>#DIV/0!</v>
      </c>
      <c r="N25" s="145" t="e">
        <f t="shared" si="36"/>
        <v>#DIV/0!</v>
      </c>
      <c r="O25" s="145" t="e">
        <f t="shared" si="36"/>
        <v>#DIV/0!</v>
      </c>
      <c r="P25" s="145" t="e">
        <f t="shared" si="36"/>
        <v>#DIV/0!</v>
      </c>
      <c r="Q25" s="145" t="e">
        <f t="shared" ref="Q25" si="37">Q23/Q$17</f>
        <v>#DIV/0!</v>
      </c>
      <c r="S25" s="145">
        <f>S23/S$17</f>
        <v>0.9957597380368407</v>
      </c>
    </row>
    <row r="26" spans="1:27" s="22" customFormat="1" ht="20" customHeight="1">
      <c r="A26" s="158" t="s">
        <v>134</v>
      </c>
      <c r="B26" s="158"/>
      <c r="C26" s="159">
        <f>C3+C17</f>
        <v>5585897.0200000005</v>
      </c>
      <c r="D26" s="159">
        <f>D3+D17</f>
        <v>67030764.239999987</v>
      </c>
      <c r="F26" s="159">
        <f t="shared" ref="F26:G26" si="38">F3+F17</f>
        <v>5585897.0200000005</v>
      </c>
      <c r="G26" s="159">
        <f t="shared" si="38"/>
        <v>0</v>
      </c>
      <c r="H26" s="159">
        <f t="shared" ref="H26:P26" si="39">H3+H17</f>
        <v>0</v>
      </c>
      <c r="I26" s="159">
        <f t="shared" si="39"/>
        <v>0</v>
      </c>
      <c r="J26" s="159">
        <f t="shared" si="39"/>
        <v>0</v>
      </c>
      <c r="K26" s="159">
        <f t="shared" si="39"/>
        <v>0</v>
      </c>
      <c r="L26" s="159">
        <f t="shared" si="39"/>
        <v>0</v>
      </c>
      <c r="M26" s="159">
        <f t="shared" si="39"/>
        <v>0</v>
      </c>
      <c r="N26" s="159">
        <f t="shared" si="39"/>
        <v>0</v>
      </c>
      <c r="O26" s="159">
        <f t="shared" si="39"/>
        <v>0</v>
      </c>
      <c r="P26" s="159">
        <f t="shared" si="39"/>
        <v>0</v>
      </c>
      <c r="Q26" s="159">
        <f t="shared" ref="Q26" si="40">Q3+Q17</f>
        <v>0</v>
      </c>
      <c r="R26" s="129"/>
      <c r="S26" s="159">
        <f>S3+S17</f>
        <v>5585897.0200000005</v>
      </c>
      <c r="T26" s="129"/>
      <c r="U26" s="129"/>
      <c r="V26" s="129"/>
      <c r="W26" s="129"/>
      <c r="X26" s="21"/>
      <c r="Y26" s="21"/>
      <c r="Z26" s="21"/>
      <c r="AA26" s="21"/>
    </row>
    <row r="27" spans="1:27" s="36" customFormat="1" ht="10" customHeight="1">
      <c r="A27" s="160" t="s">
        <v>195</v>
      </c>
      <c r="B27" s="160"/>
      <c r="C27" s="162"/>
      <c r="D27" s="162" t="e">
        <f>D26/#REF!-1</f>
        <v>#REF!</v>
      </c>
      <c r="F27" s="162" t="e">
        <f t="shared" ref="F27:Q27" si="41">F26/E26-1</f>
        <v>#DIV/0!</v>
      </c>
      <c r="G27" s="162">
        <f t="shared" si="41"/>
        <v>-1</v>
      </c>
      <c r="H27" s="162" t="e">
        <f t="shared" si="41"/>
        <v>#DIV/0!</v>
      </c>
      <c r="I27" s="162" t="e">
        <f t="shared" si="41"/>
        <v>#DIV/0!</v>
      </c>
      <c r="J27" s="162" t="e">
        <f t="shared" si="41"/>
        <v>#DIV/0!</v>
      </c>
      <c r="K27" s="162" t="e">
        <f t="shared" si="41"/>
        <v>#DIV/0!</v>
      </c>
      <c r="L27" s="162" t="e">
        <f t="shared" si="41"/>
        <v>#DIV/0!</v>
      </c>
      <c r="M27" s="162" t="e">
        <f t="shared" si="41"/>
        <v>#DIV/0!</v>
      </c>
      <c r="N27" s="162" t="e">
        <f t="shared" si="41"/>
        <v>#DIV/0!</v>
      </c>
      <c r="O27" s="162" t="e">
        <f t="shared" si="41"/>
        <v>#DIV/0!</v>
      </c>
      <c r="P27" s="162" t="e">
        <f t="shared" si="41"/>
        <v>#DIV/0!</v>
      </c>
      <c r="Q27" s="162" t="e">
        <f t="shared" si="41"/>
        <v>#DIV/0!</v>
      </c>
      <c r="S27" s="162" t="e">
        <f>S26/R26-1</f>
        <v>#DIV/0!</v>
      </c>
    </row>
    <row r="28" spans="1:27" s="146" customFormat="1" ht="10" customHeight="1">
      <c r="A28" s="163" t="s">
        <v>194</v>
      </c>
      <c r="B28" s="163"/>
      <c r="C28" s="165">
        <f>C26/C$3</f>
        <v>0.92053072273873737</v>
      </c>
      <c r="D28" s="165">
        <f>D26/D$3</f>
        <v>0.92053072273873726</v>
      </c>
      <c r="F28" s="165">
        <f t="shared" ref="F28:G28" si="42">F26/F$3</f>
        <v>0.92053072273873737</v>
      </c>
      <c r="G28" s="165" t="e">
        <f t="shared" si="42"/>
        <v>#DIV/0!</v>
      </c>
      <c r="H28" s="165" t="e">
        <f t="shared" ref="H28:P28" si="43">H26/H$3</f>
        <v>#DIV/0!</v>
      </c>
      <c r="I28" s="165" t="e">
        <f t="shared" si="43"/>
        <v>#DIV/0!</v>
      </c>
      <c r="J28" s="165" t="e">
        <f t="shared" si="43"/>
        <v>#DIV/0!</v>
      </c>
      <c r="K28" s="165" t="e">
        <f t="shared" si="43"/>
        <v>#DIV/0!</v>
      </c>
      <c r="L28" s="165" t="e">
        <f t="shared" si="43"/>
        <v>#DIV/0!</v>
      </c>
      <c r="M28" s="165" t="e">
        <f t="shared" si="43"/>
        <v>#DIV/0!</v>
      </c>
      <c r="N28" s="165" t="e">
        <f t="shared" si="43"/>
        <v>#DIV/0!</v>
      </c>
      <c r="O28" s="165" t="e">
        <f t="shared" si="43"/>
        <v>#DIV/0!</v>
      </c>
      <c r="P28" s="165" t="e">
        <f t="shared" si="43"/>
        <v>#DIV/0!</v>
      </c>
      <c r="Q28" s="165" t="e">
        <f t="shared" ref="Q28" si="44">Q26/Q$3</f>
        <v>#DIV/0!</v>
      </c>
      <c r="S28" s="165">
        <f>S26/S$3</f>
        <v>0.92053072273873737</v>
      </c>
    </row>
    <row r="29" spans="1:27" s="22" customFormat="1" ht="20" customHeight="1">
      <c r="A29" s="157" t="s">
        <v>130</v>
      </c>
      <c r="C29" s="23">
        <f>SUM(C32,C35)</f>
        <v>-4967646.43</v>
      </c>
      <c r="D29" s="23">
        <f>SUM(D32,D35)</f>
        <v>-59611757.159999996</v>
      </c>
      <c r="F29" s="29">
        <f t="shared" ref="F29:G29" si="45">SUM(F32,F35)</f>
        <v>-4967646.43</v>
      </c>
      <c r="G29" s="29">
        <f t="shared" si="45"/>
        <v>0</v>
      </c>
      <c r="H29" s="29">
        <f t="shared" ref="H29:P29" si="46">SUM(H32,H35)</f>
        <v>0</v>
      </c>
      <c r="I29" s="29">
        <f t="shared" si="46"/>
        <v>0</v>
      </c>
      <c r="J29" s="29">
        <f t="shared" si="46"/>
        <v>0</v>
      </c>
      <c r="K29" s="29">
        <f t="shared" si="46"/>
        <v>0</v>
      </c>
      <c r="L29" s="29">
        <f t="shared" si="46"/>
        <v>0</v>
      </c>
      <c r="M29" s="29">
        <f t="shared" si="46"/>
        <v>0</v>
      </c>
      <c r="N29" s="29">
        <f t="shared" si="46"/>
        <v>0</v>
      </c>
      <c r="O29" s="29">
        <f t="shared" si="46"/>
        <v>0</v>
      </c>
      <c r="P29" s="29">
        <f t="shared" si="46"/>
        <v>0</v>
      </c>
      <c r="Q29" s="29">
        <f t="shared" ref="Q29" si="47">SUM(Q32,Q35)</f>
        <v>0</v>
      </c>
      <c r="R29" s="129"/>
      <c r="S29" s="29">
        <f>SUM(S32,S35)</f>
        <v>-4967646.43</v>
      </c>
      <c r="T29" s="129"/>
      <c r="U29" s="129"/>
      <c r="V29" s="129"/>
      <c r="W29" s="129"/>
      <c r="X29" s="21"/>
      <c r="Y29" s="21"/>
      <c r="Z29" s="21"/>
      <c r="AA29" s="21"/>
    </row>
    <row r="30" spans="1:27" s="36" customFormat="1" ht="10" customHeight="1">
      <c r="A30" s="36" t="s">
        <v>195</v>
      </c>
      <c r="C30" s="37"/>
      <c r="D30" s="37" t="e">
        <f>D29/#REF!-1</f>
        <v>#REF!</v>
      </c>
      <c r="F30" s="37">
        <v>0</v>
      </c>
      <c r="G30" s="37">
        <f t="shared" ref="G30:Q30" si="48">G29/F29-1</f>
        <v>-1</v>
      </c>
      <c r="H30" s="37" t="e">
        <f t="shared" si="48"/>
        <v>#DIV/0!</v>
      </c>
      <c r="I30" s="37" t="e">
        <f t="shared" si="48"/>
        <v>#DIV/0!</v>
      </c>
      <c r="J30" s="37" t="e">
        <f t="shared" si="48"/>
        <v>#DIV/0!</v>
      </c>
      <c r="K30" s="37" t="e">
        <f t="shared" si="48"/>
        <v>#DIV/0!</v>
      </c>
      <c r="L30" s="37" t="e">
        <f t="shared" si="48"/>
        <v>#DIV/0!</v>
      </c>
      <c r="M30" s="37" t="e">
        <f t="shared" si="48"/>
        <v>#DIV/0!</v>
      </c>
      <c r="N30" s="37" t="e">
        <f t="shared" si="48"/>
        <v>#DIV/0!</v>
      </c>
      <c r="O30" s="37" t="e">
        <f t="shared" si="48"/>
        <v>#DIV/0!</v>
      </c>
      <c r="P30" s="37" t="e">
        <f t="shared" si="48"/>
        <v>#DIV/0!</v>
      </c>
      <c r="Q30" s="37" t="e">
        <f t="shared" si="48"/>
        <v>#DIV/0!</v>
      </c>
      <c r="S30" s="37" t="e">
        <f>S29/R29-1</f>
        <v>#DIV/0!</v>
      </c>
    </row>
    <row r="31" spans="1:27" s="146" customFormat="1" ht="10" customHeight="1">
      <c r="A31" s="144" t="s">
        <v>194</v>
      </c>
      <c r="B31" s="144"/>
      <c r="C31" s="145">
        <f t="shared" ref="C31:D31" si="49">C29/C$26*-1</f>
        <v>0.8893193720209327</v>
      </c>
      <c r="D31" s="145">
        <f t="shared" si="49"/>
        <v>0.88931937202093292</v>
      </c>
      <c r="F31" s="145">
        <f t="shared" ref="F31:G31" si="50">F29/F$26*-1</f>
        <v>0.8893193720209327</v>
      </c>
      <c r="G31" s="145" t="e">
        <f t="shared" si="50"/>
        <v>#DIV/0!</v>
      </c>
      <c r="H31" s="145" t="e">
        <f t="shared" ref="H31:P31" si="51">H29/H$26*-1</f>
        <v>#DIV/0!</v>
      </c>
      <c r="I31" s="145" t="e">
        <f t="shared" si="51"/>
        <v>#DIV/0!</v>
      </c>
      <c r="J31" s="145" t="e">
        <f t="shared" si="51"/>
        <v>#DIV/0!</v>
      </c>
      <c r="K31" s="145" t="e">
        <f t="shared" si="51"/>
        <v>#DIV/0!</v>
      </c>
      <c r="L31" s="145" t="e">
        <f t="shared" si="51"/>
        <v>#DIV/0!</v>
      </c>
      <c r="M31" s="145" t="e">
        <f t="shared" si="51"/>
        <v>#DIV/0!</v>
      </c>
      <c r="N31" s="145" t="e">
        <f t="shared" si="51"/>
        <v>#DIV/0!</v>
      </c>
      <c r="O31" s="145" t="e">
        <f t="shared" si="51"/>
        <v>#DIV/0!</v>
      </c>
      <c r="P31" s="145" t="e">
        <f t="shared" si="51"/>
        <v>#DIV/0!</v>
      </c>
      <c r="Q31" s="145" t="e">
        <f t="shared" ref="Q31" si="52">Q29/Q$26*-1</f>
        <v>#DIV/0!</v>
      </c>
      <c r="S31" s="145">
        <f>S29/S$26*-1</f>
        <v>0.8893193720209327</v>
      </c>
    </row>
    <row r="32" spans="1:27" s="24" customFormat="1" ht="20" customHeight="1">
      <c r="B32" s="155" t="s">
        <v>111</v>
      </c>
      <c r="C32" s="25">
        <f>SUM(F32:Q32)</f>
        <v>-4098335.47</v>
      </c>
      <c r="D32" s="156">
        <f>S32*12</f>
        <v>-49180025.640000001</v>
      </c>
      <c r="F32" s="128">
        <f>-4098335.47</f>
        <v>-4098335.47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128">
        <v>0</v>
      </c>
      <c r="O32" s="128">
        <v>0</v>
      </c>
      <c r="P32" s="128">
        <v>0</v>
      </c>
      <c r="Q32" s="128">
        <v>0</v>
      </c>
      <c r="R32" s="128"/>
      <c r="S32" s="128">
        <f>(SUM(F32:Q32)/$G$1)</f>
        <v>-4098335.47</v>
      </c>
      <c r="T32" s="128"/>
      <c r="U32" s="128">
        <f>O32+P32+9786335.73</f>
        <v>9786335.7300000004</v>
      </c>
      <c r="V32" s="128"/>
      <c r="W32" s="128"/>
      <c r="X32" s="21"/>
      <c r="Y32" s="21"/>
      <c r="Z32" s="21"/>
      <c r="AA32" s="21"/>
    </row>
    <row r="33" spans="1:27" s="36" customFormat="1" ht="10" customHeight="1">
      <c r="B33" s="36" t="s">
        <v>195</v>
      </c>
      <c r="C33" s="37"/>
      <c r="D33" s="37" t="e">
        <f>D32/#REF!-1</f>
        <v>#REF!</v>
      </c>
      <c r="F33" s="37">
        <v>0</v>
      </c>
      <c r="G33" s="37">
        <f t="shared" ref="G33:Q33" si="53">G32/F32-1</f>
        <v>-1</v>
      </c>
      <c r="H33" s="37" t="e">
        <f t="shared" si="53"/>
        <v>#DIV/0!</v>
      </c>
      <c r="I33" s="37" t="e">
        <f t="shared" si="53"/>
        <v>#DIV/0!</v>
      </c>
      <c r="J33" s="37" t="e">
        <f t="shared" si="53"/>
        <v>#DIV/0!</v>
      </c>
      <c r="K33" s="37" t="e">
        <f t="shared" si="53"/>
        <v>#DIV/0!</v>
      </c>
      <c r="L33" s="37" t="e">
        <f t="shared" si="53"/>
        <v>#DIV/0!</v>
      </c>
      <c r="M33" s="37" t="e">
        <f t="shared" si="53"/>
        <v>#DIV/0!</v>
      </c>
      <c r="N33" s="37" t="e">
        <f t="shared" si="53"/>
        <v>#DIV/0!</v>
      </c>
      <c r="O33" s="37" t="e">
        <f t="shared" si="53"/>
        <v>#DIV/0!</v>
      </c>
      <c r="P33" s="37" t="e">
        <f t="shared" si="53"/>
        <v>#DIV/0!</v>
      </c>
      <c r="Q33" s="37" t="e">
        <f t="shared" si="53"/>
        <v>#DIV/0!</v>
      </c>
      <c r="S33" s="37" t="e">
        <f>S32/R32-1</f>
        <v>#DIV/0!</v>
      </c>
    </row>
    <row r="34" spans="1:27" s="146" customFormat="1" ht="10" customHeight="1">
      <c r="B34" s="144" t="s">
        <v>194</v>
      </c>
      <c r="C34" s="145">
        <f>C32/C$29</f>
        <v>0.82500546843467693</v>
      </c>
      <c r="D34" s="145">
        <f>D32/D$29</f>
        <v>0.82500546843467693</v>
      </c>
      <c r="F34" s="145">
        <f t="shared" ref="F34:G34" si="54">F32/F$3</f>
        <v>-0.6753872652354953</v>
      </c>
      <c r="G34" s="145" t="e">
        <f t="shared" si="54"/>
        <v>#DIV/0!</v>
      </c>
      <c r="H34" s="145" t="e">
        <f t="shared" ref="H34:P34" si="55">H32/H$3</f>
        <v>#DIV/0!</v>
      </c>
      <c r="I34" s="145" t="e">
        <f t="shared" si="55"/>
        <v>#DIV/0!</v>
      </c>
      <c r="J34" s="145" t="e">
        <f t="shared" si="55"/>
        <v>#DIV/0!</v>
      </c>
      <c r="K34" s="145" t="e">
        <f t="shared" si="55"/>
        <v>#DIV/0!</v>
      </c>
      <c r="L34" s="145" t="e">
        <f t="shared" si="55"/>
        <v>#DIV/0!</v>
      </c>
      <c r="M34" s="145" t="e">
        <f t="shared" si="55"/>
        <v>#DIV/0!</v>
      </c>
      <c r="N34" s="145" t="e">
        <f t="shared" si="55"/>
        <v>#DIV/0!</v>
      </c>
      <c r="O34" s="145" t="e">
        <f t="shared" si="55"/>
        <v>#DIV/0!</v>
      </c>
      <c r="P34" s="145" t="e">
        <f t="shared" si="55"/>
        <v>#DIV/0!</v>
      </c>
      <c r="Q34" s="145" t="e">
        <f t="shared" ref="Q34" si="56">Q32/Q$3</f>
        <v>#DIV/0!</v>
      </c>
      <c r="S34" s="145">
        <f>S32/S$3</f>
        <v>-0.6753872652354953</v>
      </c>
    </row>
    <row r="35" spans="1:27" s="24" customFormat="1" ht="20" customHeight="1">
      <c r="B35" s="24" t="s">
        <v>106</v>
      </c>
      <c r="C35" s="25">
        <f>SUM(F35:Q35)</f>
        <v>-869310.96</v>
      </c>
      <c r="D35" s="25">
        <f>S35*12</f>
        <v>-10431731.52</v>
      </c>
      <c r="F35" s="128">
        <f>-869310.96</f>
        <v>-869310.96</v>
      </c>
      <c r="G35" s="128">
        <v>0</v>
      </c>
      <c r="H35" s="128">
        <v>0</v>
      </c>
      <c r="I35" s="128">
        <v>0</v>
      </c>
      <c r="J35" s="128">
        <v>0</v>
      </c>
      <c r="K35" s="128">
        <v>0</v>
      </c>
      <c r="L35" s="128">
        <v>0</v>
      </c>
      <c r="M35" s="128">
        <v>0</v>
      </c>
      <c r="N35" s="128">
        <v>0</v>
      </c>
      <c r="O35" s="128">
        <v>0</v>
      </c>
      <c r="P35" s="128">
        <v>0</v>
      </c>
      <c r="Q35" s="128">
        <v>0</v>
      </c>
      <c r="R35" s="128"/>
      <c r="S35" s="128">
        <f>(SUM(F35:Q35)/$G$1)</f>
        <v>-869310.96</v>
      </c>
      <c r="T35" s="128"/>
      <c r="U35" s="128">
        <f>O35+P35+2305767.97</f>
        <v>2305767.9700000002</v>
      </c>
      <c r="V35" s="128"/>
      <c r="W35" s="128"/>
      <c r="X35" s="21"/>
      <c r="Y35" s="21"/>
      <c r="Z35" s="21"/>
      <c r="AA35" s="21"/>
    </row>
    <row r="36" spans="1:27" s="36" customFormat="1" ht="10" customHeight="1">
      <c r="B36" s="36" t="s">
        <v>195</v>
      </c>
      <c r="C36" s="37"/>
      <c r="D36" s="37" t="e">
        <f>D35/#REF!-1</f>
        <v>#REF!</v>
      </c>
      <c r="F36" s="37">
        <v>0</v>
      </c>
      <c r="G36" s="37">
        <f t="shared" ref="G36:Q36" si="57">G35/F35-1</f>
        <v>-1</v>
      </c>
      <c r="H36" s="37" t="e">
        <f t="shared" si="57"/>
        <v>#DIV/0!</v>
      </c>
      <c r="I36" s="37" t="e">
        <f t="shared" si="57"/>
        <v>#DIV/0!</v>
      </c>
      <c r="J36" s="37" t="e">
        <f t="shared" si="57"/>
        <v>#DIV/0!</v>
      </c>
      <c r="K36" s="37" t="e">
        <f t="shared" si="57"/>
        <v>#DIV/0!</v>
      </c>
      <c r="L36" s="37" t="e">
        <f t="shared" si="57"/>
        <v>#DIV/0!</v>
      </c>
      <c r="M36" s="37" t="e">
        <f t="shared" si="57"/>
        <v>#DIV/0!</v>
      </c>
      <c r="N36" s="37" t="e">
        <f t="shared" si="57"/>
        <v>#DIV/0!</v>
      </c>
      <c r="O36" s="37" t="e">
        <f t="shared" si="57"/>
        <v>#DIV/0!</v>
      </c>
      <c r="P36" s="37" t="e">
        <f t="shared" si="57"/>
        <v>#DIV/0!</v>
      </c>
      <c r="Q36" s="37" t="e">
        <f t="shared" si="57"/>
        <v>#DIV/0!</v>
      </c>
      <c r="S36" s="37" t="e">
        <f>S35/R35-1</f>
        <v>#DIV/0!</v>
      </c>
    </row>
    <row r="37" spans="1:27" s="146" customFormat="1" ht="10" customHeight="1">
      <c r="B37" s="144" t="s">
        <v>194</v>
      </c>
      <c r="C37" s="145">
        <f>C35/C$29</f>
        <v>0.17499453156532319</v>
      </c>
      <c r="D37" s="145">
        <f>D35/D$29</f>
        <v>0.17499453156532319</v>
      </c>
      <c r="F37" s="145">
        <f t="shared" ref="F37:G37" si="58">F35/F$3</f>
        <v>-0.14325853903649399</v>
      </c>
      <c r="G37" s="145" t="e">
        <f t="shared" si="58"/>
        <v>#DIV/0!</v>
      </c>
      <c r="H37" s="145" t="e">
        <f t="shared" ref="H37:P37" si="59">H35/H$3</f>
        <v>#DIV/0!</v>
      </c>
      <c r="I37" s="145" t="e">
        <f t="shared" si="59"/>
        <v>#DIV/0!</v>
      </c>
      <c r="J37" s="145" t="e">
        <f t="shared" si="59"/>
        <v>#DIV/0!</v>
      </c>
      <c r="K37" s="145" t="e">
        <f t="shared" si="59"/>
        <v>#DIV/0!</v>
      </c>
      <c r="L37" s="145" t="e">
        <f t="shared" si="59"/>
        <v>#DIV/0!</v>
      </c>
      <c r="M37" s="145" t="e">
        <f t="shared" si="59"/>
        <v>#DIV/0!</v>
      </c>
      <c r="N37" s="145" t="e">
        <f t="shared" si="59"/>
        <v>#DIV/0!</v>
      </c>
      <c r="O37" s="145" t="e">
        <f t="shared" si="59"/>
        <v>#DIV/0!</v>
      </c>
      <c r="P37" s="145" t="e">
        <f t="shared" si="59"/>
        <v>#DIV/0!</v>
      </c>
      <c r="Q37" s="145" t="e">
        <f t="shared" ref="Q37" si="60">Q35/Q$3</f>
        <v>#DIV/0!</v>
      </c>
      <c r="S37" s="145">
        <f>S35/S$3</f>
        <v>-0.14325853903649399</v>
      </c>
    </row>
    <row r="38" spans="1:27" s="24" customFormat="1" ht="20" customHeight="1">
      <c r="A38" s="158" t="s">
        <v>135</v>
      </c>
      <c r="B38" s="166"/>
      <c r="C38" s="159">
        <f>C26+C29</f>
        <v>618250.59000000078</v>
      </c>
      <c r="D38" s="159">
        <f>D26+D29</f>
        <v>7419007.0799999908</v>
      </c>
      <c r="F38" s="159">
        <f t="shared" ref="F38:G38" si="61">F26+F29</f>
        <v>618250.59000000078</v>
      </c>
      <c r="G38" s="159">
        <f t="shared" si="61"/>
        <v>0</v>
      </c>
      <c r="H38" s="159">
        <f t="shared" ref="H38:P38" si="62">H26+H29</f>
        <v>0</v>
      </c>
      <c r="I38" s="159">
        <f t="shared" si="62"/>
        <v>0</v>
      </c>
      <c r="J38" s="159">
        <f t="shared" si="62"/>
        <v>0</v>
      </c>
      <c r="K38" s="159">
        <f t="shared" si="62"/>
        <v>0</v>
      </c>
      <c r="L38" s="159">
        <f t="shared" si="62"/>
        <v>0</v>
      </c>
      <c r="M38" s="159">
        <f t="shared" si="62"/>
        <v>0</v>
      </c>
      <c r="N38" s="159">
        <f t="shared" si="62"/>
        <v>0</v>
      </c>
      <c r="O38" s="159">
        <f t="shared" si="62"/>
        <v>0</v>
      </c>
      <c r="P38" s="159">
        <f t="shared" si="62"/>
        <v>0</v>
      </c>
      <c r="Q38" s="159">
        <f t="shared" ref="Q38" si="63">Q26+Q29</f>
        <v>0</v>
      </c>
      <c r="R38" s="129"/>
      <c r="S38" s="159">
        <f>S26+S29</f>
        <v>618250.59000000078</v>
      </c>
      <c r="T38" s="129"/>
      <c r="U38" s="129"/>
      <c r="V38" s="129"/>
      <c r="W38" s="129"/>
      <c r="X38" s="21"/>
      <c r="Y38" s="21"/>
      <c r="Z38" s="21"/>
      <c r="AA38" s="21"/>
    </row>
    <row r="39" spans="1:27" s="36" customFormat="1" ht="10" customHeight="1">
      <c r="A39" s="160" t="s">
        <v>195</v>
      </c>
      <c r="B39" s="160"/>
      <c r="C39" s="162"/>
      <c r="D39" s="162" t="e">
        <f>D38/#REF!-1</f>
        <v>#REF!</v>
      </c>
      <c r="F39" s="162">
        <v>0</v>
      </c>
      <c r="G39" s="162">
        <f t="shared" ref="G39:Q39" si="64">G38/F38-1</f>
        <v>-1</v>
      </c>
      <c r="H39" s="162" t="e">
        <f t="shared" si="64"/>
        <v>#DIV/0!</v>
      </c>
      <c r="I39" s="162" t="e">
        <f t="shared" si="64"/>
        <v>#DIV/0!</v>
      </c>
      <c r="J39" s="162" t="e">
        <f t="shared" si="64"/>
        <v>#DIV/0!</v>
      </c>
      <c r="K39" s="162" t="e">
        <f t="shared" si="64"/>
        <v>#DIV/0!</v>
      </c>
      <c r="L39" s="162" t="e">
        <f t="shared" si="64"/>
        <v>#DIV/0!</v>
      </c>
      <c r="M39" s="162" t="e">
        <f t="shared" si="64"/>
        <v>#DIV/0!</v>
      </c>
      <c r="N39" s="162" t="e">
        <f t="shared" si="64"/>
        <v>#DIV/0!</v>
      </c>
      <c r="O39" s="162" t="e">
        <f t="shared" si="64"/>
        <v>#DIV/0!</v>
      </c>
      <c r="P39" s="162" t="e">
        <f t="shared" si="64"/>
        <v>#DIV/0!</v>
      </c>
      <c r="Q39" s="162" t="e">
        <f t="shared" si="64"/>
        <v>#DIV/0!</v>
      </c>
      <c r="S39" s="162" t="e">
        <f>S38/R38-1</f>
        <v>#DIV/0!</v>
      </c>
    </row>
    <row r="40" spans="1:27" s="146" customFormat="1" ht="10" customHeight="1">
      <c r="A40" s="168" t="s">
        <v>194</v>
      </c>
      <c r="B40" s="168"/>
      <c r="C40" s="169">
        <f>C38/C$26</f>
        <v>0.11068062797906732</v>
      </c>
      <c r="D40" s="169">
        <f>D38/D$26</f>
        <v>0.11068062797906707</v>
      </c>
      <c r="F40" s="169">
        <f t="shared" ref="F40:G40" si="65">F38/F$26</f>
        <v>0.11068062797906732</v>
      </c>
      <c r="G40" s="169" t="e">
        <f t="shared" si="65"/>
        <v>#DIV/0!</v>
      </c>
      <c r="H40" s="169" t="e">
        <f t="shared" ref="H40:P40" si="66">H38/H$26</f>
        <v>#DIV/0!</v>
      </c>
      <c r="I40" s="169" t="e">
        <f t="shared" si="66"/>
        <v>#DIV/0!</v>
      </c>
      <c r="J40" s="169" t="e">
        <f t="shared" si="66"/>
        <v>#DIV/0!</v>
      </c>
      <c r="K40" s="169" t="e">
        <f t="shared" si="66"/>
        <v>#DIV/0!</v>
      </c>
      <c r="L40" s="169" t="e">
        <f t="shared" si="66"/>
        <v>#DIV/0!</v>
      </c>
      <c r="M40" s="169" t="e">
        <f t="shared" si="66"/>
        <v>#DIV/0!</v>
      </c>
      <c r="N40" s="169" t="e">
        <f t="shared" si="66"/>
        <v>#DIV/0!</v>
      </c>
      <c r="O40" s="169" t="e">
        <f t="shared" si="66"/>
        <v>#DIV/0!</v>
      </c>
      <c r="P40" s="169" t="e">
        <f t="shared" si="66"/>
        <v>#DIV/0!</v>
      </c>
      <c r="Q40" s="169" t="e">
        <f t="shared" ref="Q40" si="67">Q38/Q$26</f>
        <v>#DIV/0!</v>
      </c>
      <c r="S40" s="169">
        <f>S38/S$26</f>
        <v>0.11068062797906732</v>
      </c>
    </row>
    <row r="41" spans="1:27" s="22" customFormat="1" ht="20" customHeight="1">
      <c r="A41" s="153" t="s">
        <v>131</v>
      </c>
      <c r="B41" s="153"/>
      <c r="C41" s="29">
        <f>SUM(C44,C47,C50)</f>
        <v>-1365424.5</v>
      </c>
      <c r="D41" s="29">
        <f>SUM(D44,D47,D50)</f>
        <v>-16385094</v>
      </c>
      <c r="F41" s="29">
        <f t="shared" ref="F41:G41" si="68">SUM(F44,F47,F50)</f>
        <v>-1365424.5</v>
      </c>
      <c r="G41" s="29">
        <f t="shared" si="68"/>
        <v>0</v>
      </c>
      <c r="H41" s="29">
        <f t="shared" ref="H41:P41" si="69">SUM(H44,H47,H50)</f>
        <v>0</v>
      </c>
      <c r="I41" s="29">
        <f t="shared" si="69"/>
        <v>0</v>
      </c>
      <c r="J41" s="29">
        <f t="shared" si="69"/>
        <v>0</v>
      </c>
      <c r="K41" s="29">
        <f t="shared" si="69"/>
        <v>0</v>
      </c>
      <c r="L41" s="29">
        <f t="shared" si="69"/>
        <v>0</v>
      </c>
      <c r="M41" s="29">
        <f t="shared" si="69"/>
        <v>0</v>
      </c>
      <c r="N41" s="29">
        <f t="shared" si="69"/>
        <v>0</v>
      </c>
      <c r="O41" s="29">
        <f t="shared" si="69"/>
        <v>0</v>
      </c>
      <c r="P41" s="29">
        <f t="shared" si="69"/>
        <v>0</v>
      </c>
      <c r="Q41" s="29">
        <f t="shared" ref="Q41" si="70">SUM(Q44,Q47,Q50)</f>
        <v>0</v>
      </c>
      <c r="R41" s="129"/>
      <c r="S41" s="29">
        <f>SUM(S44,S47,S50)</f>
        <v>-1365424.5</v>
      </c>
      <c r="T41" s="129"/>
      <c r="U41" s="129"/>
      <c r="V41" s="129"/>
      <c r="W41" s="129"/>
      <c r="X41" s="21"/>
      <c r="Y41" s="21"/>
      <c r="Z41" s="21"/>
      <c r="AA41" s="21"/>
    </row>
    <row r="42" spans="1:27" s="36" customFormat="1" ht="10" customHeight="1">
      <c r="A42" s="46" t="s">
        <v>195</v>
      </c>
      <c r="B42" s="46"/>
      <c r="C42" s="170"/>
      <c r="D42" s="170" t="e">
        <f>D41/#REF!-1</f>
        <v>#REF!</v>
      </c>
      <c r="F42" s="37">
        <v>0</v>
      </c>
      <c r="G42" s="37">
        <f t="shared" ref="G42:Q42" si="71">G41/F41-1</f>
        <v>-1</v>
      </c>
      <c r="H42" s="37" t="e">
        <f t="shared" si="71"/>
        <v>#DIV/0!</v>
      </c>
      <c r="I42" s="37" t="e">
        <f t="shared" si="71"/>
        <v>#DIV/0!</v>
      </c>
      <c r="J42" s="37" t="e">
        <f t="shared" si="71"/>
        <v>#DIV/0!</v>
      </c>
      <c r="K42" s="37" t="e">
        <f t="shared" si="71"/>
        <v>#DIV/0!</v>
      </c>
      <c r="L42" s="37" t="e">
        <f t="shared" si="71"/>
        <v>#DIV/0!</v>
      </c>
      <c r="M42" s="37" t="e">
        <f t="shared" si="71"/>
        <v>#DIV/0!</v>
      </c>
      <c r="N42" s="37" t="e">
        <f t="shared" si="71"/>
        <v>#DIV/0!</v>
      </c>
      <c r="O42" s="37" t="e">
        <f t="shared" si="71"/>
        <v>#DIV/0!</v>
      </c>
      <c r="P42" s="37" t="e">
        <f t="shared" si="71"/>
        <v>#DIV/0!</v>
      </c>
      <c r="Q42" s="37" t="e">
        <f t="shared" si="71"/>
        <v>#DIV/0!</v>
      </c>
      <c r="S42" s="37" t="e">
        <f>S41/R41-1</f>
        <v>#DIV/0!</v>
      </c>
    </row>
    <row r="43" spans="1:27" s="146" customFormat="1" ht="10" customHeight="1">
      <c r="A43" s="144" t="s">
        <v>194</v>
      </c>
      <c r="B43" s="144"/>
      <c r="C43" s="145">
        <f t="shared" ref="C43:D43" si="72">C41/C$26*-1</f>
        <v>0.24444140217966279</v>
      </c>
      <c r="D43" s="145">
        <f t="shared" si="72"/>
        <v>0.24444140217966287</v>
      </c>
      <c r="F43" s="145">
        <f t="shared" ref="F43:G43" si="73">F41/F$26*-1</f>
        <v>0.24444140217966279</v>
      </c>
      <c r="G43" s="145" t="e">
        <f t="shared" si="73"/>
        <v>#DIV/0!</v>
      </c>
      <c r="H43" s="145" t="e">
        <f t="shared" ref="H43:P43" si="74">H41/H$26*-1</f>
        <v>#DIV/0!</v>
      </c>
      <c r="I43" s="145" t="e">
        <f t="shared" si="74"/>
        <v>#DIV/0!</v>
      </c>
      <c r="J43" s="145" t="e">
        <f t="shared" si="74"/>
        <v>#DIV/0!</v>
      </c>
      <c r="K43" s="145" t="e">
        <f t="shared" si="74"/>
        <v>#DIV/0!</v>
      </c>
      <c r="L43" s="145" t="e">
        <f t="shared" si="74"/>
        <v>#DIV/0!</v>
      </c>
      <c r="M43" s="145" t="e">
        <f t="shared" si="74"/>
        <v>#DIV/0!</v>
      </c>
      <c r="N43" s="145" t="e">
        <f t="shared" si="74"/>
        <v>#DIV/0!</v>
      </c>
      <c r="O43" s="145" t="e">
        <f t="shared" si="74"/>
        <v>#DIV/0!</v>
      </c>
      <c r="P43" s="145" t="e">
        <f t="shared" si="74"/>
        <v>#DIV/0!</v>
      </c>
      <c r="Q43" s="145" t="e">
        <f t="shared" ref="Q43" si="75">Q41/Q$26*-1</f>
        <v>#DIV/0!</v>
      </c>
      <c r="S43" s="145">
        <f>S41/S$26*-1</f>
        <v>0.24444140217966279</v>
      </c>
    </row>
    <row r="44" spans="1:27" s="24" customFormat="1" ht="20" customHeight="1">
      <c r="B44" s="24" t="s">
        <v>22</v>
      </c>
      <c r="C44" s="25">
        <f>SUM(F44:Q44)</f>
        <v>-950987.29</v>
      </c>
      <c r="D44" s="25">
        <f>S44*12</f>
        <v>-11411847.48</v>
      </c>
      <c r="F44" s="128">
        <f>-950987.29</f>
        <v>-950987.29</v>
      </c>
      <c r="G44" s="128">
        <v>0</v>
      </c>
      <c r="H44" s="128">
        <v>0</v>
      </c>
      <c r="I44" s="128">
        <v>0</v>
      </c>
      <c r="J44" s="128">
        <v>0</v>
      </c>
      <c r="K44" s="128">
        <v>0</v>
      </c>
      <c r="L44" s="128">
        <v>0</v>
      </c>
      <c r="M44" s="128">
        <v>0</v>
      </c>
      <c r="N44" s="128">
        <v>0</v>
      </c>
      <c r="O44" s="128">
        <v>0</v>
      </c>
      <c r="P44" s="128">
        <v>0</v>
      </c>
      <c r="Q44" s="128">
        <v>0</v>
      </c>
      <c r="R44" s="128"/>
      <c r="S44" s="128">
        <f>(SUM(F44:Q44)/$G$1)</f>
        <v>-950987.29</v>
      </c>
      <c r="T44" s="128"/>
      <c r="U44" s="128">
        <f>O44+P44+2515272.21</f>
        <v>2515272.21</v>
      </c>
      <c r="V44" s="128"/>
      <c r="W44" s="128"/>
      <c r="X44" s="21"/>
      <c r="Y44" s="21"/>
      <c r="Z44" s="21"/>
      <c r="AA44" s="21"/>
    </row>
    <row r="45" spans="1:27" s="36" customFormat="1" ht="10" customHeight="1">
      <c r="B45" s="36" t="s">
        <v>195</v>
      </c>
      <c r="C45" s="37"/>
      <c r="D45" s="37" t="e">
        <f>D44/#REF!-1</f>
        <v>#REF!</v>
      </c>
      <c r="F45" s="37">
        <v>0</v>
      </c>
      <c r="G45" s="37">
        <f t="shared" ref="G45:Q45" si="76">G44/F44-1</f>
        <v>-1</v>
      </c>
      <c r="H45" s="37" t="e">
        <f t="shared" si="76"/>
        <v>#DIV/0!</v>
      </c>
      <c r="I45" s="37" t="e">
        <f t="shared" si="76"/>
        <v>#DIV/0!</v>
      </c>
      <c r="J45" s="37" t="e">
        <f t="shared" si="76"/>
        <v>#DIV/0!</v>
      </c>
      <c r="K45" s="37" t="e">
        <f t="shared" si="76"/>
        <v>#DIV/0!</v>
      </c>
      <c r="L45" s="37" t="e">
        <f t="shared" si="76"/>
        <v>#DIV/0!</v>
      </c>
      <c r="M45" s="37" t="e">
        <f t="shared" si="76"/>
        <v>#DIV/0!</v>
      </c>
      <c r="N45" s="37" t="e">
        <f t="shared" si="76"/>
        <v>#DIV/0!</v>
      </c>
      <c r="O45" s="37" t="e">
        <f t="shared" si="76"/>
        <v>#DIV/0!</v>
      </c>
      <c r="P45" s="37" t="e">
        <f t="shared" si="76"/>
        <v>#DIV/0!</v>
      </c>
      <c r="Q45" s="37" t="e">
        <f t="shared" si="76"/>
        <v>#DIV/0!</v>
      </c>
      <c r="S45" s="37" t="e">
        <f>S44/R44-1</f>
        <v>#DIV/0!</v>
      </c>
    </row>
    <row r="46" spans="1:27" s="146" customFormat="1" ht="10" customHeight="1">
      <c r="B46" s="144" t="s">
        <v>194</v>
      </c>
      <c r="C46" s="145">
        <f t="shared" ref="C46:D46" si="77">C44/C$41</f>
        <v>0.69647738853374908</v>
      </c>
      <c r="D46" s="145">
        <f t="shared" si="77"/>
        <v>0.69647738853374908</v>
      </c>
      <c r="F46" s="145">
        <f t="shared" ref="F46:G46" si="78">F44/F$41</f>
        <v>0.69647738853374908</v>
      </c>
      <c r="G46" s="145" t="e">
        <f t="shared" si="78"/>
        <v>#DIV/0!</v>
      </c>
      <c r="H46" s="145" t="e">
        <f t="shared" ref="H46:P46" si="79">H44/H$41</f>
        <v>#DIV/0!</v>
      </c>
      <c r="I46" s="145" t="e">
        <f t="shared" si="79"/>
        <v>#DIV/0!</v>
      </c>
      <c r="J46" s="145" t="e">
        <f t="shared" si="79"/>
        <v>#DIV/0!</v>
      </c>
      <c r="K46" s="145" t="e">
        <f t="shared" si="79"/>
        <v>#DIV/0!</v>
      </c>
      <c r="L46" s="145" t="e">
        <f t="shared" si="79"/>
        <v>#DIV/0!</v>
      </c>
      <c r="M46" s="145" t="e">
        <f t="shared" si="79"/>
        <v>#DIV/0!</v>
      </c>
      <c r="N46" s="145" t="e">
        <f t="shared" si="79"/>
        <v>#DIV/0!</v>
      </c>
      <c r="O46" s="145" t="e">
        <f t="shared" si="79"/>
        <v>#DIV/0!</v>
      </c>
      <c r="P46" s="145" t="e">
        <f t="shared" si="79"/>
        <v>#DIV/0!</v>
      </c>
      <c r="Q46" s="145" t="e">
        <f t="shared" ref="Q46" si="80">Q44/Q$41</f>
        <v>#DIV/0!</v>
      </c>
      <c r="S46" s="145">
        <f>S44/S$41</f>
        <v>0.69647738853374908</v>
      </c>
    </row>
    <row r="47" spans="1:27" s="24" customFormat="1" ht="20" customHeight="1">
      <c r="B47" s="24" t="s">
        <v>23</v>
      </c>
      <c r="C47" s="25">
        <f>SUM(F47:Q47)</f>
        <v>-404465.36</v>
      </c>
      <c r="D47" s="25">
        <f>S47*12</f>
        <v>-4853584.32</v>
      </c>
      <c r="F47" s="128">
        <f>-404465.36</f>
        <v>-404465.36</v>
      </c>
      <c r="G47" s="128">
        <v>0</v>
      </c>
      <c r="H47" s="128">
        <v>0</v>
      </c>
      <c r="I47" s="128">
        <v>0</v>
      </c>
      <c r="J47" s="128">
        <v>0</v>
      </c>
      <c r="K47" s="128">
        <v>0</v>
      </c>
      <c r="L47" s="128">
        <v>0</v>
      </c>
      <c r="M47" s="128">
        <v>0</v>
      </c>
      <c r="N47" s="128">
        <v>0</v>
      </c>
      <c r="O47" s="128">
        <v>0</v>
      </c>
      <c r="P47" s="128">
        <v>0</v>
      </c>
      <c r="Q47" s="128">
        <v>0</v>
      </c>
      <c r="R47" s="128"/>
      <c r="S47" s="128">
        <f>(SUM(F47:Q47)/$G$1)</f>
        <v>-404465.36</v>
      </c>
      <c r="T47" s="128"/>
      <c r="U47" s="128">
        <f>O47+P47+1207065.09</f>
        <v>1207065.0900000001</v>
      </c>
      <c r="V47" s="128"/>
      <c r="W47" s="128"/>
      <c r="X47" s="21"/>
      <c r="Y47" s="21"/>
      <c r="Z47" s="21"/>
      <c r="AA47" s="21"/>
    </row>
    <row r="48" spans="1:27" s="36" customFormat="1" ht="10" customHeight="1">
      <c r="B48" s="36" t="s">
        <v>195</v>
      </c>
      <c r="C48" s="37"/>
      <c r="D48" s="37" t="e">
        <f>D47/#REF!-1</f>
        <v>#REF!</v>
      </c>
      <c r="F48" s="37">
        <v>0</v>
      </c>
      <c r="G48" s="37">
        <f t="shared" ref="G48:Q48" si="81">G47/F47-1</f>
        <v>-1</v>
      </c>
      <c r="H48" s="37" t="e">
        <f t="shared" si="81"/>
        <v>#DIV/0!</v>
      </c>
      <c r="I48" s="37" t="e">
        <f t="shared" si="81"/>
        <v>#DIV/0!</v>
      </c>
      <c r="J48" s="37" t="e">
        <f t="shared" si="81"/>
        <v>#DIV/0!</v>
      </c>
      <c r="K48" s="37" t="e">
        <f t="shared" si="81"/>
        <v>#DIV/0!</v>
      </c>
      <c r="L48" s="37" t="e">
        <f t="shared" si="81"/>
        <v>#DIV/0!</v>
      </c>
      <c r="M48" s="37" t="e">
        <f t="shared" si="81"/>
        <v>#DIV/0!</v>
      </c>
      <c r="N48" s="37" t="e">
        <f t="shared" si="81"/>
        <v>#DIV/0!</v>
      </c>
      <c r="O48" s="37" t="e">
        <f t="shared" si="81"/>
        <v>#DIV/0!</v>
      </c>
      <c r="P48" s="37" t="e">
        <f t="shared" si="81"/>
        <v>#DIV/0!</v>
      </c>
      <c r="Q48" s="37" t="e">
        <f t="shared" si="81"/>
        <v>#DIV/0!</v>
      </c>
      <c r="S48" s="37" t="e">
        <f>S47/R47-1</f>
        <v>#DIV/0!</v>
      </c>
    </row>
    <row r="49" spans="1:27" s="146" customFormat="1" ht="10" customHeight="1">
      <c r="B49" s="144" t="s">
        <v>194</v>
      </c>
      <c r="C49" s="145">
        <f t="shared" ref="C49:D49" si="82">C47/C$41</f>
        <v>0.29621949803888825</v>
      </c>
      <c r="D49" s="145">
        <f t="shared" si="82"/>
        <v>0.29621949803888831</v>
      </c>
      <c r="F49" s="145">
        <f t="shared" ref="F49:G49" si="83">F47/F$41</f>
        <v>0.29621949803888825</v>
      </c>
      <c r="G49" s="145" t="e">
        <f t="shared" si="83"/>
        <v>#DIV/0!</v>
      </c>
      <c r="H49" s="145" t="e">
        <f t="shared" ref="H49:P49" si="84">H47/H$41</f>
        <v>#DIV/0!</v>
      </c>
      <c r="I49" s="145" t="e">
        <f t="shared" si="84"/>
        <v>#DIV/0!</v>
      </c>
      <c r="J49" s="145" t="e">
        <f t="shared" si="84"/>
        <v>#DIV/0!</v>
      </c>
      <c r="K49" s="145" t="e">
        <f t="shared" si="84"/>
        <v>#DIV/0!</v>
      </c>
      <c r="L49" s="145" t="e">
        <f t="shared" si="84"/>
        <v>#DIV/0!</v>
      </c>
      <c r="M49" s="145" t="e">
        <f t="shared" si="84"/>
        <v>#DIV/0!</v>
      </c>
      <c r="N49" s="145" t="e">
        <f t="shared" si="84"/>
        <v>#DIV/0!</v>
      </c>
      <c r="O49" s="145" t="e">
        <f t="shared" si="84"/>
        <v>#DIV/0!</v>
      </c>
      <c r="P49" s="145" t="e">
        <f t="shared" si="84"/>
        <v>#DIV/0!</v>
      </c>
      <c r="Q49" s="145" t="e">
        <f t="shared" ref="Q49" si="85">Q47/Q$41</f>
        <v>#DIV/0!</v>
      </c>
      <c r="S49" s="145">
        <f>S47/S$41</f>
        <v>0.29621949803888825</v>
      </c>
    </row>
    <row r="50" spans="1:27" s="24" customFormat="1" ht="20" customHeight="1">
      <c r="B50" s="24" t="s">
        <v>24</v>
      </c>
      <c r="C50" s="25">
        <f>SUM(F50:Q50)</f>
        <v>-9971.85</v>
      </c>
      <c r="D50" s="25">
        <f>S50*12</f>
        <v>-119662.20000000001</v>
      </c>
      <c r="F50" s="128">
        <f>-9971.85</f>
        <v>-9971.85</v>
      </c>
      <c r="G50" s="128">
        <v>0</v>
      </c>
      <c r="H50" s="128">
        <v>0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8">
        <v>0</v>
      </c>
      <c r="P50" s="128">
        <v>0</v>
      </c>
      <c r="Q50" s="128">
        <v>0</v>
      </c>
      <c r="R50" s="128"/>
      <c r="S50" s="128">
        <f>(SUM(F50:Q50)/$G$1)</f>
        <v>-9971.85</v>
      </c>
      <c r="T50" s="128"/>
      <c r="U50" s="128"/>
      <c r="V50" s="128"/>
      <c r="W50" s="128"/>
      <c r="X50" s="21"/>
      <c r="Y50" s="21"/>
      <c r="Z50" s="21"/>
      <c r="AA50" s="21"/>
    </row>
    <row r="51" spans="1:27" s="36" customFormat="1" ht="10" customHeight="1">
      <c r="B51" s="36" t="s">
        <v>195</v>
      </c>
      <c r="C51" s="37"/>
      <c r="D51" s="37" t="e">
        <f>D50/#REF!-1</f>
        <v>#REF!</v>
      </c>
      <c r="F51" s="37">
        <v>0</v>
      </c>
      <c r="G51" s="37">
        <f t="shared" ref="G51:Q51" si="86">G50/F50-1</f>
        <v>-1</v>
      </c>
      <c r="H51" s="37" t="e">
        <f t="shared" si="86"/>
        <v>#DIV/0!</v>
      </c>
      <c r="I51" s="37" t="e">
        <f t="shared" si="86"/>
        <v>#DIV/0!</v>
      </c>
      <c r="J51" s="37" t="e">
        <f t="shared" si="86"/>
        <v>#DIV/0!</v>
      </c>
      <c r="K51" s="37" t="e">
        <f t="shared" si="86"/>
        <v>#DIV/0!</v>
      </c>
      <c r="L51" s="37" t="e">
        <f t="shared" si="86"/>
        <v>#DIV/0!</v>
      </c>
      <c r="M51" s="37" t="e">
        <f t="shared" si="86"/>
        <v>#DIV/0!</v>
      </c>
      <c r="N51" s="37" t="e">
        <f t="shared" si="86"/>
        <v>#DIV/0!</v>
      </c>
      <c r="O51" s="37" t="e">
        <f t="shared" si="86"/>
        <v>#DIV/0!</v>
      </c>
      <c r="P51" s="37" t="e">
        <f t="shared" si="86"/>
        <v>#DIV/0!</v>
      </c>
      <c r="Q51" s="37" t="e">
        <f t="shared" si="86"/>
        <v>#DIV/0!</v>
      </c>
      <c r="S51" s="37" t="e">
        <f>S50/R50-1</f>
        <v>#DIV/0!</v>
      </c>
    </row>
    <row r="52" spans="1:27" s="146" customFormat="1" ht="10" customHeight="1">
      <c r="B52" s="144" t="s">
        <v>194</v>
      </c>
      <c r="C52" s="145">
        <f t="shared" ref="C52:D52" si="87">C50/C$41</f>
        <v>7.3031134273626999E-3</v>
      </c>
      <c r="D52" s="145">
        <f t="shared" si="87"/>
        <v>7.3031134273626999E-3</v>
      </c>
      <c r="F52" s="145">
        <f t="shared" ref="F52:G52" si="88">F50/F$41</f>
        <v>7.3031134273626999E-3</v>
      </c>
      <c r="G52" s="145" t="e">
        <f t="shared" si="88"/>
        <v>#DIV/0!</v>
      </c>
      <c r="H52" s="145" t="e">
        <f t="shared" ref="H52:P52" si="89">H50/H$41</f>
        <v>#DIV/0!</v>
      </c>
      <c r="I52" s="145" t="e">
        <f t="shared" si="89"/>
        <v>#DIV/0!</v>
      </c>
      <c r="J52" s="145" t="e">
        <f t="shared" si="89"/>
        <v>#DIV/0!</v>
      </c>
      <c r="K52" s="145" t="e">
        <f t="shared" si="89"/>
        <v>#DIV/0!</v>
      </c>
      <c r="L52" s="145" t="e">
        <f t="shared" si="89"/>
        <v>#DIV/0!</v>
      </c>
      <c r="M52" s="145" t="e">
        <f t="shared" si="89"/>
        <v>#DIV/0!</v>
      </c>
      <c r="N52" s="145" t="e">
        <f t="shared" si="89"/>
        <v>#DIV/0!</v>
      </c>
      <c r="O52" s="145" t="e">
        <f t="shared" si="89"/>
        <v>#DIV/0!</v>
      </c>
      <c r="P52" s="145" t="e">
        <f t="shared" si="89"/>
        <v>#DIV/0!</v>
      </c>
      <c r="Q52" s="145" t="e">
        <f t="shared" ref="Q52" si="90">Q50/Q$41</f>
        <v>#DIV/0!</v>
      </c>
      <c r="S52" s="145">
        <f>S50/S$41</f>
        <v>7.3031134273626999E-3</v>
      </c>
    </row>
    <row r="53" spans="1:27" s="24" customFormat="1" ht="20" customHeight="1">
      <c r="A53" s="172" t="s">
        <v>69</v>
      </c>
      <c r="B53" s="179"/>
      <c r="C53" s="173">
        <f t="shared" ref="C53:D53" si="91">C59-C56</f>
        <v>-651301.3899999992</v>
      </c>
      <c r="D53" s="173">
        <f t="shared" si="91"/>
        <v>-7815616.680000009</v>
      </c>
      <c r="F53" s="173">
        <f t="shared" ref="F53:G53" si="92">F59-F56</f>
        <v>-651301.3899999992</v>
      </c>
      <c r="G53" s="173">
        <f t="shared" si="92"/>
        <v>0</v>
      </c>
      <c r="H53" s="173">
        <f t="shared" ref="H53:P53" si="93">H59-H56</f>
        <v>0</v>
      </c>
      <c r="I53" s="173">
        <f t="shared" si="93"/>
        <v>0</v>
      </c>
      <c r="J53" s="173">
        <f t="shared" si="93"/>
        <v>0</v>
      </c>
      <c r="K53" s="173">
        <f t="shared" si="93"/>
        <v>0</v>
      </c>
      <c r="L53" s="173">
        <f t="shared" si="93"/>
        <v>0</v>
      </c>
      <c r="M53" s="173">
        <f t="shared" si="93"/>
        <v>0</v>
      </c>
      <c r="N53" s="173">
        <f t="shared" si="93"/>
        <v>0</v>
      </c>
      <c r="O53" s="173">
        <f t="shared" si="93"/>
        <v>0</v>
      </c>
      <c r="P53" s="173">
        <f t="shared" si="93"/>
        <v>0</v>
      </c>
      <c r="Q53" s="173">
        <f t="shared" ref="Q53" si="94">Q59-Q56</f>
        <v>0</v>
      </c>
      <c r="R53" s="146"/>
      <c r="S53" s="173">
        <f>S59-S56</f>
        <v>-651301.3899999992</v>
      </c>
      <c r="T53" s="36"/>
      <c r="U53" s="36"/>
      <c r="V53" s="36"/>
      <c r="W53" s="36"/>
      <c r="X53" s="21"/>
      <c r="Y53" s="21"/>
      <c r="Z53" s="21"/>
      <c r="AA53" s="21"/>
    </row>
    <row r="54" spans="1:27" s="36" customFormat="1" ht="10" customHeight="1">
      <c r="A54" s="174" t="s">
        <v>195</v>
      </c>
      <c r="B54" s="174"/>
      <c r="C54" s="175"/>
      <c r="D54" s="175" t="e">
        <f>D53/#REF!-1</f>
        <v>#REF!</v>
      </c>
      <c r="F54" s="175">
        <v>0</v>
      </c>
      <c r="G54" s="175">
        <f t="shared" ref="G54:Q54" si="95">G53/F53-1</f>
        <v>-1</v>
      </c>
      <c r="H54" s="175" t="e">
        <f t="shared" si="95"/>
        <v>#DIV/0!</v>
      </c>
      <c r="I54" s="175" t="e">
        <f t="shared" si="95"/>
        <v>#DIV/0!</v>
      </c>
      <c r="J54" s="175" t="e">
        <f t="shared" si="95"/>
        <v>#DIV/0!</v>
      </c>
      <c r="K54" s="175" t="e">
        <f t="shared" si="95"/>
        <v>#DIV/0!</v>
      </c>
      <c r="L54" s="175" t="e">
        <f t="shared" si="95"/>
        <v>#DIV/0!</v>
      </c>
      <c r="M54" s="175" t="e">
        <f t="shared" si="95"/>
        <v>#DIV/0!</v>
      </c>
      <c r="N54" s="175" t="e">
        <f t="shared" si="95"/>
        <v>#DIV/0!</v>
      </c>
      <c r="O54" s="175" t="e">
        <f t="shared" si="95"/>
        <v>#DIV/0!</v>
      </c>
      <c r="P54" s="175" t="e">
        <f t="shared" si="95"/>
        <v>#DIV/0!</v>
      </c>
      <c r="Q54" s="175" t="e">
        <f t="shared" si="95"/>
        <v>#DIV/0!</v>
      </c>
      <c r="S54" s="175" t="e">
        <f>S53/R53-1</f>
        <v>#DIV/0!</v>
      </c>
    </row>
    <row r="55" spans="1:27" s="146" customFormat="1" ht="10" customHeight="1">
      <c r="A55" s="176" t="s">
        <v>194</v>
      </c>
      <c r="B55" s="176"/>
      <c r="C55" s="178">
        <f>C53/C$26</f>
        <v>-0.11659745743039121</v>
      </c>
      <c r="D55" s="178">
        <f>D53/D$26</f>
        <v>-0.11659745743039153</v>
      </c>
      <c r="F55" s="178">
        <f t="shared" ref="F55:G55" si="96">F53/F$26</f>
        <v>-0.11659745743039121</v>
      </c>
      <c r="G55" s="178" t="e">
        <f t="shared" si="96"/>
        <v>#DIV/0!</v>
      </c>
      <c r="H55" s="178" t="e">
        <f t="shared" ref="H55:P55" si="97">H53/H$26</f>
        <v>#DIV/0!</v>
      </c>
      <c r="I55" s="178" t="e">
        <f t="shared" si="97"/>
        <v>#DIV/0!</v>
      </c>
      <c r="J55" s="178" t="e">
        <f t="shared" si="97"/>
        <v>#DIV/0!</v>
      </c>
      <c r="K55" s="178" t="e">
        <f t="shared" si="97"/>
        <v>#DIV/0!</v>
      </c>
      <c r="L55" s="178" t="e">
        <f t="shared" si="97"/>
        <v>#DIV/0!</v>
      </c>
      <c r="M55" s="178" t="e">
        <f t="shared" si="97"/>
        <v>#DIV/0!</v>
      </c>
      <c r="N55" s="178" t="e">
        <f t="shared" si="97"/>
        <v>#DIV/0!</v>
      </c>
      <c r="O55" s="178" t="e">
        <f t="shared" si="97"/>
        <v>#DIV/0!</v>
      </c>
      <c r="P55" s="178" t="e">
        <f t="shared" si="97"/>
        <v>#DIV/0!</v>
      </c>
      <c r="Q55" s="178" t="e">
        <f t="shared" ref="Q55" si="98">Q53/Q$26</f>
        <v>#DIV/0!</v>
      </c>
      <c r="S55" s="178">
        <f>S53/S$3</f>
        <v>-0.10733154175789719</v>
      </c>
    </row>
    <row r="56" spans="1:27" s="24" customFormat="1" ht="20" customHeight="1">
      <c r="B56" s="24" t="s">
        <v>11</v>
      </c>
      <c r="C56" s="25">
        <f>SUM(F56:Q56)</f>
        <v>-95872.52</v>
      </c>
      <c r="D56" s="25">
        <f>S56*12</f>
        <v>-1150470.24</v>
      </c>
      <c r="F56" s="128">
        <f>-95872.52</f>
        <v>-95872.52</v>
      </c>
      <c r="G56" s="128">
        <v>0</v>
      </c>
      <c r="H56" s="128">
        <v>0</v>
      </c>
      <c r="I56" s="128">
        <v>0</v>
      </c>
      <c r="J56" s="128">
        <v>0</v>
      </c>
      <c r="K56" s="128">
        <v>0</v>
      </c>
      <c r="L56" s="128">
        <v>0</v>
      </c>
      <c r="M56" s="128">
        <v>0</v>
      </c>
      <c r="N56" s="128">
        <v>0</v>
      </c>
      <c r="O56" s="128">
        <v>0</v>
      </c>
      <c r="P56" s="128">
        <v>0</v>
      </c>
      <c r="Q56" s="128">
        <v>0</v>
      </c>
      <c r="R56" s="128"/>
      <c r="S56" s="128">
        <f>(SUM(F56:Q56)/$G$1)</f>
        <v>-95872.52</v>
      </c>
      <c r="T56" s="128"/>
      <c r="U56" s="227"/>
      <c r="V56" s="128"/>
      <c r="W56" s="128"/>
      <c r="X56" s="21"/>
      <c r="Y56" s="21"/>
      <c r="Z56" s="21"/>
      <c r="AA56" s="21"/>
    </row>
    <row r="57" spans="1:27" s="36" customFormat="1" ht="10" customHeight="1">
      <c r="B57" s="36" t="s">
        <v>195</v>
      </c>
      <c r="C57" s="37"/>
      <c r="D57" s="37" t="e">
        <f>D56/#REF!-1</f>
        <v>#REF!</v>
      </c>
      <c r="F57" s="37">
        <v>0</v>
      </c>
      <c r="G57" s="37">
        <f t="shared" ref="G57:Q57" si="99">G56/F56-1</f>
        <v>-1</v>
      </c>
      <c r="H57" s="37" t="e">
        <f t="shared" si="99"/>
        <v>#DIV/0!</v>
      </c>
      <c r="I57" s="37" t="e">
        <f t="shared" si="99"/>
        <v>#DIV/0!</v>
      </c>
      <c r="J57" s="37" t="e">
        <f t="shared" si="99"/>
        <v>#DIV/0!</v>
      </c>
      <c r="K57" s="37" t="e">
        <f t="shared" si="99"/>
        <v>#DIV/0!</v>
      </c>
      <c r="L57" s="37" t="e">
        <f t="shared" si="99"/>
        <v>#DIV/0!</v>
      </c>
      <c r="M57" s="37" t="e">
        <f t="shared" si="99"/>
        <v>#DIV/0!</v>
      </c>
      <c r="N57" s="37" t="e">
        <f t="shared" si="99"/>
        <v>#DIV/0!</v>
      </c>
      <c r="O57" s="37" t="e">
        <f t="shared" si="99"/>
        <v>#DIV/0!</v>
      </c>
      <c r="P57" s="37" t="e">
        <f t="shared" si="99"/>
        <v>#DIV/0!</v>
      </c>
      <c r="Q57" s="37" t="e">
        <f t="shared" si="99"/>
        <v>#DIV/0!</v>
      </c>
      <c r="S57" s="37" t="e">
        <f>S56/R56-1</f>
        <v>#DIV/0!</v>
      </c>
      <c r="U57" s="245"/>
    </row>
    <row r="58" spans="1:27" s="146" customFormat="1" ht="10" customHeight="1">
      <c r="B58" s="144" t="s">
        <v>194</v>
      </c>
      <c r="C58" s="145">
        <f>C56/C$17</f>
        <v>0.19881092336008213</v>
      </c>
      <c r="D58" s="145">
        <f>D56/D$17</f>
        <v>0.1988109233600821</v>
      </c>
      <c r="F58" s="145">
        <f t="shared" ref="F58:G58" si="100">F56/F$3</f>
        <v>-1.5799360391070019E-2</v>
      </c>
      <c r="G58" s="145" t="e">
        <f t="shared" si="100"/>
        <v>#DIV/0!</v>
      </c>
      <c r="H58" s="145" t="e">
        <f t="shared" ref="H58:P58" si="101">H56/H$3</f>
        <v>#DIV/0!</v>
      </c>
      <c r="I58" s="145" t="e">
        <f t="shared" si="101"/>
        <v>#DIV/0!</v>
      </c>
      <c r="J58" s="145" t="e">
        <f t="shared" si="101"/>
        <v>#DIV/0!</v>
      </c>
      <c r="K58" s="145" t="e">
        <f t="shared" si="101"/>
        <v>#DIV/0!</v>
      </c>
      <c r="L58" s="145" t="e">
        <f t="shared" si="101"/>
        <v>#DIV/0!</v>
      </c>
      <c r="M58" s="145" t="e">
        <f t="shared" si="101"/>
        <v>#DIV/0!</v>
      </c>
      <c r="N58" s="145" t="e">
        <f t="shared" si="101"/>
        <v>#DIV/0!</v>
      </c>
      <c r="O58" s="145" t="e">
        <f t="shared" si="101"/>
        <v>#DIV/0!</v>
      </c>
      <c r="P58" s="145" t="e">
        <f t="shared" si="101"/>
        <v>#DIV/0!</v>
      </c>
      <c r="Q58" s="145" t="e">
        <f t="shared" ref="Q58" si="102">Q56/Q$3</f>
        <v>#DIV/0!</v>
      </c>
      <c r="S58" s="145">
        <f>S56/S$3</f>
        <v>-1.5799360391070019E-2</v>
      </c>
    </row>
    <row r="59" spans="1:27" s="24" customFormat="1" ht="20" customHeight="1">
      <c r="A59" s="158" t="s">
        <v>201</v>
      </c>
      <c r="B59" s="166"/>
      <c r="C59" s="159">
        <f>C38+C41</f>
        <v>-747173.90999999922</v>
      </c>
      <c r="D59" s="159">
        <f>D38+D41</f>
        <v>-8966086.9200000092</v>
      </c>
      <c r="F59" s="159">
        <f t="shared" ref="F59:G59" si="103">F38+F41</f>
        <v>-747173.90999999922</v>
      </c>
      <c r="G59" s="159">
        <f t="shared" si="103"/>
        <v>0</v>
      </c>
      <c r="H59" s="159">
        <f t="shared" ref="H59:P59" si="104">H38+H41</f>
        <v>0</v>
      </c>
      <c r="I59" s="159">
        <f t="shared" si="104"/>
        <v>0</v>
      </c>
      <c r="J59" s="159">
        <f t="shared" si="104"/>
        <v>0</v>
      </c>
      <c r="K59" s="159">
        <f t="shared" si="104"/>
        <v>0</v>
      </c>
      <c r="L59" s="159">
        <f t="shared" si="104"/>
        <v>0</v>
      </c>
      <c r="M59" s="159">
        <f t="shared" si="104"/>
        <v>0</v>
      </c>
      <c r="N59" s="159">
        <f t="shared" si="104"/>
        <v>0</v>
      </c>
      <c r="O59" s="159">
        <f t="shared" si="104"/>
        <v>0</v>
      </c>
      <c r="P59" s="159">
        <f t="shared" si="104"/>
        <v>0</v>
      </c>
      <c r="Q59" s="159">
        <f t="shared" ref="Q59" si="105">Q38+Q41</f>
        <v>0</v>
      </c>
      <c r="R59" s="129"/>
      <c r="S59" s="159">
        <f>S38+S41</f>
        <v>-747173.90999999922</v>
      </c>
      <c r="T59" s="129"/>
      <c r="U59" s="129"/>
      <c r="V59" s="129"/>
      <c r="W59" s="129"/>
      <c r="X59" s="21"/>
      <c r="Y59" s="21"/>
      <c r="Z59" s="21"/>
      <c r="AA59" s="21"/>
    </row>
    <row r="60" spans="1:27" s="36" customFormat="1" ht="10" customHeight="1">
      <c r="A60" s="160" t="s">
        <v>195</v>
      </c>
      <c r="B60" s="160"/>
      <c r="C60" s="162"/>
      <c r="D60" s="162" t="e">
        <f>D59/#REF!-1</f>
        <v>#REF!</v>
      </c>
      <c r="F60" s="162">
        <v>0</v>
      </c>
      <c r="G60" s="162">
        <f t="shared" ref="G60:Q60" si="106">G59/F59-1</f>
        <v>-1</v>
      </c>
      <c r="H60" s="162" t="e">
        <f t="shared" si="106"/>
        <v>#DIV/0!</v>
      </c>
      <c r="I60" s="162" t="e">
        <f t="shared" si="106"/>
        <v>#DIV/0!</v>
      </c>
      <c r="J60" s="162" t="e">
        <f t="shared" si="106"/>
        <v>#DIV/0!</v>
      </c>
      <c r="K60" s="162" t="e">
        <f t="shared" si="106"/>
        <v>#DIV/0!</v>
      </c>
      <c r="L60" s="162" t="e">
        <f t="shared" si="106"/>
        <v>#DIV/0!</v>
      </c>
      <c r="M60" s="162" t="e">
        <f t="shared" si="106"/>
        <v>#DIV/0!</v>
      </c>
      <c r="N60" s="162" t="e">
        <f t="shared" si="106"/>
        <v>#DIV/0!</v>
      </c>
      <c r="O60" s="162" t="e">
        <f t="shared" si="106"/>
        <v>#DIV/0!</v>
      </c>
      <c r="P60" s="162" t="e">
        <f t="shared" si="106"/>
        <v>#DIV/0!</v>
      </c>
      <c r="Q60" s="162" t="e">
        <f t="shared" si="106"/>
        <v>#DIV/0!</v>
      </c>
      <c r="S60" s="162" t="e">
        <f>S59/R59-1</f>
        <v>#DIV/0!</v>
      </c>
    </row>
    <row r="61" spans="1:27" s="146" customFormat="1" ht="10" customHeight="1">
      <c r="A61" s="168" t="s">
        <v>194</v>
      </c>
      <c r="B61" s="168"/>
      <c r="C61" s="169">
        <f>C59/C$26</f>
        <v>-0.13376077420059548</v>
      </c>
      <c r="D61" s="169">
        <f>D59/D$26</f>
        <v>-0.13376077420059579</v>
      </c>
      <c r="F61" s="165">
        <f t="shared" ref="F61:G61" si="107">F59/F$26</f>
        <v>-0.13376077420059548</v>
      </c>
      <c r="G61" s="165" t="e">
        <f t="shared" si="107"/>
        <v>#DIV/0!</v>
      </c>
      <c r="H61" s="165" t="e">
        <f t="shared" ref="H61:P61" si="108">H59/H$26</f>
        <v>#DIV/0!</v>
      </c>
      <c r="I61" s="165" t="e">
        <f t="shared" si="108"/>
        <v>#DIV/0!</v>
      </c>
      <c r="J61" s="165" t="e">
        <f t="shared" si="108"/>
        <v>#DIV/0!</v>
      </c>
      <c r="K61" s="165" t="e">
        <f t="shared" si="108"/>
        <v>#DIV/0!</v>
      </c>
      <c r="L61" s="165" t="e">
        <f t="shared" si="108"/>
        <v>#DIV/0!</v>
      </c>
      <c r="M61" s="165" t="e">
        <f t="shared" si="108"/>
        <v>#DIV/0!</v>
      </c>
      <c r="N61" s="165" t="e">
        <f t="shared" si="108"/>
        <v>#DIV/0!</v>
      </c>
      <c r="O61" s="165" t="e">
        <f t="shared" si="108"/>
        <v>#DIV/0!</v>
      </c>
      <c r="P61" s="165" t="e">
        <f t="shared" si="108"/>
        <v>#DIV/0!</v>
      </c>
      <c r="Q61" s="165" t="e">
        <f t="shared" ref="Q61" si="109">Q59/Q$26</f>
        <v>#DIV/0!</v>
      </c>
      <c r="S61" s="165">
        <f>S59/S$3</f>
        <v>-0.1231309021489672</v>
      </c>
    </row>
    <row r="62" spans="1:27" s="22" customFormat="1" ht="20" customHeight="1">
      <c r="A62" s="153" t="s">
        <v>197</v>
      </c>
      <c r="B62" s="153"/>
      <c r="C62" s="29">
        <f>SUM(C65,C68,C71,C74)</f>
        <v>-499032.82999999996</v>
      </c>
      <c r="D62" s="29">
        <f>SUM(D65,D68,D71,D74)</f>
        <v>-5988393.96</v>
      </c>
      <c r="F62" s="29">
        <f t="shared" ref="F62" si="110">SUM(F65,F68,F71,F74)</f>
        <v>-499032.82999999996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129"/>
      <c r="S62" s="29">
        <f>SUM(S65,S68,S71,S74)</f>
        <v>-499032.82999999996</v>
      </c>
      <c r="T62" s="129"/>
      <c r="U62" s="129"/>
      <c r="V62" s="129"/>
      <c r="W62" s="129"/>
      <c r="X62" s="21"/>
      <c r="Y62" s="21"/>
      <c r="Z62" s="21"/>
      <c r="AA62" s="21"/>
    </row>
    <row r="63" spans="1:27" s="36" customFormat="1" ht="10" customHeight="1">
      <c r="A63" s="46" t="s">
        <v>195</v>
      </c>
      <c r="B63" s="46"/>
      <c r="C63" s="170"/>
      <c r="D63" s="170" t="e">
        <f>D62/#REF!-1</f>
        <v>#REF!</v>
      </c>
      <c r="F63" s="37">
        <v>0</v>
      </c>
      <c r="G63" s="37">
        <f t="shared" ref="G63:Q63" si="111">G62/F62-1</f>
        <v>-1</v>
      </c>
      <c r="H63" s="37" t="e">
        <f t="shared" si="111"/>
        <v>#DIV/0!</v>
      </c>
      <c r="I63" s="37" t="e">
        <f t="shared" si="111"/>
        <v>#DIV/0!</v>
      </c>
      <c r="J63" s="37" t="e">
        <f t="shared" si="111"/>
        <v>#DIV/0!</v>
      </c>
      <c r="K63" s="37" t="e">
        <f t="shared" si="111"/>
        <v>#DIV/0!</v>
      </c>
      <c r="L63" s="37" t="e">
        <f t="shared" si="111"/>
        <v>#DIV/0!</v>
      </c>
      <c r="M63" s="37" t="e">
        <f t="shared" si="111"/>
        <v>#DIV/0!</v>
      </c>
      <c r="N63" s="37" t="e">
        <f t="shared" si="111"/>
        <v>#DIV/0!</v>
      </c>
      <c r="O63" s="37" t="e">
        <f t="shared" si="111"/>
        <v>#DIV/0!</v>
      </c>
      <c r="P63" s="37" t="e">
        <f t="shared" si="111"/>
        <v>#DIV/0!</v>
      </c>
      <c r="Q63" s="37" t="e">
        <f t="shared" si="111"/>
        <v>#DIV/0!</v>
      </c>
      <c r="S63" s="37" t="e">
        <f>S62/R62-1</f>
        <v>#DIV/0!</v>
      </c>
    </row>
    <row r="64" spans="1:27" s="146" customFormat="1" ht="10" customHeight="1">
      <c r="A64" s="144" t="s">
        <v>194</v>
      </c>
      <c r="B64" s="144"/>
      <c r="C64" s="145">
        <f t="shared" ref="C64:D64" si="112">C62/C$26*-1</f>
        <v>8.933799320203005E-2</v>
      </c>
      <c r="D64" s="145">
        <f t="shared" si="112"/>
        <v>8.9337993202030078E-2</v>
      </c>
      <c r="F64" s="145">
        <f t="shared" ref="F64:G64" si="113">F62/F$26*-1</f>
        <v>8.933799320203005E-2</v>
      </c>
      <c r="G64" s="145" t="e">
        <f t="shared" si="113"/>
        <v>#DIV/0!</v>
      </c>
      <c r="H64" s="145" t="e">
        <f t="shared" ref="H64:P64" si="114">H62/H$26*-1</f>
        <v>#DIV/0!</v>
      </c>
      <c r="I64" s="145" t="e">
        <f t="shared" si="114"/>
        <v>#DIV/0!</v>
      </c>
      <c r="J64" s="145" t="e">
        <f t="shared" si="114"/>
        <v>#DIV/0!</v>
      </c>
      <c r="K64" s="145" t="e">
        <f t="shared" si="114"/>
        <v>#DIV/0!</v>
      </c>
      <c r="L64" s="145" t="e">
        <f t="shared" si="114"/>
        <v>#DIV/0!</v>
      </c>
      <c r="M64" s="145" t="e">
        <f t="shared" si="114"/>
        <v>#DIV/0!</v>
      </c>
      <c r="N64" s="145" t="e">
        <f t="shared" si="114"/>
        <v>#DIV/0!</v>
      </c>
      <c r="O64" s="145" t="e">
        <f t="shared" si="114"/>
        <v>#DIV/0!</v>
      </c>
      <c r="P64" s="145" t="e">
        <f t="shared" si="114"/>
        <v>#DIV/0!</v>
      </c>
      <c r="Q64" s="145" t="e">
        <f t="shared" ref="Q64" si="115">Q62/Q$26*-1</f>
        <v>#DIV/0!</v>
      </c>
      <c r="S64" s="145">
        <f>S62/S$26*-1</f>
        <v>8.933799320203005E-2</v>
      </c>
    </row>
    <row r="65" spans="1:27" s="24" customFormat="1" ht="20" customHeight="1">
      <c r="B65" s="24" t="s">
        <v>25</v>
      </c>
      <c r="C65" s="25">
        <f>SUM(F65:Q65)</f>
        <v>163199.79999999999</v>
      </c>
      <c r="D65" s="25">
        <f>S65*12</f>
        <v>1958397.5999999999</v>
      </c>
      <c r="F65" s="128">
        <v>163199.79999999999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M65" s="128">
        <v>0</v>
      </c>
      <c r="N65" s="128">
        <v>0</v>
      </c>
      <c r="O65" s="128">
        <v>0</v>
      </c>
      <c r="P65" s="128">
        <v>0</v>
      </c>
      <c r="Q65" s="128">
        <v>0</v>
      </c>
      <c r="R65" s="128"/>
      <c r="S65" s="128">
        <f>(SUM(F65:Q65)/$G$1)</f>
        <v>163199.79999999999</v>
      </c>
      <c r="T65" s="128"/>
      <c r="U65" s="128"/>
      <c r="V65" s="128"/>
      <c r="W65" s="128"/>
      <c r="X65" s="21"/>
      <c r="Y65" s="21"/>
      <c r="Z65" s="21"/>
      <c r="AA65" s="21"/>
    </row>
    <row r="66" spans="1:27" s="36" customFormat="1" ht="10" customHeight="1">
      <c r="B66" s="36" t="s">
        <v>195</v>
      </c>
      <c r="C66" s="37"/>
      <c r="D66" s="37" t="e">
        <f>D65/#REF!-1</f>
        <v>#REF!</v>
      </c>
      <c r="F66" s="37">
        <v>0</v>
      </c>
      <c r="G66" s="37">
        <f t="shared" ref="G66:Q66" si="116">G65/F65-1</f>
        <v>-1</v>
      </c>
      <c r="H66" s="37" t="e">
        <f t="shared" si="116"/>
        <v>#DIV/0!</v>
      </c>
      <c r="I66" s="37" t="e">
        <f t="shared" si="116"/>
        <v>#DIV/0!</v>
      </c>
      <c r="J66" s="37" t="e">
        <f t="shared" si="116"/>
        <v>#DIV/0!</v>
      </c>
      <c r="K66" s="37" t="e">
        <f t="shared" si="116"/>
        <v>#DIV/0!</v>
      </c>
      <c r="L66" s="37" t="e">
        <f t="shared" si="116"/>
        <v>#DIV/0!</v>
      </c>
      <c r="M66" s="37" t="e">
        <f t="shared" si="116"/>
        <v>#DIV/0!</v>
      </c>
      <c r="N66" s="37" t="e">
        <f t="shared" si="116"/>
        <v>#DIV/0!</v>
      </c>
      <c r="O66" s="37" t="e">
        <f t="shared" si="116"/>
        <v>#DIV/0!</v>
      </c>
      <c r="P66" s="37" t="e">
        <f t="shared" si="116"/>
        <v>#DIV/0!</v>
      </c>
      <c r="Q66" s="37" t="e">
        <f t="shared" si="116"/>
        <v>#DIV/0!</v>
      </c>
      <c r="S66" s="37" t="e">
        <f>S65/R65-1</f>
        <v>#DIV/0!</v>
      </c>
    </row>
    <row r="67" spans="1:27" s="146" customFormat="1" ht="10" customHeight="1">
      <c r="B67" s="144" t="s">
        <v>194</v>
      </c>
      <c r="C67" s="145">
        <f>C65/C$17</f>
        <v>-0.3384275591189293</v>
      </c>
      <c r="D67" s="145">
        <f>D65/D$17</f>
        <v>-0.33842755911892924</v>
      </c>
      <c r="F67" s="145">
        <f t="shared" ref="F67:G67" si="117">F65/F$3</f>
        <v>2.6894593528474568E-2</v>
      </c>
      <c r="G67" s="145" t="e">
        <f t="shared" si="117"/>
        <v>#DIV/0!</v>
      </c>
      <c r="H67" s="145" t="e">
        <f t="shared" ref="H67:P67" si="118">H65/H$3</f>
        <v>#DIV/0!</v>
      </c>
      <c r="I67" s="145" t="e">
        <f t="shared" si="118"/>
        <v>#DIV/0!</v>
      </c>
      <c r="J67" s="145" t="e">
        <f t="shared" si="118"/>
        <v>#DIV/0!</v>
      </c>
      <c r="K67" s="145" t="e">
        <f t="shared" si="118"/>
        <v>#DIV/0!</v>
      </c>
      <c r="L67" s="145" t="e">
        <f t="shared" si="118"/>
        <v>#DIV/0!</v>
      </c>
      <c r="M67" s="145" t="e">
        <f t="shared" si="118"/>
        <v>#DIV/0!</v>
      </c>
      <c r="N67" s="145" t="e">
        <f t="shared" si="118"/>
        <v>#DIV/0!</v>
      </c>
      <c r="O67" s="145" t="e">
        <f t="shared" si="118"/>
        <v>#DIV/0!</v>
      </c>
      <c r="P67" s="145" t="e">
        <f t="shared" si="118"/>
        <v>#DIV/0!</v>
      </c>
      <c r="Q67" s="145" t="e">
        <f t="shared" ref="Q67" si="119">Q65/Q$3</f>
        <v>#DIV/0!</v>
      </c>
      <c r="S67" s="145">
        <f>S65/S$3</f>
        <v>2.6894593528474568E-2</v>
      </c>
    </row>
    <row r="68" spans="1:27" s="24" customFormat="1" ht="20" customHeight="1">
      <c r="B68" s="27" t="s">
        <v>26</v>
      </c>
      <c r="C68" s="25">
        <f>SUM(F68:Q68)</f>
        <v>-683772.7</v>
      </c>
      <c r="D68" s="25">
        <f>S68*12</f>
        <v>-8205272.3999999994</v>
      </c>
      <c r="F68" s="128">
        <f>-683772.7</f>
        <v>-683772.7</v>
      </c>
      <c r="G68" s="128">
        <v>0</v>
      </c>
      <c r="H68" s="128">
        <v>0</v>
      </c>
      <c r="I68" s="128">
        <v>0</v>
      </c>
      <c r="J68" s="128">
        <v>0</v>
      </c>
      <c r="K68" s="128">
        <v>0</v>
      </c>
      <c r="L68" s="128">
        <v>0</v>
      </c>
      <c r="M68" s="128">
        <v>0</v>
      </c>
      <c r="N68" s="128">
        <v>0</v>
      </c>
      <c r="O68" s="128">
        <v>0</v>
      </c>
      <c r="P68" s="128">
        <v>0</v>
      </c>
      <c r="Q68" s="128">
        <v>0</v>
      </c>
      <c r="R68" s="128"/>
      <c r="S68" s="128">
        <f>(SUM(F68:Q68)/$G$1)</f>
        <v>-683772.7</v>
      </c>
      <c r="T68" s="128"/>
      <c r="U68" s="128"/>
      <c r="V68" s="128"/>
      <c r="W68" s="128"/>
      <c r="X68" s="21"/>
      <c r="Y68" s="21"/>
      <c r="Z68" s="21"/>
      <c r="AA68" s="21"/>
    </row>
    <row r="69" spans="1:27" s="36" customFormat="1" ht="10" customHeight="1">
      <c r="B69" s="36" t="s">
        <v>195</v>
      </c>
      <c r="C69" s="37"/>
      <c r="D69" s="37" t="e">
        <f>D68/#REF!-1</f>
        <v>#REF!</v>
      </c>
      <c r="F69" s="37">
        <v>0</v>
      </c>
      <c r="G69" s="37">
        <f t="shared" ref="G69:Q69" si="120">G68/F68-1</f>
        <v>-1</v>
      </c>
      <c r="H69" s="37" t="e">
        <f t="shared" si="120"/>
        <v>#DIV/0!</v>
      </c>
      <c r="I69" s="37" t="e">
        <f t="shared" si="120"/>
        <v>#DIV/0!</v>
      </c>
      <c r="J69" s="37" t="e">
        <f t="shared" si="120"/>
        <v>#DIV/0!</v>
      </c>
      <c r="K69" s="37" t="e">
        <f t="shared" si="120"/>
        <v>#DIV/0!</v>
      </c>
      <c r="L69" s="37" t="e">
        <f t="shared" si="120"/>
        <v>#DIV/0!</v>
      </c>
      <c r="M69" s="37" t="e">
        <f t="shared" si="120"/>
        <v>#DIV/0!</v>
      </c>
      <c r="N69" s="37" t="e">
        <f t="shared" si="120"/>
        <v>#DIV/0!</v>
      </c>
      <c r="O69" s="37" t="e">
        <f t="shared" si="120"/>
        <v>#DIV/0!</v>
      </c>
      <c r="P69" s="37" t="e">
        <f t="shared" si="120"/>
        <v>#DIV/0!</v>
      </c>
      <c r="Q69" s="37" t="e">
        <f t="shared" si="120"/>
        <v>#DIV/0!</v>
      </c>
      <c r="S69" s="37" t="e">
        <f>S68/G68-1</f>
        <v>#DIV/0!</v>
      </c>
    </row>
    <row r="70" spans="1:27" s="146" customFormat="1" ht="10" customHeight="1">
      <c r="B70" s="144" t="s">
        <v>194</v>
      </c>
      <c r="C70" s="145">
        <f>C68/C$59</f>
        <v>0.91514531068141913</v>
      </c>
      <c r="D70" s="145">
        <f>D68/D$59</f>
        <v>0.91514531068141725</v>
      </c>
      <c r="F70" s="145">
        <f t="shared" ref="F70:G70" si="121">F68/F$59</f>
        <v>0.91514531068141913</v>
      </c>
      <c r="G70" s="145" t="e">
        <f t="shared" si="121"/>
        <v>#DIV/0!</v>
      </c>
      <c r="H70" s="145" t="e">
        <f t="shared" ref="H70:P70" si="122">H68/H$59</f>
        <v>#DIV/0!</v>
      </c>
      <c r="I70" s="145" t="e">
        <f t="shared" si="122"/>
        <v>#DIV/0!</v>
      </c>
      <c r="J70" s="145" t="e">
        <f t="shared" si="122"/>
        <v>#DIV/0!</v>
      </c>
      <c r="K70" s="145" t="e">
        <f t="shared" si="122"/>
        <v>#DIV/0!</v>
      </c>
      <c r="L70" s="145" t="e">
        <f t="shared" si="122"/>
        <v>#DIV/0!</v>
      </c>
      <c r="M70" s="145" t="e">
        <f t="shared" si="122"/>
        <v>#DIV/0!</v>
      </c>
      <c r="N70" s="145" t="e">
        <f t="shared" si="122"/>
        <v>#DIV/0!</v>
      </c>
      <c r="O70" s="145" t="e">
        <f t="shared" si="122"/>
        <v>#DIV/0!</v>
      </c>
      <c r="P70" s="145" t="e">
        <f t="shared" si="122"/>
        <v>#DIV/0!</v>
      </c>
      <c r="Q70" s="145" t="e">
        <f t="shared" ref="Q70" si="123">Q68/Q$59</f>
        <v>#DIV/0!</v>
      </c>
      <c r="S70" s="145">
        <f>S68/S$59</f>
        <v>0.91514531068141913</v>
      </c>
    </row>
    <row r="71" spans="1:27" s="24" customFormat="1" ht="20" customHeight="1">
      <c r="B71" s="24" t="s">
        <v>190</v>
      </c>
      <c r="C71" s="25">
        <f>SUM(F71:Q71)</f>
        <v>42349.090000000004</v>
      </c>
      <c r="D71" s="25">
        <f>S71*12</f>
        <v>508189.08000000007</v>
      </c>
      <c r="F71" s="128">
        <f>42211.18+137.91</f>
        <v>42349.090000000004</v>
      </c>
      <c r="G71" s="128">
        <v>0</v>
      </c>
      <c r="H71" s="128">
        <v>0</v>
      </c>
      <c r="I71" s="128">
        <v>0</v>
      </c>
      <c r="J71" s="128">
        <v>0</v>
      </c>
      <c r="K71" s="128">
        <v>0</v>
      </c>
      <c r="L71" s="128">
        <v>0</v>
      </c>
      <c r="M71" s="128">
        <v>0</v>
      </c>
      <c r="N71" s="128">
        <v>0</v>
      </c>
      <c r="O71" s="128">
        <v>0</v>
      </c>
      <c r="P71" s="128">
        <v>0</v>
      </c>
      <c r="Q71" s="128">
        <v>0</v>
      </c>
      <c r="R71" s="128"/>
      <c r="S71" s="128">
        <f>(SUM(F71:Q71)/$G$1)</f>
        <v>42349.090000000004</v>
      </c>
      <c r="T71" s="128"/>
      <c r="U71" s="128"/>
      <c r="V71" s="128"/>
      <c r="W71" s="128"/>
      <c r="X71" s="21"/>
      <c r="Y71" s="21"/>
      <c r="Z71" s="21"/>
      <c r="AA71" s="21"/>
    </row>
    <row r="72" spans="1:27" s="36" customFormat="1" ht="10" customHeight="1">
      <c r="B72" s="36" t="s">
        <v>195</v>
      </c>
      <c r="C72" s="37"/>
      <c r="D72" s="37" t="e">
        <f>D71/#REF!-1</f>
        <v>#REF!</v>
      </c>
      <c r="F72" s="37">
        <v>0</v>
      </c>
      <c r="G72" s="37">
        <f t="shared" ref="G72:Q72" si="124">G71/F71-1</f>
        <v>-1</v>
      </c>
      <c r="H72" s="37" t="e">
        <f t="shared" si="124"/>
        <v>#DIV/0!</v>
      </c>
      <c r="I72" s="37" t="e">
        <f t="shared" si="124"/>
        <v>#DIV/0!</v>
      </c>
      <c r="J72" s="37" t="e">
        <f t="shared" si="124"/>
        <v>#DIV/0!</v>
      </c>
      <c r="K72" s="37" t="e">
        <f t="shared" si="124"/>
        <v>#DIV/0!</v>
      </c>
      <c r="L72" s="37" t="e">
        <f t="shared" si="124"/>
        <v>#DIV/0!</v>
      </c>
      <c r="M72" s="37" t="e">
        <f t="shared" si="124"/>
        <v>#DIV/0!</v>
      </c>
      <c r="N72" s="37" t="e">
        <f t="shared" si="124"/>
        <v>#DIV/0!</v>
      </c>
      <c r="O72" s="37" t="e">
        <f t="shared" si="124"/>
        <v>#DIV/0!</v>
      </c>
      <c r="P72" s="37" t="e">
        <f t="shared" si="124"/>
        <v>#DIV/0!</v>
      </c>
      <c r="Q72" s="37" t="e">
        <f t="shared" si="124"/>
        <v>#DIV/0!</v>
      </c>
      <c r="S72" s="37" t="e">
        <f>S71/G71-1</f>
        <v>#DIV/0!</v>
      </c>
    </row>
    <row r="73" spans="1:27" s="146" customFormat="1" ht="10" customHeight="1">
      <c r="B73" s="144" t="s">
        <v>194</v>
      </c>
      <c r="C73" s="145">
        <f>C71/C$59</f>
        <v>-5.6679026707450272E-2</v>
      </c>
      <c r="D73" s="145">
        <f>D71/D$59</f>
        <v>-5.6679026707450161E-2</v>
      </c>
      <c r="F73" s="145">
        <f t="shared" ref="F73:G73" si="125">F71/F$59</f>
        <v>-5.6679026707450272E-2</v>
      </c>
      <c r="G73" s="145" t="e">
        <f t="shared" si="125"/>
        <v>#DIV/0!</v>
      </c>
      <c r="H73" s="145" t="e">
        <f t="shared" ref="H73:P73" si="126">H71/H$59</f>
        <v>#DIV/0!</v>
      </c>
      <c r="I73" s="145" t="e">
        <f t="shared" si="126"/>
        <v>#DIV/0!</v>
      </c>
      <c r="J73" s="145" t="e">
        <f t="shared" si="126"/>
        <v>#DIV/0!</v>
      </c>
      <c r="K73" s="145" t="e">
        <f t="shared" si="126"/>
        <v>#DIV/0!</v>
      </c>
      <c r="L73" s="145" t="e">
        <f t="shared" si="126"/>
        <v>#DIV/0!</v>
      </c>
      <c r="M73" s="145" t="e">
        <f t="shared" si="126"/>
        <v>#DIV/0!</v>
      </c>
      <c r="N73" s="145" t="e">
        <f t="shared" si="126"/>
        <v>#DIV/0!</v>
      </c>
      <c r="O73" s="145" t="e">
        <f t="shared" si="126"/>
        <v>#DIV/0!</v>
      </c>
      <c r="P73" s="145" t="e">
        <f t="shared" si="126"/>
        <v>#DIV/0!</v>
      </c>
      <c r="Q73" s="145" t="e">
        <f t="shared" ref="Q73" si="127">Q71/Q$59</f>
        <v>#DIV/0!</v>
      </c>
      <c r="S73" s="145">
        <f>S71/S$59</f>
        <v>-5.6679026707450272E-2</v>
      </c>
    </row>
    <row r="74" spans="1:27" s="24" customFormat="1" ht="20" customHeight="1">
      <c r="B74" s="24" t="s">
        <v>191</v>
      </c>
      <c r="C74" s="25">
        <f>SUM(F74:Q74)</f>
        <v>-20809.02</v>
      </c>
      <c r="D74" s="25">
        <f>S74*12</f>
        <v>-249708.24</v>
      </c>
      <c r="F74" s="128">
        <f>-20809.02</f>
        <v>-20809.02</v>
      </c>
      <c r="G74" s="128">
        <v>0</v>
      </c>
      <c r="H74" s="128">
        <v>0</v>
      </c>
      <c r="I74" s="128">
        <v>0</v>
      </c>
      <c r="J74" s="128">
        <v>0</v>
      </c>
      <c r="K74" s="128">
        <v>0</v>
      </c>
      <c r="L74" s="128">
        <v>0</v>
      </c>
      <c r="M74" s="128">
        <v>0</v>
      </c>
      <c r="N74" s="128">
        <v>0</v>
      </c>
      <c r="O74" s="128">
        <v>0</v>
      </c>
      <c r="P74" s="128">
        <v>0</v>
      </c>
      <c r="Q74" s="128">
        <v>0</v>
      </c>
      <c r="R74" s="128"/>
      <c r="S74" s="128">
        <f>(SUM(F74:Q74)/$G$1)</f>
        <v>-20809.02</v>
      </c>
      <c r="T74" s="128"/>
      <c r="U74" s="128"/>
      <c r="V74" s="128"/>
      <c r="W74" s="128"/>
      <c r="X74" s="21"/>
      <c r="Y74" s="21"/>
      <c r="Z74" s="21"/>
      <c r="AA74" s="21"/>
    </row>
    <row r="75" spans="1:27" s="36" customFormat="1" ht="10" customHeight="1">
      <c r="B75" s="36" t="s">
        <v>195</v>
      </c>
      <c r="C75" s="37"/>
      <c r="D75" s="37" t="e">
        <f>D74/#REF!-1</f>
        <v>#REF!</v>
      </c>
      <c r="F75" s="37">
        <v>0</v>
      </c>
      <c r="G75" s="37">
        <f t="shared" ref="G75:Q75" si="128">G74/F74-1</f>
        <v>-1</v>
      </c>
      <c r="H75" s="37" t="e">
        <f t="shared" si="128"/>
        <v>#DIV/0!</v>
      </c>
      <c r="I75" s="37" t="e">
        <f t="shared" si="128"/>
        <v>#DIV/0!</v>
      </c>
      <c r="J75" s="37" t="e">
        <f t="shared" si="128"/>
        <v>#DIV/0!</v>
      </c>
      <c r="K75" s="37" t="e">
        <f t="shared" si="128"/>
        <v>#DIV/0!</v>
      </c>
      <c r="L75" s="37" t="e">
        <f t="shared" si="128"/>
        <v>#DIV/0!</v>
      </c>
      <c r="M75" s="37" t="e">
        <f t="shared" si="128"/>
        <v>#DIV/0!</v>
      </c>
      <c r="N75" s="37" t="e">
        <f t="shared" si="128"/>
        <v>#DIV/0!</v>
      </c>
      <c r="O75" s="37" t="e">
        <f t="shared" si="128"/>
        <v>#DIV/0!</v>
      </c>
      <c r="P75" s="37" t="e">
        <f t="shared" si="128"/>
        <v>#DIV/0!</v>
      </c>
      <c r="Q75" s="37" t="e">
        <f t="shared" si="128"/>
        <v>#DIV/0!</v>
      </c>
      <c r="S75" s="37" t="e">
        <f>S74/G74-1</f>
        <v>#DIV/0!</v>
      </c>
    </row>
    <row r="76" spans="1:27" s="146" customFormat="1" ht="10" customHeight="1">
      <c r="B76" s="144" t="s">
        <v>194</v>
      </c>
      <c r="C76" s="145">
        <f>C74/C$59</f>
        <v>2.7850303284813603E-2</v>
      </c>
      <c r="D76" s="145">
        <f>D74/D$59</f>
        <v>2.7850303284813541E-2</v>
      </c>
      <c r="F76" s="145">
        <f t="shared" ref="F76:G76" si="129">F74/F$59</f>
        <v>2.7850303284813603E-2</v>
      </c>
      <c r="G76" s="145" t="e">
        <f t="shared" si="129"/>
        <v>#DIV/0!</v>
      </c>
      <c r="H76" s="145" t="e">
        <f t="shared" ref="H76:P76" si="130">H74/H$59</f>
        <v>#DIV/0!</v>
      </c>
      <c r="I76" s="145" t="e">
        <f t="shared" si="130"/>
        <v>#DIV/0!</v>
      </c>
      <c r="J76" s="145" t="e">
        <f t="shared" si="130"/>
        <v>#DIV/0!</v>
      </c>
      <c r="K76" s="145" t="e">
        <f t="shared" si="130"/>
        <v>#DIV/0!</v>
      </c>
      <c r="L76" s="145" t="e">
        <f t="shared" si="130"/>
        <v>#DIV/0!</v>
      </c>
      <c r="M76" s="145" t="e">
        <f t="shared" si="130"/>
        <v>#DIV/0!</v>
      </c>
      <c r="N76" s="145" t="e">
        <f t="shared" si="130"/>
        <v>#DIV/0!</v>
      </c>
      <c r="O76" s="145" t="e">
        <f t="shared" si="130"/>
        <v>#DIV/0!</v>
      </c>
      <c r="P76" s="145" t="e">
        <f t="shared" si="130"/>
        <v>#DIV/0!</v>
      </c>
      <c r="Q76" s="145" t="e">
        <f t="shared" ref="Q76" si="131">Q74/Q$59</f>
        <v>#DIV/0!</v>
      </c>
      <c r="S76" s="145">
        <f>S74/S$59</f>
        <v>2.7850303284813603E-2</v>
      </c>
    </row>
    <row r="77" spans="1:27" s="24" customFormat="1" ht="20" customHeight="1">
      <c r="A77" s="158" t="s">
        <v>202</v>
      </c>
      <c r="B77" s="166"/>
      <c r="C77" s="159">
        <f>C59+C62</f>
        <v>-1246206.7399999993</v>
      </c>
      <c r="D77" s="159">
        <f>D59+D62</f>
        <v>-14954480.88000001</v>
      </c>
      <c r="F77" s="159">
        <f t="shared" ref="F77:G77" si="132">F59+F62</f>
        <v>-1246206.7399999993</v>
      </c>
      <c r="G77" s="159">
        <f t="shared" si="132"/>
        <v>0</v>
      </c>
      <c r="H77" s="159">
        <f t="shared" ref="H77:P77" si="133">H59+H62</f>
        <v>0</v>
      </c>
      <c r="I77" s="159">
        <f t="shared" si="133"/>
        <v>0</v>
      </c>
      <c r="J77" s="159">
        <f t="shared" si="133"/>
        <v>0</v>
      </c>
      <c r="K77" s="159">
        <f t="shared" si="133"/>
        <v>0</v>
      </c>
      <c r="L77" s="159">
        <f t="shared" si="133"/>
        <v>0</v>
      </c>
      <c r="M77" s="159">
        <f t="shared" si="133"/>
        <v>0</v>
      </c>
      <c r="N77" s="159">
        <f t="shared" si="133"/>
        <v>0</v>
      </c>
      <c r="O77" s="159">
        <f t="shared" si="133"/>
        <v>0</v>
      </c>
      <c r="P77" s="159">
        <f t="shared" si="133"/>
        <v>0</v>
      </c>
      <c r="Q77" s="159">
        <f t="shared" ref="Q77" si="134">Q59+Q62</f>
        <v>0</v>
      </c>
      <c r="R77" s="129"/>
      <c r="S77" s="159">
        <f>S59+S62</f>
        <v>-1246206.7399999993</v>
      </c>
      <c r="T77" s="129"/>
      <c r="U77" s="129"/>
      <c r="V77" s="129"/>
      <c r="W77" s="129"/>
      <c r="X77" s="21"/>
      <c r="Y77" s="21"/>
      <c r="Z77" s="21"/>
      <c r="AA77" s="21"/>
    </row>
    <row r="78" spans="1:27" s="36" customFormat="1" ht="10" customHeight="1">
      <c r="A78" s="160" t="s">
        <v>195</v>
      </c>
      <c r="B78" s="160"/>
      <c r="C78" s="162"/>
      <c r="D78" s="162" t="e">
        <f>D77/#REF!-1</f>
        <v>#REF!</v>
      </c>
      <c r="F78" s="162">
        <v>0</v>
      </c>
      <c r="G78" s="162">
        <f t="shared" ref="G78:Q78" si="135">G77/F77-1</f>
        <v>-1</v>
      </c>
      <c r="H78" s="162" t="e">
        <f t="shared" si="135"/>
        <v>#DIV/0!</v>
      </c>
      <c r="I78" s="162" t="e">
        <f t="shared" si="135"/>
        <v>#DIV/0!</v>
      </c>
      <c r="J78" s="162" t="e">
        <f t="shared" si="135"/>
        <v>#DIV/0!</v>
      </c>
      <c r="K78" s="162" t="e">
        <f t="shared" si="135"/>
        <v>#DIV/0!</v>
      </c>
      <c r="L78" s="162" t="e">
        <f t="shared" si="135"/>
        <v>#DIV/0!</v>
      </c>
      <c r="M78" s="162" t="e">
        <f t="shared" si="135"/>
        <v>#DIV/0!</v>
      </c>
      <c r="N78" s="162" t="e">
        <f t="shared" si="135"/>
        <v>#DIV/0!</v>
      </c>
      <c r="O78" s="162" t="e">
        <f t="shared" si="135"/>
        <v>#DIV/0!</v>
      </c>
      <c r="P78" s="162" t="e">
        <f t="shared" si="135"/>
        <v>#DIV/0!</v>
      </c>
      <c r="Q78" s="162" t="e">
        <f t="shared" si="135"/>
        <v>#DIV/0!</v>
      </c>
      <c r="S78" s="162" t="e">
        <f>S77/R77-1</f>
        <v>#DIV/0!</v>
      </c>
    </row>
    <row r="79" spans="1:27" s="146" customFormat="1" ht="10" customHeight="1">
      <c r="A79" s="163" t="s">
        <v>194</v>
      </c>
      <c r="B79" s="163"/>
      <c r="C79" s="165">
        <f>C77/C$26</f>
        <v>-0.22309876740262555</v>
      </c>
      <c r="D79" s="165">
        <f>D77/D$26</f>
        <v>-0.22309876740262588</v>
      </c>
      <c r="F79" s="165">
        <f t="shared" ref="F79:G79" si="136">F77/F$26</f>
        <v>-0.22309876740262555</v>
      </c>
      <c r="G79" s="165" t="e">
        <f t="shared" si="136"/>
        <v>#DIV/0!</v>
      </c>
      <c r="H79" s="165" t="e">
        <f t="shared" ref="H79:P79" si="137">H77/H$26</f>
        <v>#DIV/0!</v>
      </c>
      <c r="I79" s="165" t="e">
        <f t="shared" si="137"/>
        <v>#DIV/0!</v>
      </c>
      <c r="J79" s="165" t="e">
        <f t="shared" si="137"/>
        <v>#DIV/0!</v>
      </c>
      <c r="K79" s="165" t="e">
        <f t="shared" si="137"/>
        <v>#DIV/0!</v>
      </c>
      <c r="L79" s="165" t="e">
        <f t="shared" si="137"/>
        <v>#DIV/0!</v>
      </c>
      <c r="M79" s="165" t="e">
        <f t="shared" si="137"/>
        <v>#DIV/0!</v>
      </c>
      <c r="N79" s="165" t="e">
        <f t="shared" si="137"/>
        <v>#DIV/0!</v>
      </c>
      <c r="O79" s="165" t="e">
        <f t="shared" si="137"/>
        <v>#DIV/0!</v>
      </c>
      <c r="P79" s="165" t="e">
        <f t="shared" si="137"/>
        <v>#DIV/0!</v>
      </c>
      <c r="Q79" s="165" t="e">
        <f t="shared" ref="Q79" si="138">Q77/Q$26</f>
        <v>#DIV/0!</v>
      </c>
      <c r="S79" s="165">
        <f>S77/S$26</f>
        <v>-0.22309876740262555</v>
      </c>
    </row>
    <row r="80" spans="1:27" s="24" customFormat="1" ht="20" customHeight="1">
      <c r="B80" s="155" t="s">
        <v>127</v>
      </c>
      <c r="C80" s="25">
        <f>SUM(F80:Q80)</f>
        <v>0</v>
      </c>
      <c r="D80" s="25">
        <f>S80*12</f>
        <v>0</v>
      </c>
      <c r="F80" s="128">
        <v>0</v>
      </c>
      <c r="G80" s="128">
        <v>0</v>
      </c>
      <c r="H80" s="128">
        <v>0</v>
      </c>
      <c r="I80" s="128">
        <v>0</v>
      </c>
      <c r="J80" s="128">
        <v>0</v>
      </c>
      <c r="K80" s="128">
        <v>0</v>
      </c>
      <c r="L80" s="128">
        <v>0</v>
      </c>
      <c r="M80" s="128">
        <v>0</v>
      </c>
      <c r="N80" s="128">
        <v>0</v>
      </c>
      <c r="O80" s="128">
        <v>0</v>
      </c>
      <c r="P80" s="128">
        <v>0</v>
      </c>
      <c r="Q80" s="128">
        <v>0</v>
      </c>
      <c r="R80" s="128"/>
      <c r="S80" s="128">
        <f>(SUM(F80:Q80)/$G$1)</f>
        <v>0</v>
      </c>
      <c r="T80" s="128"/>
      <c r="U80" s="128"/>
      <c r="V80" s="128"/>
      <c r="W80" s="128"/>
      <c r="X80" s="21"/>
      <c r="Y80" s="21"/>
      <c r="Z80" s="21"/>
      <c r="AA80" s="21"/>
    </row>
    <row r="81" spans="1:27" s="36" customFormat="1" ht="10" customHeight="1">
      <c r="B81" s="36" t="s">
        <v>195</v>
      </c>
      <c r="C81" s="37"/>
      <c r="D81" s="37" t="e">
        <f>D80/#REF!-1</f>
        <v>#REF!</v>
      </c>
      <c r="F81" s="37">
        <v>0</v>
      </c>
      <c r="G81" s="37" t="e">
        <f t="shared" ref="G81:Q81" si="139">G80/F80-1</f>
        <v>#DIV/0!</v>
      </c>
      <c r="H81" s="37" t="e">
        <f t="shared" si="139"/>
        <v>#DIV/0!</v>
      </c>
      <c r="I81" s="37" t="e">
        <f t="shared" si="139"/>
        <v>#DIV/0!</v>
      </c>
      <c r="J81" s="37" t="e">
        <f t="shared" si="139"/>
        <v>#DIV/0!</v>
      </c>
      <c r="K81" s="37" t="e">
        <f t="shared" si="139"/>
        <v>#DIV/0!</v>
      </c>
      <c r="L81" s="37" t="e">
        <f t="shared" si="139"/>
        <v>#DIV/0!</v>
      </c>
      <c r="M81" s="37" t="e">
        <f t="shared" si="139"/>
        <v>#DIV/0!</v>
      </c>
      <c r="N81" s="37" t="e">
        <f t="shared" si="139"/>
        <v>#DIV/0!</v>
      </c>
      <c r="O81" s="37" t="e">
        <f t="shared" si="139"/>
        <v>#DIV/0!</v>
      </c>
      <c r="P81" s="37" t="e">
        <f t="shared" si="139"/>
        <v>#DIV/0!</v>
      </c>
      <c r="Q81" s="37" t="e">
        <f t="shared" si="139"/>
        <v>#DIV/0!</v>
      </c>
      <c r="S81" s="37" t="e">
        <f>S80/G80-1</f>
        <v>#DIV/0!</v>
      </c>
    </row>
    <row r="82" spans="1:27" s="146" customFormat="1" ht="10" customHeight="1">
      <c r="B82" s="144" t="s">
        <v>194</v>
      </c>
      <c r="C82" s="145">
        <f>C80/C$59</f>
        <v>0</v>
      </c>
      <c r="D82" s="145">
        <f>D80/D$59</f>
        <v>0</v>
      </c>
      <c r="F82" s="145">
        <f t="shared" ref="F82:G82" si="140">F80/F$59</f>
        <v>0</v>
      </c>
      <c r="G82" s="145" t="e">
        <f t="shared" si="140"/>
        <v>#DIV/0!</v>
      </c>
      <c r="H82" s="145" t="e">
        <f t="shared" ref="H82:P82" si="141">H80/H$59</f>
        <v>#DIV/0!</v>
      </c>
      <c r="I82" s="145" t="e">
        <f t="shared" si="141"/>
        <v>#DIV/0!</v>
      </c>
      <c r="J82" s="145" t="e">
        <f t="shared" si="141"/>
        <v>#DIV/0!</v>
      </c>
      <c r="K82" s="145" t="e">
        <f t="shared" si="141"/>
        <v>#DIV/0!</v>
      </c>
      <c r="L82" s="145" t="e">
        <f t="shared" si="141"/>
        <v>#DIV/0!</v>
      </c>
      <c r="M82" s="145" t="e">
        <f t="shared" si="141"/>
        <v>#DIV/0!</v>
      </c>
      <c r="N82" s="145" t="e">
        <f t="shared" si="141"/>
        <v>#DIV/0!</v>
      </c>
      <c r="O82" s="145" t="e">
        <f t="shared" si="141"/>
        <v>#DIV/0!</v>
      </c>
      <c r="P82" s="145" t="e">
        <f t="shared" si="141"/>
        <v>#DIV/0!</v>
      </c>
      <c r="Q82" s="145" t="e">
        <f t="shared" ref="Q82" si="142">Q80/Q$59</f>
        <v>#DIV/0!</v>
      </c>
      <c r="S82" s="145">
        <f>S80/S$59</f>
        <v>0</v>
      </c>
    </row>
    <row r="83" spans="1:27" s="22" customFormat="1" ht="20" customHeight="1">
      <c r="A83" s="158" t="s">
        <v>126</v>
      </c>
      <c r="B83" s="180"/>
      <c r="C83" s="159">
        <f>SUM(F83:Q83)</f>
        <v>-1246206.7399999993</v>
      </c>
      <c r="D83" s="159">
        <f>D77+D80</f>
        <v>-14954480.88000001</v>
      </c>
      <c r="F83" s="159">
        <f t="shared" ref="F83:G83" si="143">F77+F80</f>
        <v>-1246206.7399999993</v>
      </c>
      <c r="G83" s="159">
        <f t="shared" si="143"/>
        <v>0</v>
      </c>
      <c r="H83" s="159">
        <f t="shared" ref="H83:P83" si="144">H77+H80</f>
        <v>0</v>
      </c>
      <c r="I83" s="159">
        <f t="shared" si="144"/>
        <v>0</v>
      </c>
      <c r="J83" s="159">
        <f t="shared" si="144"/>
        <v>0</v>
      </c>
      <c r="K83" s="159">
        <f t="shared" si="144"/>
        <v>0</v>
      </c>
      <c r="L83" s="159">
        <f t="shared" si="144"/>
        <v>0</v>
      </c>
      <c r="M83" s="159">
        <f t="shared" si="144"/>
        <v>0</v>
      </c>
      <c r="N83" s="159">
        <f t="shared" si="144"/>
        <v>0</v>
      </c>
      <c r="O83" s="159">
        <f t="shared" si="144"/>
        <v>0</v>
      </c>
      <c r="P83" s="159">
        <f t="shared" si="144"/>
        <v>0</v>
      </c>
      <c r="Q83" s="159">
        <f t="shared" ref="Q83" si="145">Q77+Q80</f>
        <v>0</v>
      </c>
      <c r="R83" s="129"/>
      <c r="S83" s="159">
        <f>S77+S80</f>
        <v>-1246206.7399999993</v>
      </c>
      <c r="T83" s="129"/>
      <c r="U83" s="129"/>
      <c r="V83" s="129"/>
      <c r="W83" s="129"/>
      <c r="X83" s="26"/>
      <c r="Y83" s="26"/>
      <c r="Z83" s="26"/>
      <c r="AA83" s="26"/>
    </row>
    <row r="84" spans="1:27" s="36" customFormat="1" ht="10" customHeight="1">
      <c r="A84" s="160" t="s">
        <v>195</v>
      </c>
      <c r="B84" s="160"/>
      <c r="C84" s="162"/>
      <c r="D84" s="162" t="e">
        <f>D83/#REF!-1</f>
        <v>#REF!</v>
      </c>
      <c r="F84" s="162">
        <v>0</v>
      </c>
      <c r="G84" s="162">
        <f t="shared" ref="G84:Q84" si="146">G83/F83-1</f>
        <v>-1</v>
      </c>
      <c r="H84" s="162" t="e">
        <f t="shared" si="146"/>
        <v>#DIV/0!</v>
      </c>
      <c r="I84" s="162" t="e">
        <f t="shared" si="146"/>
        <v>#DIV/0!</v>
      </c>
      <c r="J84" s="162" t="e">
        <f t="shared" si="146"/>
        <v>#DIV/0!</v>
      </c>
      <c r="K84" s="162" t="e">
        <f t="shared" si="146"/>
        <v>#DIV/0!</v>
      </c>
      <c r="L84" s="162" t="e">
        <f t="shared" si="146"/>
        <v>#DIV/0!</v>
      </c>
      <c r="M84" s="162" t="e">
        <f t="shared" si="146"/>
        <v>#DIV/0!</v>
      </c>
      <c r="N84" s="162" t="e">
        <f t="shared" si="146"/>
        <v>#DIV/0!</v>
      </c>
      <c r="O84" s="162" t="e">
        <f t="shared" si="146"/>
        <v>#DIV/0!</v>
      </c>
      <c r="P84" s="162" t="e">
        <f t="shared" si="146"/>
        <v>#DIV/0!</v>
      </c>
      <c r="Q84" s="162" t="e">
        <f t="shared" si="146"/>
        <v>#DIV/0!</v>
      </c>
      <c r="S84" s="162" t="e">
        <f>S83/R83-1</f>
        <v>#DIV/0!</v>
      </c>
    </row>
    <row r="85" spans="1:27" s="146" customFormat="1" ht="10" customHeight="1">
      <c r="A85" s="163" t="s">
        <v>194</v>
      </c>
      <c r="B85" s="163"/>
      <c r="C85" s="165">
        <f>C83/C$26</f>
        <v>-0.22309876740262555</v>
      </c>
      <c r="D85" s="165">
        <f>D83/D$26</f>
        <v>-0.22309876740262588</v>
      </c>
      <c r="F85" s="165">
        <f t="shared" ref="F85:G85" si="147">F83/F$26</f>
        <v>-0.22309876740262555</v>
      </c>
      <c r="G85" s="165" t="e">
        <f t="shared" si="147"/>
        <v>#DIV/0!</v>
      </c>
      <c r="H85" s="165" t="e">
        <f t="shared" ref="H85:P85" si="148">H83/H$26</f>
        <v>#DIV/0!</v>
      </c>
      <c r="I85" s="165" t="e">
        <f t="shared" si="148"/>
        <v>#DIV/0!</v>
      </c>
      <c r="J85" s="165" t="e">
        <f t="shared" si="148"/>
        <v>#DIV/0!</v>
      </c>
      <c r="K85" s="165" t="e">
        <f t="shared" si="148"/>
        <v>#DIV/0!</v>
      </c>
      <c r="L85" s="165" t="e">
        <f t="shared" si="148"/>
        <v>#DIV/0!</v>
      </c>
      <c r="M85" s="165" t="e">
        <f t="shared" si="148"/>
        <v>#DIV/0!</v>
      </c>
      <c r="N85" s="165" t="e">
        <f t="shared" si="148"/>
        <v>#DIV/0!</v>
      </c>
      <c r="O85" s="165" t="e">
        <f t="shared" si="148"/>
        <v>#DIV/0!</v>
      </c>
      <c r="P85" s="165" t="e">
        <f t="shared" si="148"/>
        <v>#DIV/0!</v>
      </c>
      <c r="Q85" s="165" t="e">
        <f t="shared" ref="Q85" si="149">Q83/Q$26</f>
        <v>#DIV/0!</v>
      </c>
      <c r="S85" s="165">
        <f>S83/S$26</f>
        <v>-0.22309876740262555</v>
      </c>
    </row>
    <row r="86" spans="1:27">
      <c r="C86" s="228"/>
      <c r="D86" s="17"/>
    </row>
    <row r="87" spans="1:27">
      <c r="C87" s="17"/>
      <c r="D87" s="17">
        <f t="shared" ref="D87" si="150">D59/D77</f>
        <v>0.59955855318195461</v>
      </c>
      <c r="G87" s="229"/>
      <c r="H87" s="250">
        <f>H80/-1795206</f>
        <v>0</v>
      </c>
      <c r="K87" s="229"/>
    </row>
    <row r="88" spans="1:27">
      <c r="G88" s="229"/>
      <c r="J88" s="93"/>
      <c r="K88" s="246"/>
    </row>
    <row r="89" spans="1:27">
      <c r="G89" s="229"/>
      <c r="I89" s="227"/>
    </row>
    <row r="90" spans="1:27">
      <c r="G90" s="93"/>
      <c r="O90" s="93"/>
    </row>
    <row r="91" spans="1:27">
      <c r="D91" s="93"/>
      <c r="I91" s="93"/>
      <c r="O91" s="227"/>
    </row>
    <row r="92" spans="1:27">
      <c r="H92" s="93"/>
      <c r="I92" s="93"/>
      <c r="O92" s="227"/>
    </row>
    <row r="93" spans="1:27">
      <c r="I93" s="93"/>
      <c r="O93" s="93"/>
    </row>
    <row r="94" spans="1:27">
      <c r="I94" s="227"/>
      <c r="O94" s="93"/>
    </row>
    <row r="95" spans="1:27">
      <c r="I95" s="93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1293-E80A-0D4E-A287-6988B92D3692}">
  <dimension ref="A1:I127"/>
  <sheetViews>
    <sheetView showGridLines="0" zoomScale="125" workbookViewId="0">
      <selection activeCell="F13" sqref="F13"/>
    </sheetView>
  </sheetViews>
  <sheetFormatPr baseColWidth="10" defaultColWidth="8.83203125" defaultRowHeight="13"/>
  <cols>
    <col min="1" max="1" width="33.5" style="11" customWidth="1"/>
    <col min="2" max="9" width="15.83203125" style="11" customWidth="1"/>
    <col min="10" max="16384" width="8.83203125" style="11"/>
  </cols>
  <sheetData>
    <row r="1" spans="1:9" ht="33" customHeight="1">
      <c r="A1" s="295" t="s">
        <v>147</v>
      </c>
      <c r="B1" s="295"/>
      <c r="C1" s="295"/>
      <c r="D1" s="295"/>
      <c r="E1" s="295"/>
      <c r="F1" s="295"/>
      <c r="G1" s="295"/>
      <c r="H1" s="295"/>
      <c r="I1" s="295"/>
    </row>
    <row r="2" spans="1:9" s="10" customFormat="1" ht="30" customHeight="1">
      <c r="B2" s="9">
        <v>2019</v>
      </c>
      <c r="C2" s="9">
        <v>2020</v>
      </c>
      <c r="D2" s="9">
        <v>2021</v>
      </c>
      <c r="E2" s="9">
        <v>2022</v>
      </c>
      <c r="F2" s="9">
        <v>2023</v>
      </c>
      <c r="G2" s="9" t="s">
        <v>98</v>
      </c>
      <c r="H2" s="9" t="s">
        <v>99</v>
      </c>
      <c r="I2" s="9" t="s">
        <v>128</v>
      </c>
    </row>
    <row r="3" spans="1:9" s="13" customFormat="1" ht="20" customHeight="1">
      <c r="A3" s="149" t="s">
        <v>0</v>
      </c>
      <c r="B3" s="97">
        <f t="shared" ref="B3:I3" si="0">SUM(B5,B8,B11)</f>
        <v>20382890.220000003</v>
      </c>
      <c r="C3" s="97">
        <f t="shared" si="0"/>
        <v>42973081.479999997</v>
      </c>
      <c r="D3" s="97">
        <f t="shared" si="0"/>
        <v>75511690.120000005</v>
      </c>
      <c r="E3" s="97">
        <f t="shared" si="0"/>
        <v>99661712.939999998</v>
      </c>
      <c r="F3" s="97">
        <f t="shared" si="0"/>
        <v>107148773.80000001</v>
      </c>
      <c r="G3" s="97">
        <f t="shared" si="0"/>
        <v>100060249.87999998</v>
      </c>
      <c r="H3" s="97">
        <f t="shared" si="0"/>
        <v>72105450.510000005</v>
      </c>
      <c r="I3" s="150">
        <f t="shared" si="0"/>
        <v>27704760.449999996</v>
      </c>
    </row>
    <row r="4" spans="1:9" s="36" customFormat="1" ht="10" customHeight="1">
      <c r="A4" s="151" t="s">
        <v>195</v>
      </c>
      <c r="B4" s="143">
        <v>0</v>
      </c>
      <c r="C4" s="143">
        <f>C3/B3-1</f>
        <v>1.108291857345832</v>
      </c>
      <c r="D4" s="143">
        <f>D3/C3-1</f>
        <v>0.75718583632741643</v>
      </c>
      <c r="E4" s="143">
        <f>E3/D3-1</f>
        <v>0.31981833252072356</v>
      </c>
      <c r="F4" s="143">
        <f>F3/E3-1</f>
        <v>7.5124745894218137E-2</v>
      </c>
      <c r="G4" s="143">
        <f>G3/F3-1</f>
        <v>-6.6155903316553188E-2</v>
      </c>
      <c r="H4" s="143"/>
      <c r="I4" s="152">
        <f>I3/F3-1</f>
        <v>-0.74143651422728651</v>
      </c>
    </row>
    <row r="5" spans="1:9" s="13" customFormat="1" ht="20" customHeight="1">
      <c r="A5" s="2" t="s">
        <v>33</v>
      </c>
      <c r="B5" s="16">
        <f>SUM('Balanço Patrimonial'!B6,'Balanço Patrimonial'!B9,'Balanço Patrimonial'!B12)</f>
        <v>1767953.05</v>
      </c>
      <c r="C5" s="16">
        <f>SUM('Balanço Patrimonial'!C6,'Balanço Patrimonial'!C9,'Balanço Patrimonial'!C12)</f>
        <v>378772.28</v>
      </c>
      <c r="D5" s="16">
        <f>SUM('Balanço Patrimonial'!D6,'Balanço Patrimonial'!D9,'Balanço Patrimonial'!D12)</f>
        <v>1178314.94</v>
      </c>
      <c r="E5" s="16">
        <f>SUM('Balanço Patrimonial'!E6,'Balanço Patrimonial'!E9,'Balanço Patrimonial'!E12)</f>
        <v>3025350.45</v>
      </c>
      <c r="F5" s="16">
        <f>SUM('Balanço Patrimonial'!F6,'Balanço Patrimonial'!F9,'Balanço Patrimonial'!F12)</f>
        <v>2604310.83</v>
      </c>
      <c r="G5" s="16">
        <f>SUM('Balanço Patrimonial'!J6,'Balanço Patrimonial'!J9,'Balanço Patrimonial'!J12)</f>
        <v>5887629.8799999999</v>
      </c>
      <c r="H5" s="16">
        <f>SUM('Balanço Patrimonial'!I6,'Balanço Patrimonial'!I9,'Balanço Patrimonial'!I12)</f>
        <v>0</v>
      </c>
      <c r="I5" s="16">
        <f>SUM('Balanço Patrimonial'!G6,'Balanço Patrimonial'!G9,'Balanço Patrimonial'!G12)</f>
        <v>6062603.9800000004</v>
      </c>
    </row>
    <row r="6" spans="1:9" s="36" customFormat="1" ht="10" customHeight="1">
      <c r="A6" s="36" t="s">
        <v>195</v>
      </c>
      <c r="B6" s="37">
        <v>0</v>
      </c>
      <c r="C6" s="37">
        <f>C5/B5-1</f>
        <v>-0.78575659574217771</v>
      </c>
      <c r="D6" s="37">
        <f>D5/C5-1</f>
        <v>2.1108795501085766</v>
      </c>
      <c r="E6" s="37">
        <f>E5/D5-1</f>
        <v>1.5675227796059348</v>
      </c>
      <c r="F6" s="37">
        <f>F5/E5-1</f>
        <v>-0.13917052816145647</v>
      </c>
      <c r="G6" s="37">
        <f>G5/F5-1</f>
        <v>1.2607247230930572</v>
      </c>
      <c r="H6" s="37"/>
      <c r="I6" s="37">
        <f>I5/F5-1</f>
        <v>1.3279110581435476</v>
      </c>
    </row>
    <row r="7" spans="1:9" s="146" customFormat="1" ht="10" customHeight="1">
      <c r="A7" s="144" t="s">
        <v>194</v>
      </c>
      <c r="B7" s="145">
        <f t="shared" ref="B7:G7" si="1">B5/B$3</f>
        <v>8.6737112888203544E-2</v>
      </c>
      <c r="C7" s="145">
        <f t="shared" si="1"/>
        <v>8.8141754548433666E-3</v>
      </c>
      <c r="D7" s="145">
        <f t="shared" si="1"/>
        <v>1.5604404273397553E-2</v>
      </c>
      <c r="E7" s="145">
        <f t="shared" si="1"/>
        <v>3.0356195581560715E-2</v>
      </c>
      <c r="F7" s="145">
        <f t="shared" si="1"/>
        <v>2.4305558875187053E-2</v>
      </c>
      <c r="G7" s="145">
        <f t="shared" si="1"/>
        <v>5.8840847260134797E-2</v>
      </c>
      <c r="H7" s="145"/>
      <c r="I7" s="145">
        <f>I5/I$3</f>
        <v>0.21882896229842699</v>
      </c>
    </row>
    <row r="8" spans="1:9" s="13" customFormat="1" ht="20" customHeight="1">
      <c r="A8" s="2" t="s">
        <v>34</v>
      </c>
      <c r="B8" s="16">
        <f>'Balanço Patrimonial'!B15+'Balanço Patrimonial'!B18+'Balanço Patrimonial'!B21+'Balanço Patrimonial'!B24+'Balanço Patrimonial'!B27+'Balanço Patrimonial'!B30</f>
        <v>17387853.030000001</v>
      </c>
      <c r="C8" s="16">
        <f>'Balanço Patrimonial'!C15+'Balanço Patrimonial'!C18+'Balanço Patrimonial'!C21+'Balanço Patrimonial'!C24+'Balanço Patrimonial'!C27+'Balanço Patrimonial'!C30</f>
        <v>41062014.369999997</v>
      </c>
      <c r="D8" s="16">
        <f>'Balanço Patrimonial'!D15+'Balanço Patrimonial'!D18+'Balanço Patrimonial'!D21+'Balanço Patrimonial'!D24+'Balanço Patrimonial'!D27+'Balanço Patrimonial'!D30</f>
        <v>61109240.890000001</v>
      </c>
      <c r="E8" s="16">
        <f>'Balanço Patrimonial'!E15+'Balanço Patrimonial'!E18+'Balanço Patrimonial'!E21+'Balanço Patrimonial'!E24+'Balanço Patrimonial'!E27+'Balanço Patrimonial'!E30</f>
        <v>78410201.159999996</v>
      </c>
      <c r="F8" s="16">
        <f>'Balanço Patrimonial'!F15+'Balanço Patrimonial'!F18+'Balanço Patrimonial'!F21+'Balanço Patrimonial'!F24+'Balanço Patrimonial'!F27+'Balanço Patrimonial'!F30</f>
        <v>83491639.180000007</v>
      </c>
      <c r="G8" s="16">
        <f>'Balanço Patrimonial'!G15+'Balanço Patrimonial'!G18+'Balanço Patrimonial'!G21+'Balanço Patrimonial'!G24+'Balanço Patrimonial'!G27+'Balanço Patrimonial'!G30</f>
        <v>72534201.339999989</v>
      </c>
      <c r="H8" s="16">
        <f>'Balanço Patrimonial'!H15+'Balanço Patrimonial'!H18+'Balanço Patrimonial'!H21+'Balanço Patrimonial'!H24+'Balanço Patrimonial'!H27+'Balanço Patrimonial'!H30</f>
        <v>72105450.510000005</v>
      </c>
      <c r="I8" s="16">
        <f>'Balanço Patrimonial'!I15+'Balanço Patrimonial'!I18+'Balanço Patrimonial'!I21+'Balanço Patrimonial'!I24+'Balanço Patrimonial'!I27+'Balanço Patrimonial'!I30</f>
        <v>0</v>
      </c>
    </row>
    <row r="9" spans="1:9" s="36" customFormat="1" ht="10" customHeight="1">
      <c r="A9" s="36" t="s">
        <v>195</v>
      </c>
      <c r="B9" s="37">
        <v>0</v>
      </c>
      <c r="C9" s="37">
        <f>C8/B8-1</f>
        <v>1.3615344746216778</v>
      </c>
      <c r="D9" s="37">
        <f>D8/C8-1</f>
        <v>0.48821829195614308</v>
      </c>
      <c r="E9" s="37">
        <f>E8/D8-1</f>
        <v>0.28311528695214316</v>
      </c>
      <c r="F9" s="37">
        <f>F8/E8-1</f>
        <v>6.4805828129825604E-2</v>
      </c>
      <c r="G9" s="37">
        <f>G8/F8-1</f>
        <v>-0.13123994147937168</v>
      </c>
      <c r="H9" s="37"/>
      <c r="I9" s="37">
        <f>I8/F8-1</f>
        <v>-1</v>
      </c>
    </row>
    <row r="10" spans="1:9" s="146" customFormat="1" ht="10" customHeight="1">
      <c r="A10" s="144" t="s">
        <v>194</v>
      </c>
      <c r="B10" s="145">
        <f t="shared" ref="B10:G10" si="2">B8/B$3</f>
        <v>0.85306121174801675</v>
      </c>
      <c r="C10" s="145">
        <f t="shared" si="2"/>
        <v>0.95552873929021298</v>
      </c>
      <c r="D10" s="145">
        <f t="shared" si="2"/>
        <v>0.80926861513611681</v>
      </c>
      <c r="E10" s="145">
        <f t="shared" si="2"/>
        <v>0.7867635308175549</v>
      </c>
      <c r="F10" s="145">
        <f t="shared" si="2"/>
        <v>0.77921226924950582</v>
      </c>
      <c r="G10" s="145">
        <f t="shared" si="2"/>
        <v>0.72490525885142831</v>
      </c>
      <c r="H10" s="145"/>
      <c r="I10" s="145">
        <f>I8/I$3</f>
        <v>0</v>
      </c>
    </row>
    <row r="11" spans="1:9" s="13" customFormat="1" ht="20" customHeight="1">
      <c r="A11" s="2" t="s">
        <v>35</v>
      </c>
      <c r="B11" s="16">
        <f>'Balanço Patrimonial'!B33</f>
        <v>1227084.1400000001</v>
      </c>
      <c r="C11" s="16">
        <f>'Balanço Patrimonial'!C33</f>
        <v>1532294.8299999996</v>
      </c>
      <c r="D11" s="16">
        <f>'Balanço Patrimonial'!D33</f>
        <v>13224134.290000001</v>
      </c>
      <c r="E11" s="16">
        <f>'Balanço Patrimonial'!E33</f>
        <v>18226161.330000002</v>
      </c>
      <c r="F11" s="16">
        <f>'Balanço Patrimonial'!F33</f>
        <v>21052823.789999999</v>
      </c>
      <c r="G11" s="16">
        <f>'Balanço Patrimonial'!J33</f>
        <v>21638418.659999996</v>
      </c>
      <c r="H11" s="16">
        <f>'Balanço Patrimonial'!I33</f>
        <v>0</v>
      </c>
      <c r="I11" s="16">
        <f>'Balanço Patrimonial'!G33</f>
        <v>21642156.469999995</v>
      </c>
    </row>
    <row r="12" spans="1:9" s="36" customFormat="1" ht="10" customHeight="1">
      <c r="A12" s="36" t="s">
        <v>195</v>
      </c>
      <c r="B12" s="37">
        <v>0</v>
      </c>
      <c r="C12" s="37">
        <f>C11/B11-1</f>
        <v>0.24872841238091414</v>
      </c>
      <c r="D12" s="37">
        <f>D11/C11-1</f>
        <v>7.6302805642175304</v>
      </c>
      <c r="E12" s="37">
        <f>E11/D11-1</f>
        <v>0.37824986727354237</v>
      </c>
      <c r="F12" s="37">
        <f>F11/E11-1</f>
        <v>0.15508819486565995</v>
      </c>
      <c r="G12" s="37">
        <f>G11/F11-1</f>
        <v>2.7815502368767842E-2</v>
      </c>
      <c r="H12" s="37"/>
      <c r="I12" s="37">
        <f>I11/F11-1</f>
        <v>2.7993046722783355E-2</v>
      </c>
    </row>
    <row r="13" spans="1:9" s="146" customFormat="1" ht="10" customHeight="1">
      <c r="A13" s="146" t="s">
        <v>194</v>
      </c>
      <c r="B13" s="147">
        <f t="shared" ref="B13:G13" si="3">B11/B$3</f>
        <v>6.020167536377969E-2</v>
      </c>
      <c r="C13" s="147">
        <f t="shared" si="3"/>
        <v>3.5657085254943641E-2</v>
      </c>
      <c r="D13" s="147">
        <f t="shared" si="3"/>
        <v>0.17512698059048556</v>
      </c>
      <c r="E13" s="147">
        <f t="shared" si="3"/>
        <v>0.18288027360088441</v>
      </c>
      <c r="F13" s="147">
        <f t="shared" si="3"/>
        <v>0.19648217187530706</v>
      </c>
      <c r="G13" s="147">
        <f t="shared" si="3"/>
        <v>0.21625389388843691</v>
      </c>
      <c r="H13" s="147"/>
      <c r="I13" s="147">
        <f>I11/I$3</f>
        <v>0.78117103770157303</v>
      </c>
    </row>
    <row r="14" spans="1:9" s="13" customFormat="1" ht="20" customHeight="1">
      <c r="A14" s="96" t="s">
        <v>39</v>
      </c>
      <c r="B14" s="97">
        <f t="shared" ref="B14:I14" si="4">SUM(B16,B19+B22)</f>
        <v>20382890.219999999</v>
      </c>
      <c r="C14" s="97">
        <f t="shared" si="4"/>
        <v>42973081.480000004</v>
      </c>
      <c r="D14" s="97">
        <f t="shared" si="4"/>
        <v>75511690.120000005</v>
      </c>
      <c r="E14" s="97">
        <f t="shared" si="4"/>
        <v>99661712.939999998</v>
      </c>
      <c r="F14" s="97">
        <f t="shared" si="4"/>
        <v>107148773.80000001</v>
      </c>
      <c r="G14" s="97">
        <f t="shared" si="4"/>
        <v>96816921.090000004</v>
      </c>
      <c r="H14" s="97">
        <f t="shared" si="4"/>
        <v>37500961.700000003</v>
      </c>
      <c r="I14" s="97">
        <f t="shared" si="4"/>
        <v>65552578.049999997</v>
      </c>
    </row>
    <row r="15" spans="1:9" s="36" customFormat="1" ht="10" customHeight="1">
      <c r="A15" s="39" t="s">
        <v>195</v>
      </c>
      <c r="B15" s="143">
        <v>0</v>
      </c>
      <c r="C15" s="143">
        <f>C14/B14-1</f>
        <v>1.1082918573458325</v>
      </c>
      <c r="D15" s="143">
        <f>D14/C14-1</f>
        <v>0.75718583632741621</v>
      </c>
      <c r="E15" s="143">
        <f>E14/D14-1</f>
        <v>0.31981833252072356</v>
      </c>
      <c r="F15" s="143">
        <f>F14/E14-1</f>
        <v>7.5124745894218137E-2</v>
      </c>
      <c r="G15" s="143">
        <f>G14/F14-1</f>
        <v>-9.6425300482533394E-2</v>
      </c>
      <c r="H15" s="143"/>
      <c r="I15" s="143">
        <f>I14/F14-1</f>
        <v>-0.38820972256427266</v>
      </c>
    </row>
    <row r="16" spans="1:9" s="13" customFormat="1" ht="20" customHeight="1">
      <c r="A16" s="2" t="s">
        <v>36</v>
      </c>
      <c r="B16" s="16">
        <f>'Balanço Patrimonial'!B66+'Balanço Patrimonial'!B72+'Balanço Patrimonial'!B60+'Balanço Patrimonial'!B69+'Balanço Patrimonial'!B63+'Balanço Patrimonial'!B87</f>
        <v>5304708.55</v>
      </c>
      <c r="C16" s="16">
        <f>'Balanço Patrimonial'!C66+'Balanço Patrimonial'!C72+'Balanço Patrimonial'!C60+'Balanço Patrimonial'!C69+'Balanço Patrimonial'!C63+'Balanço Patrimonial'!C87</f>
        <v>11800730</v>
      </c>
      <c r="D16" s="16">
        <f>'Balanço Patrimonial'!D66+'Balanço Patrimonial'!D72+'Balanço Patrimonial'!D60+'Balanço Patrimonial'!D69+'Balanço Patrimonial'!D63+'Balanço Patrimonial'!D87</f>
        <v>30608214.600000001</v>
      </c>
      <c r="E16" s="16">
        <f>'Balanço Patrimonial'!E66+'Balanço Patrimonial'!E72+'Balanço Patrimonial'!E60+'Balanço Patrimonial'!E69+'Balanço Patrimonial'!E63+'Balanço Patrimonial'!E87</f>
        <v>51364244.060000002</v>
      </c>
      <c r="F16" s="16">
        <f>'Balanço Patrimonial'!F66+'Balanço Patrimonial'!F72+'Balanço Patrimonial'!F60+'Balanço Patrimonial'!F69+'Balanço Patrimonial'!F63+'Balanço Patrimonial'!F87</f>
        <v>49078301.079999998</v>
      </c>
      <c r="G16" s="16">
        <f>'Balanço Patrimonial'!J66+'Balanço Patrimonial'!J72+'Balanço Patrimonial'!J60+'Balanço Patrimonial'!J69+'Balanço Patrimonial'!J63+'Balanço Patrimonial'!J87</f>
        <v>47030726.719999991</v>
      </c>
      <c r="H16" s="16">
        <f>'Balanço Patrimonial'!I66+'Balanço Patrimonial'!I72+'Balanço Patrimonial'!I60+'Balanço Patrimonial'!I69+'Balanço Patrimonial'!I63+'Balanço Patrimonial'!I87</f>
        <v>0</v>
      </c>
      <c r="I16" s="16">
        <f>'Balanço Patrimonial'!G66+'Balanço Patrimonial'!G72+'Balanço Patrimonial'!G60+'Balanço Patrimonial'!G69+'Balanço Patrimonial'!G63+'Balanço Patrimonial'!G87</f>
        <v>48904171.140000001</v>
      </c>
    </row>
    <row r="17" spans="1:9" s="36" customFormat="1" ht="10" customHeight="1">
      <c r="A17" s="36" t="s">
        <v>195</v>
      </c>
      <c r="B17" s="37">
        <v>0</v>
      </c>
      <c r="C17" s="37">
        <f>C16/B16-1</f>
        <v>1.2245765038307335</v>
      </c>
      <c r="D17" s="37">
        <f>D16/C16-1</f>
        <v>1.5937560303472753</v>
      </c>
      <c r="E17" s="37">
        <f>E16/D16-1</f>
        <v>0.67811957447527837</v>
      </c>
      <c r="F17" s="37">
        <f>F16/E16-1</f>
        <v>-4.450455802152431E-2</v>
      </c>
      <c r="G17" s="37">
        <f>G16/F16-1</f>
        <v>-4.1720563160129842E-2</v>
      </c>
      <c r="H17" s="37"/>
      <c r="I17" s="37">
        <f>I16/F16-1</f>
        <v>-3.5480026033533063E-3</v>
      </c>
    </row>
    <row r="18" spans="1:9" s="146" customFormat="1" ht="10" customHeight="1">
      <c r="A18" s="144" t="s">
        <v>194</v>
      </c>
      <c r="B18" s="145">
        <f>B16/B$14</f>
        <v>0.2602530108706046</v>
      </c>
      <c r="C18" s="145">
        <f>C16/C$3</f>
        <v>0.27460748900430032</v>
      </c>
      <c r="D18" s="145">
        <f>D16/D$3</f>
        <v>0.40534405403135215</v>
      </c>
      <c r="E18" s="145">
        <f>E16/E$3</f>
        <v>0.51538592449161658</v>
      </c>
      <c r="F18" s="145">
        <f>F16/F$3</f>
        <v>0.45803884953091262</v>
      </c>
      <c r="G18" s="145">
        <f>G16/G$3</f>
        <v>0.47002407825687914</v>
      </c>
      <c r="H18" s="145"/>
      <c r="I18" s="145">
        <f>I16/I$3</f>
        <v>1.7651901819638367</v>
      </c>
    </row>
    <row r="19" spans="1:9" s="13" customFormat="1" ht="20" customHeight="1">
      <c r="A19" s="2" t="s">
        <v>37</v>
      </c>
      <c r="B19" s="16">
        <f>'Balanço Patrimonial'!B57+'Balanço Patrimonial'!B84+'Balanço Patrimonial'!B81+'Balanço Patrimonial'!B75+'Balanço Patrimonial'!B78</f>
        <v>6496740.7599999998</v>
      </c>
      <c r="C19" s="16">
        <f>'Balanço Patrimonial'!C57+'Balanço Patrimonial'!C84+'Balanço Patrimonial'!C81+'Balanço Patrimonial'!C75+'Balanço Patrimonial'!C78</f>
        <v>14439867.540000001</v>
      </c>
      <c r="D19" s="16">
        <f>'Balanço Patrimonial'!D57+'Balanço Patrimonial'!D84+'Balanço Patrimonial'!D81+'Balanço Patrimonial'!D75+'Balanço Patrimonial'!D78</f>
        <v>23923330.239999998</v>
      </c>
      <c r="E19" s="16">
        <f>'Balanço Patrimonial'!E57+'Balanço Patrimonial'!E84+'Balanço Patrimonial'!E81+'Balanço Patrimonial'!E75+'Balanço Patrimonial'!E78</f>
        <v>24601467.969999999</v>
      </c>
      <c r="F19" s="16">
        <f>'Balanço Patrimonial'!F57+'Balanço Patrimonial'!F84+'Balanço Patrimonial'!F81+'Balanço Patrimonial'!F75+'Balanço Patrimonial'!F78</f>
        <v>33777176.560000002</v>
      </c>
      <c r="G19" s="16">
        <f>'Balanço Patrimonial'!G57+'Balanço Patrimonial'!G84+'Balanço Patrimonial'!G81+'Balanço Patrimonial'!G75+'Balanço Patrimonial'!G78</f>
        <v>34686383.740000002</v>
      </c>
      <c r="H19" s="16">
        <f>'Balanço Patrimonial'!H57+'Balanço Patrimonial'!H84+'Balanço Patrimonial'!H81+'Balanço Patrimonial'!H75+'Balanço Patrimonial'!H78</f>
        <v>37500961.700000003</v>
      </c>
      <c r="I19" s="16">
        <f>'Balanço Patrimonial'!I57+'Balanço Patrimonial'!I84+'Balanço Patrimonial'!I81+'Balanço Patrimonial'!I75+'Balanço Patrimonial'!I78</f>
        <v>0</v>
      </c>
    </row>
    <row r="20" spans="1:9" s="36" customFormat="1" ht="10" customHeight="1">
      <c r="A20" s="36" t="s">
        <v>195</v>
      </c>
      <c r="B20" s="37">
        <v>0</v>
      </c>
      <c r="C20" s="37">
        <f>C19/B19-1</f>
        <v>1.2226325589140488</v>
      </c>
      <c r="D20" s="37">
        <f>D19/C19-1</f>
        <v>0.65675551896371465</v>
      </c>
      <c r="E20" s="37">
        <f>E19/D19-1</f>
        <v>2.8346293061914496E-2</v>
      </c>
      <c r="F20" s="37">
        <f>F19/E19-1</f>
        <v>0.37297402745190755</v>
      </c>
      <c r="G20" s="37">
        <f>G19/F19-1</f>
        <v>2.6917796944482042E-2</v>
      </c>
      <c r="H20" s="37"/>
      <c r="I20" s="37">
        <f>I19/F19-1</f>
        <v>-1</v>
      </c>
    </row>
    <row r="21" spans="1:9" s="146" customFormat="1" ht="10" customHeight="1">
      <c r="A21" s="144" t="s">
        <v>194</v>
      </c>
      <c r="B21" s="145">
        <f>B19/B$14</f>
        <v>0.31873501205561611</v>
      </c>
      <c r="C21" s="145">
        <f>C19/C$3</f>
        <v>0.33602122637447879</v>
      </c>
      <c r="D21" s="145">
        <f>D19/D$3</f>
        <v>0.31681624662329827</v>
      </c>
      <c r="E21" s="145">
        <f>E19/E$3</f>
        <v>0.24684974042951663</v>
      </c>
      <c r="F21" s="145">
        <f>F19/F$3</f>
        <v>0.3152362398756634</v>
      </c>
      <c r="G21" s="145">
        <f>G19/G$3</f>
        <v>0.34665497819162561</v>
      </c>
      <c r="H21" s="145"/>
      <c r="I21" s="145">
        <f>I19/I$3</f>
        <v>0</v>
      </c>
    </row>
    <row r="22" spans="1:9" s="13" customFormat="1" ht="20" customHeight="1">
      <c r="A22" s="2" t="s">
        <v>38</v>
      </c>
      <c r="B22" s="16">
        <f>'Balanço Patrimonial'!B90+'Balanço Patrimonial'!B102</f>
        <v>8581440.9100000001</v>
      </c>
      <c r="C22" s="16">
        <f>'Balanço Patrimonial'!C90+'Balanço Patrimonial'!C102</f>
        <v>16732483.939999999</v>
      </c>
      <c r="D22" s="16">
        <f>'Balanço Patrimonial'!D90+'Balanço Patrimonial'!D102</f>
        <v>20980145.280000001</v>
      </c>
      <c r="E22" s="16">
        <f>'Balanço Patrimonial'!E90+'Balanço Patrimonial'!E102</f>
        <v>23696000.909999996</v>
      </c>
      <c r="F22" s="16">
        <f>'Balanço Patrimonial'!F90+'Balanço Patrimonial'!F102</f>
        <v>24293296.160000004</v>
      </c>
      <c r="G22" s="16">
        <f>'Balanço Patrimonial'!J90+'Balanço Patrimonial'!J102</f>
        <v>15099810.629999999</v>
      </c>
      <c r="H22" s="16">
        <f>'Balanço Patrimonial'!I90+'Balanço Patrimonial'!I102</f>
        <v>0</v>
      </c>
      <c r="I22" s="16">
        <f>'Balanço Patrimonial'!G90+'Balanço Patrimonial'!G102</f>
        <v>16648406.909999998</v>
      </c>
    </row>
    <row r="23" spans="1:9" s="36" customFormat="1" ht="10" customHeight="1">
      <c r="A23" s="36" t="s">
        <v>195</v>
      </c>
      <c r="B23" s="37">
        <v>0</v>
      </c>
      <c r="C23" s="37">
        <f>C22/B22-1</f>
        <v>0.94984549978099175</v>
      </c>
      <c r="D23" s="37">
        <f>D22/C22-1</f>
        <v>0.25385718911976451</v>
      </c>
      <c r="E23" s="37">
        <f>E22/D22-1</f>
        <v>0.12944884764878029</v>
      </c>
      <c r="F23" s="37">
        <f>F22/E22-1</f>
        <v>2.5206584531651588E-2</v>
      </c>
      <c r="G23" s="37">
        <f>G22/F22-1</f>
        <v>-0.37843714041314369</v>
      </c>
      <c r="H23" s="37"/>
      <c r="I23" s="37">
        <f>I22/F22-1</f>
        <v>-0.31469131235421466</v>
      </c>
    </row>
    <row r="24" spans="1:9" s="146" customFormat="1" ht="10" customHeight="1">
      <c r="A24" s="144" t="s">
        <v>194</v>
      </c>
      <c r="B24" s="145">
        <f>B22/B$14</f>
        <v>0.4210119770737793</v>
      </c>
      <c r="C24" s="145">
        <f>C22/C$3</f>
        <v>0.389371284621221</v>
      </c>
      <c r="D24" s="145">
        <f>D22/D$3</f>
        <v>0.27783969934534952</v>
      </c>
      <c r="E24" s="145">
        <f>E22/E$3</f>
        <v>0.23776433507886682</v>
      </c>
      <c r="F24" s="145">
        <f>F22/F$3</f>
        <v>0.2267249105934239</v>
      </c>
      <c r="G24" s="145">
        <f>G22/G$3</f>
        <v>0.15090718490218508</v>
      </c>
      <c r="H24" s="145"/>
      <c r="I24" s="145">
        <f>I22/I$3</f>
        <v>0.60092224728115273</v>
      </c>
    </row>
    <row r="26" spans="1:9">
      <c r="B26" s="41" t="str">
        <f t="shared" ref="B26:I26" si="5">IF(B14=B3,"VERDADEIRO")</f>
        <v>VERDADEIRO</v>
      </c>
      <c r="C26" s="41" t="str">
        <f t="shared" si="5"/>
        <v>VERDADEIRO</v>
      </c>
      <c r="D26" s="41" t="str">
        <f t="shared" si="5"/>
        <v>VERDADEIRO</v>
      </c>
      <c r="E26" s="41" t="str">
        <f t="shared" si="5"/>
        <v>VERDADEIRO</v>
      </c>
      <c r="F26" s="41" t="str">
        <f t="shared" si="5"/>
        <v>VERDADEIRO</v>
      </c>
      <c r="G26" s="41" t="b">
        <f t="shared" si="5"/>
        <v>0</v>
      </c>
      <c r="H26" s="41" t="b">
        <f t="shared" si="5"/>
        <v>0</v>
      </c>
      <c r="I26" s="41" t="b">
        <f t="shared" si="5"/>
        <v>0</v>
      </c>
    </row>
    <row r="76" spans="2:6">
      <c r="B76" s="40"/>
      <c r="C76" s="40"/>
      <c r="D76" s="40"/>
      <c r="E76" s="40"/>
      <c r="F76" s="40"/>
    </row>
    <row r="77" spans="2:6">
      <c r="B77" s="40"/>
      <c r="C77" s="40"/>
      <c r="D77" s="40"/>
      <c r="E77" s="40"/>
      <c r="F77" s="40"/>
    </row>
    <row r="78" spans="2:6">
      <c r="B78" s="40"/>
      <c r="C78" s="40"/>
      <c r="D78" s="40"/>
      <c r="E78" s="40"/>
      <c r="F78" s="40"/>
    </row>
    <row r="79" spans="2:6">
      <c r="B79" s="40"/>
      <c r="C79" s="40"/>
      <c r="D79" s="40"/>
      <c r="E79" s="40"/>
      <c r="F79" s="40"/>
    </row>
    <row r="80" spans="2:6">
      <c r="B80" s="40"/>
      <c r="C80" s="40"/>
      <c r="D80" s="40"/>
      <c r="E80" s="40"/>
      <c r="F80" s="40"/>
    </row>
    <row r="81" spans="2:6">
      <c r="B81" s="40"/>
      <c r="C81" s="40"/>
      <c r="D81" s="40"/>
      <c r="E81" s="40"/>
      <c r="F81" s="40"/>
    </row>
    <row r="82" spans="2:6">
      <c r="B82" s="40"/>
      <c r="C82" s="40"/>
      <c r="D82" s="40"/>
      <c r="E82" s="40"/>
      <c r="F82" s="40"/>
    </row>
    <row r="83" spans="2:6">
      <c r="B83" s="12"/>
      <c r="C83" s="12"/>
      <c r="D83" s="12"/>
      <c r="E83" s="12"/>
      <c r="F83" s="12"/>
    </row>
    <row r="84" spans="2:6">
      <c r="B84" s="12"/>
      <c r="C84" s="12"/>
      <c r="D84" s="12"/>
      <c r="E84" s="12"/>
      <c r="F84" s="12"/>
    </row>
    <row r="85" spans="2:6">
      <c r="B85" s="12"/>
      <c r="C85" s="12"/>
      <c r="D85" s="12"/>
      <c r="E85" s="12"/>
      <c r="F85" s="12"/>
    </row>
    <row r="86" spans="2:6">
      <c r="B86" s="12"/>
      <c r="C86" s="12"/>
      <c r="D86" s="12"/>
      <c r="E86" s="12"/>
      <c r="F86" s="12"/>
    </row>
    <row r="87" spans="2:6">
      <c r="B87" s="12"/>
      <c r="C87" s="12"/>
      <c r="D87" s="12"/>
      <c r="E87" s="12"/>
      <c r="F87" s="12"/>
    </row>
    <row r="88" spans="2:6">
      <c r="B88" s="12"/>
      <c r="C88" s="12"/>
      <c r="D88" s="12"/>
      <c r="E88" s="12"/>
      <c r="F88" s="12"/>
    </row>
    <row r="89" spans="2:6">
      <c r="B89" s="12"/>
      <c r="C89" s="12"/>
      <c r="D89" s="12"/>
      <c r="E89" s="12"/>
      <c r="F89" s="12"/>
    </row>
    <row r="90" spans="2:6">
      <c r="B90" s="12"/>
      <c r="C90" s="12"/>
      <c r="D90" s="12"/>
      <c r="E90" s="12"/>
      <c r="F90" s="12"/>
    </row>
    <row r="91" spans="2:6">
      <c r="B91" s="12"/>
      <c r="C91" s="12"/>
      <c r="D91" s="12"/>
      <c r="E91" s="12"/>
      <c r="F91" s="12"/>
    </row>
    <row r="92" spans="2:6">
      <c r="B92" s="12"/>
      <c r="C92" s="12"/>
      <c r="D92" s="12"/>
      <c r="E92" s="12"/>
      <c r="F92" s="12"/>
    </row>
    <row r="93" spans="2:6">
      <c r="B93" s="12"/>
      <c r="C93" s="12"/>
      <c r="D93" s="12"/>
      <c r="E93" s="12"/>
      <c r="F93" s="12"/>
    </row>
    <row r="94" spans="2:6">
      <c r="B94" s="12"/>
      <c r="C94" s="12"/>
      <c r="D94" s="12"/>
      <c r="E94" s="12"/>
      <c r="F94" s="12"/>
    </row>
    <row r="95" spans="2:6">
      <c r="B95" s="12"/>
      <c r="C95" s="12"/>
      <c r="D95" s="12"/>
      <c r="E95" s="12"/>
      <c r="F95" s="12"/>
    </row>
    <row r="96" spans="2:6">
      <c r="B96" s="12"/>
      <c r="C96" s="12"/>
      <c r="D96" s="12"/>
      <c r="E96" s="12"/>
      <c r="F96" s="12"/>
    </row>
    <row r="97" spans="2:6">
      <c r="B97" s="12"/>
      <c r="C97" s="12"/>
      <c r="D97" s="12"/>
      <c r="E97" s="12"/>
      <c r="F97" s="12"/>
    </row>
    <row r="98" spans="2:6">
      <c r="B98" s="12"/>
      <c r="C98" s="12"/>
      <c r="D98" s="12"/>
      <c r="E98" s="12"/>
      <c r="F98" s="12"/>
    </row>
    <row r="99" spans="2:6">
      <c r="B99" s="12"/>
      <c r="C99" s="12"/>
      <c r="D99" s="12"/>
      <c r="E99" s="12"/>
      <c r="F99" s="12"/>
    </row>
    <row r="100" spans="2:6">
      <c r="B100" s="12"/>
      <c r="C100" s="12"/>
      <c r="D100" s="12"/>
      <c r="E100" s="12"/>
      <c r="F100" s="12"/>
    </row>
    <row r="101" spans="2:6">
      <c r="B101" s="12"/>
      <c r="C101" s="12"/>
      <c r="D101" s="12"/>
      <c r="E101" s="12"/>
      <c r="F101" s="12"/>
    </row>
    <row r="102" spans="2:6">
      <c r="B102" s="12"/>
      <c r="C102" s="12"/>
      <c r="D102" s="12"/>
      <c r="E102" s="12"/>
      <c r="F102" s="12"/>
    </row>
    <row r="103" spans="2:6">
      <c r="B103" s="12"/>
      <c r="C103" s="12"/>
      <c r="D103" s="12"/>
      <c r="E103" s="12"/>
      <c r="F103" s="12"/>
    </row>
    <row r="104" spans="2:6">
      <c r="B104" s="12"/>
      <c r="C104" s="12"/>
      <c r="D104" s="12"/>
      <c r="E104" s="12"/>
      <c r="F104" s="12"/>
    </row>
    <row r="105" spans="2:6">
      <c r="B105" s="12"/>
      <c r="C105" s="12"/>
      <c r="D105" s="12"/>
      <c r="E105" s="12"/>
      <c r="F105" s="12"/>
    </row>
    <row r="106" spans="2:6">
      <c r="B106" s="12"/>
      <c r="C106" s="12"/>
      <c r="D106" s="12"/>
      <c r="E106" s="12"/>
      <c r="F106" s="12"/>
    </row>
    <row r="107" spans="2:6">
      <c r="B107" s="12"/>
      <c r="C107" s="12"/>
      <c r="D107" s="12"/>
      <c r="E107" s="12"/>
      <c r="F107" s="12"/>
    </row>
    <row r="108" spans="2:6">
      <c r="B108" s="12"/>
      <c r="C108" s="12"/>
      <c r="D108" s="12"/>
      <c r="E108" s="12"/>
      <c r="F108" s="12"/>
    </row>
    <row r="109" spans="2:6">
      <c r="B109" s="12"/>
      <c r="C109" s="12"/>
      <c r="D109" s="12"/>
      <c r="E109" s="12"/>
      <c r="F109" s="12"/>
    </row>
    <row r="110" spans="2:6">
      <c r="B110" s="12"/>
      <c r="C110" s="12"/>
      <c r="D110" s="12"/>
      <c r="E110" s="12"/>
      <c r="F110" s="12"/>
    </row>
    <row r="111" spans="2:6">
      <c r="B111" s="12"/>
      <c r="C111" s="12"/>
      <c r="D111" s="12"/>
      <c r="E111" s="12"/>
      <c r="F111" s="12"/>
    </row>
    <row r="112" spans="2:6">
      <c r="B112" s="12"/>
      <c r="C112" s="12"/>
      <c r="D112" s="12"/>
      <c r="E112" s="12"/>
      <c r="F112" s="12"/>
    </row>
    <row r="113" spans="2:6">
      <c r="B113" s="12"/>
      <c r="C113" s="12"/>
      <c r="D113" s="12"/>
      <c r="E113" s="12"/>
      <c r="F113" s="12"/>
    </row>
    <row r="114" spans="2:6">
      <c r="B114" s="12"/>
      <c r="C114" s="12"/>
      <c r="D114" s="12"/>
      <c r="E114" s="12"/>
      <c r="F114" s="12"/>
    </row>
    <row r="115" spans="2:6">
      <c r="B115" s="12"/>
      <c r="C115" s="12"/>
      <c r="D115" s="12"/>
      <c r="E115" s="12"/>
      <c r="F115" s="12"/>
    </row>
    <row r="116" spans="2:6">
      <c r="B116" s="12"/>
      <c r="C116" s="12"/>
      <c r="D116" s="12"/>
      <c r="E116" s="12"/>
      <c r="F116" s="12"/>
    </row>
    <row r="117" spans="2:6">
      <c r="B117" s="12"/>
      <c r="C117" s="12"/>
      <c r="D117" s="12"/>
      <c r="E117" s="12"/>
      <c r="F117" s="12"/>
    </row>
    <row r="118" spans="2:6">
      <c r="B118" s="12"/>
      <c r="C118" s="12"/>
      <c r="D118" s="12"/>
      <c r="E118" s="12"/>
      <c r="F118" s="12"/>
    </row>
    <row r="119" spans="2:6">
      <c r="B119" s="12"/>
      <c r="C119" s="12"/>
      <c r="D119" s="12"/>
      <c r="E119" s="12"/>
      <c r="F119" s="12"/>
    </row>
    <row r="120" spans="2:6">
      <c r="B120" s="12"/>
      <c r="C120" s="12"/>
      <c r="D120" s="12"/>
      <c r="E120" s="12"/>
      <c r="F120" s="12"/>
    </row>
    <row r="121" spans="2:6">
      <c r="B121" s="12"/>
      <c r="C121" s="12"/>
      <c r="D121" s="12"/>
      <c r="E121" s="12"/>
      <c r="F121" s="12"/>
    </row>
    <row r="122" spans="2:6">
      <c r="B122" s="12"/>
      <c r="C122" s="12"/>
      <c r="D122" s="12"/>
      <c r="E122" s="12"/>
      <c r="F122" s="12"/>
    </row>
    <row r="123" spans="2:6">
      <c r="B123" s="12"/>
      <c r="C123" s="12"/>
      <c r="D123" s="12"/>
      <c r="E123" s="12"/>
      <c r="F123" s="12"/>
    </row>
    <row r="124" spans="2:6">
      <c r="B124" s="12"/>
      <c r="C124" s="12"/>
      <c r="D124" s="12"/>
      <c r="E124" s="12"/>
      <c r="F124" s="12"/>
    </row>
    <row r="125" spans="2:6">
      <c r="B125" s="12"/>
      <c r="C125" s="12"/>
      <c r="D125" s="12"/>
      <c r="E125" s="12"/>
      <c r="F125" s="12"/>
    </row>
    <row r="126" spans="2:6">
      <c r="B126" s="12"/>
      <c r="C126" s="12"/>
      <c r="D126" s="12"/>
      <c r="E126" s="12"/>
      <c r="F126" s="12"/>
    </row>
    <row r="127" spans="2:6">
      <c r="B127" s="12"/>
      <c r="C127" s="12"/>
      <c r="D127" s="12"/>
      <c r="E127" s="12"/>
      <c r="F127" s="12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B54E-7DBC-F640-AC3E-185B256919BC}">
  <dimension ref="A2:B11"/>
  <sheetViews>
    <sheetView showGridLines="0" workbookViewId="0">
      <selection activeCell="E10" sqref="E10"/>
    </sheetView>
  </sheetViews>
  <sheetFormatPr baseColWidth="10" defaultRowHeight="30" customHeight="1"/>
  <cols>
    <col min="1" max="1" width="39.1640625" style="198" customWidth="1"/>
    <col min="2" max="2" width="17.83203125" style="198" bestFit="1" customWidth="1"/>
  </cols>
  <sheetData>
    <row r="2" spans="1:2" ht="60" customHeight="1">
      <c r="A2" s="198" t="s">
        <v>208</v>
      </c>
      <c r="B2" s="199">
        <f>DRE!I77</f>
        <v>-3446569.7300000004</v>
      </c>
    </row>
    <row r="3" spans="1:2" ht="60" customHeight="1">
      <c r="A3" s="198" t="s">
        <v>214</v>
      </c>
      <c r="B3" s="199">
        <v>800000</v>
      </c>
    </row>
    <row r="4" spans="1:2" ht="23" customHeight="1"/>
    <row r="5" spans="1:2" ht="60" customHeight="1">
      <c r="A5" s="198" t="s">
        <v>215</v>
      </c>
      <c r="B5" s="200">
        <f>B2+B3</f>
        <v>-2646569.7300000004</v>
      </c>
    </row>
    <row r="6" spans="1:2" ht="60" customHeight="1">
      <c r="A6" s="198" t="s">
        <v>209</v>
      </c>
      <c r="B6" s="200">
        <f>B5*-0.3</f>
        <v>793970.91900000011</v>
      </c>
    </row>
    <row r="7" spans="1:2" ht="60" customHeight="1">
      <c r="A7" s="201" t="s">
        <v>210</v>
      </c>
      <c r="B7" s="202">
        <f>B5+B6</f>
        <v>-1852598.8110000002</v>
      </c>
    </row>
    <row r="8" spans="1:2" ht="20" customHeight="1"/>
    <row r="9" spans="1:2" ht="60" customHeight="1">
      <c r="A9" s="198" t="s">
        <v>211</v>
      </c>
      <c r="B9" s="200">
        <f>B7*25%</f>
        <v>-463149.70275000005</v>
      </c>
    </row>
    <row r="10" spans="1:2" ht="60" customHeight="1">
      <c r="A10" s="198" t="s">
        <v>212</v>
      </c>
      <c r="B10" s="200">
        <f>B7*9%</f>
        <v>-166733.89299000002</v>
      </c>
    </row>
    <row r="11" spans="1:2" ht="60" customHeight="1">
      <c r="A11" s="201" t="s">
        <v>213</v>
      </c>
      <c r="B11" s="202">
        <f>B9+B10</f>
        <v>-629883.59574000002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97E0-6C1E-4C40-BE9E-2B061D72B915}">
  <dimension ref="A1:AQ206"/>
  <sheetViews>
    <sheetView showGridLines="0" zoomScale="15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2" sqref="H2"/>
    </sheetView>
  </sheetViews>
  <sheetFormatPr baseColWidth="10" defaultRowHeight="13"/>
  <cols>
    <col min="1" max="1" width="30.83203125" style="1" customWidth="1"/>
    <col min="2" max="7" width="15.83203125" style="1" customWidth="1"/>
    <col min="8" max="8" width="16.83203125" style="1" customWidth="1"/>
    <col min="9" max="9" width="8.83203125" style="1" customWidth="1"/>
    <col min="10" max="10" width="25.83203125" style="1" customWidth="1"/>
    <col min="11" max="11" width="8.83203125" style="1" customWidth="1"/>
    <col min="12" max="18" width="10.83203125" style="1" customWidth="1"/>
    <col min="19" max="19" width="10.83203125" style="1"/>
    <col min="20" max="20" width="12.33203125" style="2" bestFit="1" customWidth="1"/>
    <col min="21" max="33" width="13.83203125" style="2" customWidth="1"/>
    <col min="34" max="34" width="10.83203125" style="210"/>
    <col min="35" max="35" width="15.6640625" style="210" customWidth="1"/>
    <col min="36" max="36" width="12.83203125" style="210" bestFit="1" customWidth="1"/>
    <col min="37" max="37" width="10.83203125" style="210"/>
    <col min="38" max="38" width="13.5" style="1" bestFit="1" customWidth="1"/>
    <col min="39" max="16384" width="10.83203125" style="1"/>
  </cols>
  <sheetData>
    <row r="1" spans="1:43" ht="60" customHeight="1">
      <c r="A1" s="306" t="s">
        <v>121</v>
      </c>
      <c r="B1" s="307"/>
      <c r="C1" s="307"/>
      <c r="D1" s="307"/>
      <c r="E1" s="307"/>
      <c r="F1" s="307"/>
      <c r="G1" s="307"/>
      <c r="H1" s="308"/>
      <c r="K1" s="3"/>
    </row>
    <row r="2" spans="1:43" s="10" customFormat="1" ht="25" customHeight="1">
      <c r="A2" s="14"/>
      <c r="B2" s="9">
        <v>2019</v>
      </c>
      <c r="C2" s="9">
        <v>2020</v>
      </c>
      <c r="D2" s="9">
        <v>2021</v>
      </c>
      <c r="E2" s="9">
        <v>2022</v>
      </c>
      <c r="F2" s="9">
        <v>2023</v>
      </c>
      <c r="G2" s="9">
        <v>2024</v>
      </c>
      <c r="H2" s="9" t="s">
        <v>122</v>
      </c>
      <c r="J2" s="9" t="s">
        <v>80</v>
      </c>
      <c r="K2" s="14" t="s">
        <v>94</v>
      </c>
      <c r="L2" s="9">
        <f t="shared" ref="L2:R2" si="0">B2</f>
        <v>2019</v>
      </c>
      <c r="M2" s="9">
        <f t="shared" si="0"/>
        <v>2020</v>
      </c>
      <c r="N2" s="9">
        <f t="shared" si="0"/>
        <v>2021</v>
      </c>
      <c r="O2" s="9">
        <f t="shared" si="0"/>
        <v>2022</v>
      </c>
      <c r="P2" s="9">
        <f t="shared" si="0"/>
        <v>2023</v>
      </c>
      <c r="Q2" s="14">
        <f t="shared" si="0"/>
        <v>2024</v>
      </c>
      <c r="R2" s="14" t="str">
        <f t="shared" si="0"/>
        <v>2024 Projetado</v>
      </c>
      <c r="V2" s="215">
        <v>45292</v>
      </c>
      <c r="W2" s="215">
        <v>45323</v>
      </c>
      <c r="X2" s="215">
        <v>45352</v>
      </c>
      <c r="Y2" s="215">
        <v>45383</v>
      </c>
      <c r="Z2" s="215">
        <v>45413</v>
      </c>
      <c r="AA2" s="215">
        <v>45444</v>
      </c>
      <c r="AB2" s="215">
        <v>45474</v>
      </c>
      <c r="AC2" s="215">
        <v>45505</v>
      </c>
      <c r="AD2" s="215">
        <v>45536</v>
      </c>
      <c r="AE2" s="215">
        <v>45566</v>
      </c>
      <c r="AF2" s="215">
        <v>45597</v>
      </c>
      <c r="AG2" s="215">
        <v>45627</v>
      </c>
      <c r="AH2" s="211"/>
      <c r="AI2" s="211" t="s">
        <v>248</v>
      </c>
      <c r="AJ2" s="211"/>
      <c r="AK2" s="211"/>
      <c r="AL2" s="209"/>
      <c r="AM2" s="209"/>
      <c r="AN2" s="209"/>
      <c r="AO2" s="209"/>
      <c r="AP2" s="209"/>
    </row>
    <row r="3" spans="1:43" s="56" customFormat="1" ht="20" customHeight="1">
      <c r="A3" s="137" t="s">
        <v>119</v>
      </c>
      <c r="B3" s="54">
        <f>DRE!D26</f>
        <v>29627709.449999999</v>
      </c>
      <c r="C3" s="55">
        <f>DRE!E26</f>
        <v>45281257.060000002</v>
      </c>
      <c r="D3" s="55">
        <f>DRE!F26</f>
        <v>98007597.050000012</v>
      </c>
      <c r="E3" s="55">
        <f>DRE!G26</f>
        <v>114931874.53</v>
      </c>
      <c r="F3" s="55">
        <f>DRE!H26</f>
        <v>105955026.69000001</v>
      </c>
      <c r="G3" s="55">
        <f>DRE!I26</f>
        <v>107321167.56999999</v>
      </c>
      <c r="H3" s="55" t="e">
        <f>DRE!#REF!</f>
        <v>#REF!</v>
      </c>
      <c r="I3" s="133"/>
      <c r="J3" s="192" t="s">
        <v>151</v>
      </c>
      <c r="K3" s="303" t="s">
        <v>154</v>
      </c>
      <c r="L3" s="64">
        <v>4.3099999999999999E-2</v>
      </c>
      <c r="M3" s="64">
        <v>4.5199999999999997E-2</v>
      </c>
      <c r="N3" s="64">
        <v>0.10059999999999999</v>
      </c>
      <c r="O3" s="64">
        <v>5.79E-2</v>
      </c>
      <c r="P3" s="64">
        <v>4.6199999999999998E-2</v>
      </c>
      <c r="Q3" s="64">
        <v>1.2500000000000001E-2</v>
      </c>
      <c r="R3" s="65">
        <v>3.7999999999999999E-2</v>
      </c>
      <c r="T3" s="300" t="s">
        <v>225</v>
      </c>
      <c r="U3" s="219" t="s">
        <v>223</v>
      </c>
      <c r="V3" s="222">
        <v>4700000</v>
      </c>
      <c r="W3" s="223">
        <v>5600000</v>
      </c>
      <c r="X3" s="223">
        <v>6500000</v>
      </c>
      <c r="Y3" s="223">
        <v>5800000</v>
      </c>
      <c r="Z3" s="222">
        <v>6300000</v>
      </c>
      <c r="AA3" s="222">
        <v>6800000</v>
      </c>
      <c r="AB3" s="222">
        <v>7500000</v>
      </c>
      <c r="AC3" s="222">
        <v>8500000</v>
      </c>
      <c r="AD3" s="222">
        <v>7900000</v>
      </c>
      <c r="AE3" s="222">
        <v>7900000</v>
      </c>
      <c r="AF3" s="222">
        <v>6500000</v>
      </c>
      <c r="AG3" s="222">
        <v>4000000</v>
      </c>
      <c r="AH3" s="212"/>
      <c r="AI3" s="287">
        <f>SUM(V3:AG3)</f>
        <v>78000000</v>
      </c>
      <c r="AJ3" s="212"/>
      <c r="AK3" s="212"/>
    </row>
    <row r="4" spans="1:43" s="48" customFormat="1" ht="10" customHeight="1">
      <c r="A4" s="140" t="s">
        <v>195</v>
      </c>
      <c r="B4" s="47">
        <v>0</v>
      </c>
      <c r="C4" s="47">
        <f>C3/B3-1</f>
        <v>0.52834147156792799</v>
      </c>
      <c r="D4" s="47">
        <f>D3/C3-1</f>
        <v>1.1644186450065837</v>
      </c>
      <c r="E4" s="47">
        <f>E3/D3-1</f>
        <v>0.17268332240985185</v>
      </c>
      <c r="F4" s="47">
        <f>F3/E3-1</f>
        <v>-7.8105815960191394E-2</v>
      </c>
      <c r="G4" s="47">
        <f>G3/F3-1</f>
        <v>1.2893591957623629E-2</v>
      </c>
      <c r="H4" s="47" t="e">
        <f>H3/F3-1</f>
        <v>#REF!</v>
      </c>
      <c r="I4" s="131"/>
      <c r="J4" s="193"/>
      <c r="K4" s="305"/>
      <c r="L4" s="194">
        <v>0</v>
      </c>
      <c r="M4" s="47">
        <f>M3/L3-1</f>
        <v>4.8723897911832958E-2</v>
      </c>
      <c r="N4" s="47">
        <f>N3/M3-1</f>
        <v>1.2256637168141595</v>
      </c>
      <c r="O4" s="47">
        <f>O3/N3-1</f>
        <v>-0.42445328031809137</v>
      </c>
      <c r="P4" s="47">
        <f>P3/O3-1</f>
        <v>-0.20207253886010368</v>
      </c>
      <c r="Q4" s="47">
        <f>Q3/P3-1</f>
        <v>-0.72943722943722933</v>
      </c>
      <c r="R4" s="47">
        <f>R3/P3-1</f>
        <v>-0.17748917748917747</v>
      </c>
      <c r="T4" s="301"/>
      <c r="U4" s="218"/>
      <c r="V4" s="131">
        <v>0</v>
      </c>
      <c r="W4" s="131">
        <f t="shared" ref="W4:AG4" si="1">W3/V3-1</f>
        <v>0.1914893617021276</v>
      </c>
      <c r="X4" s="131">
        <f t="shared" si="1"/>
        <v>0.16071428571428581</v>
      </c>
      <c r="Y4" s="131">
        <f t="shared" si="1"/>
        <v>-0.10769230769230764</v>
      </c>
      <c r="Z4" s="131">
        <f t="shared" si="1"/>
        <v>8.6206896551724199E-2</v>
      </c>
      <c r="AA4" s="131">
        <f t="shared" si="1"/>
        <v>7.9365079365079305E-2</v>
      </c>
      <c r="AB4" s="131">
        <f t="shared" si="1"/>
        <v>0.10294117647058831</v>
      </c>
      <c r="AC4" s="131">
        <f t="shared" si="1"/>
        <v>0.1333333333333333</v>
      </c>
      <c r="AD4" s="131">
        <f t="shared" si="1"/>
        <v>-7.0588235294117618E-2</v>
      </c>
      <c r="AE4" s="131">
        <f t="shared" si="1"/>
        <v>0</v>
      </c>
      <c r="AF4" s="131">
        <f t="shared" si="1"/>
        <v>-0.17721518987341767</v>
      </c>
      <c r="AG4" s="131">
        <f t="shared" si="1"/>
        <v>-0.38461538461538458</v>
      </c>
      <c r="AH4" s="213"/>
      <c r="AI4" s="213"/>
      <c r="AJ4" s="213"/>
      <c r="AK4" s="213"/>
      <c r="AP4" s="48" t="s">
        <v>224</v>
      </c>
      <c r="AQ4" s="48" t="s">
        <v>225</v>
      </c>
    </row>
    <row r="5" spans="1:43" s="56" customFormat="1" ht="20" customHeight="1">
      <c r="A5" s="136" t="s">
        <v>193</v>
      </c>
      <c r="B5" s="90">
        <f t="shared" ref="B5:H5" si="2">B7+B10+B13+B16</f>
        <v>32988040.059999999</v>
      </c>
      <c r="C5" s="90">
        <f t="shared" si="2"/>
        <v>48688781.230000004</v>
      </c>
      <c r="D5" s="90">
        <f t="shared" si="2"/>
        <v>105387486.90000001</v>
      </c>
      <c r="E5" s="90">
        <f t="shared" si="2"/>
        <v>128287177.67</v>
      </c>
      <c r="F5" s="90">
        <f t="shared" si="2"/>
        <v>118657544.68000001</v>
      </c>
      <c r="G5" s="90">
        <f>G7+G10+G13+G16</f>
        <v>119046441.11999999</v>
      </c>
      <c r="H5" s="90" t="e">
        <f t="shared" si="2"/>
        <v>#REF!</v>
      </c>
      <c r="I5" s="133"/>
      <c r="J5" s="192" t="s">
        <v>151</v>
      </c>
      <c r="K5" s="303" t="s">
        <v>154</v>
      </c>
      <c r="L5" s="64">
        <v>4.3099999999999999E-2</v>
      </c>
      <c r="M5" s="64">
        <v>4.5199999999999997E-2</v>
      </c>
      <c r="N5" s="64">
        <v>0.10059999999999999</v>
      </c>
      <c r="O5" s="64">
        <v>5.79E-2</v>
      </c>
      <c r="P5" s="64">
        <v>4.6199999999999998E-2</v>
      </c>
      <c r="Q5" s="64">
        <v>1.2500000000000001E-2</v>
      </c>
      <c r="R5" s="65">
        <v>3.7999999999999999E-2</v>
      </c>
      <c r="T5" s="301"/>
      <c r="U5" s="217" t="s">
        <v>222</v>
      </c>
      <c r="V5" s="220" t="e">
        <f>DRE!#REF!</f>
        <v>#REF!</v>
      </c>
      <c r="W5" s="221" t="e">
        <f>DRE!#REF!</f>
        <v>#REF!</v>
      </c>
      <c r="X5" s="221" t="e">
        <f>DRE!#REF!</f>
        <v>#REF!</v>
      </c>
      <c r="Y5" s="221" t="e">
        <f>DRE!#REF!</f>
        <v>#REF!</v>
      </c>
      <c r="Z5" s="221" t="e">
        <f>DRE!#REF!</f>
        <v>#REF!</v>
      </c>
      <c r="AA5" s="276" t="e">
        <f>DRE!#REF!</f>
        <v>#REF!</v>
      </c>
      <c r="AB5" s="277" t="e">
        <f>DRE!#REF!</f>
        <v>#REF!</v>
      </c>
      <c r="AC5" s="277" t="e">
        <f>DRE!#REF!</f>
        <v>#REF!</v>
      </c>
      <c r="AD5" s="277" t="e">
        <f>DRE!#REF!</f>
        <v>#REF!</v>
      </c>
      <c r="AE5" s="277" t="e">
        <f>DRE!#REF!</f>
        <v>#REF!</v>
      </c>
      <c r="AF5" s="25" t="e">
        <f>DRE!#REF!</f>
        <v>#REF!</v>
      </c>
      <c r="AG5" s="25" t="e">
        <f>DRE!#REF!</f>
        <v>#REF!</v>
      </c>
      <c r="AH5" s="212"/>
      <c r="AI5" s="287" t="e">
        <f>SUM(V5:AG5)</f>
        <v>#REF!</v>
      </c>
      <c r="AJ5" s="287" t="e">
        <f>AI5-AI3</f>
        <v>#REF!</v>
      </c>
      <c r="AK5" s="212"/>
      <c r="AL5" s="56" t="e">
        <f>AJ5/AI3</f>
        <v>#REF!</v>
      </c>
      <c r="AO5" s="56" t="s">
        <v>223</v>
      </c>
    </row>
    <row r="6" spans="1:43" s="48" customFormat="1" ht="10" customHeight="1">
      <c r="A6" s="139" t="s">
        <v>195</v>
      </c>
      <c r="B6" s="47">
        <v>0</v>
      </c>
      <c r="C6" s="47">
        <f>C5/B5-1</f>
        <v>0.47595253132477278</v>
      </c>
      <c r="D6" s="47">
        <f>D5/C5-1</f>
        <v>1.1645127324539519</v>
      </c>
      <c r="E6" s="47">
        <f>E5/D5-1</f>
        <v>0.21729041505400959</v>
      </c>
      <c r="F6" s="47">
        <f>F5/E5-1</f>
        <v>-7.5063098003222195E-2</v>
      </c>
      <c r="G6" s="47">
        <f>G5/F5-1</f>
        <v>3.2774691322727811E-3</v>
      </c>
      <c r="H6" s="47" t="e">
        <f>H5/F5-1</f>
        <v>#REF!</v>
      </c>
      <c r="I6" s="131"/>
      <c r="J6" s="193"/>
      <c r="K6" s="305"/>
      <c r="L6" s="170">
        <v>0</v>
      </c>
      <c r="M6" s="131">
        <f>M5/L5-1</f>
        <v>4.8723897911832958E-2</v>
      </c>
      <c r="N6" s="131">
        <f>N5/M5-1</f>
        <v>1.2256637168141595</v>
      </c>
      <c r="O6" s="131">
        <f>O5/N5-1</f>
        <v>-0.42445328031809137</v>
      </c>
      <c r="P6" s="131">
        <f>P5/O5-1</f>
        <v>-0.20207253886010368</v>
      </c>
      <c r="Q6" s="131">
        <f>Q5/P5-1</f>
        <v>-0.72943722943722933</v>
      </c>
      <c r="R6" s="131">
        <f>R5/P5-1</f>
        <v>-0.17748917748917747</v>
      </c>
      <c r="T6" s="301"/>
      <c r="U6" s="139" t="s">
        <v>195</v>
      </c>
      <c r="V6" s="131">
        <v>0</v>
      </c>
      <c r="W6" s="131" t="e">
        <f>W5/V5-1</f>
        <v>#REF!</v>
      </c>
      <c r="X6" s="131" t="e">
        <f>X5/W5-1</f>
        <v>#REF!</v>
      </c>
      <c r="Y6" s="131" t="e">
        <f>Y5/X5-1</f>
        <v>#REF!</v>
      </c>
      <c r="Z6" s="131" t="e">
        <f>Z5/Y5-1</f>
        <v>#REF!</v>
      </c>
      <c r="AA6" s="131" t="e">
        <f>AA5/Z5-1</f>
        <v>#REF!</v>
      </c>
      <c r="AB6" s="131" t="e">
        <f t="shared" ref="AB6:AG6" si="3">AB5/Z5-1</f>
        <v>#REF!</v>
      </c>
      <c r="AC6" s="131" t="e">
        <f t="shared" si="3"/>
        <v>#REF!</v>
      </c>
      <c r="AD6" s="131" t="e">
        <f t="shared" si="3"/>
        <v>#REF!</v>
      </c>
      <c r="AE6" s="131" t="e">
        <f>AE5/AD5-1</f>
        <v>#REF!</v>
      </c>
      <c r="AF6" s="131" t="e">
        <f t="shared" si="3"/>
        <v>#REF!</v>
      </c>
      <c r="AG6" s="131" t="e">
        <f t="shared" si="3"/>
        <v>#REF!</v>
      </c>
      <c r="AH6" s="213"/>
      <c r="AI6" s="214"/>
      <c r="AJ6" s="213"/>
      <c r="AK6" s="213"/>
      <c r="AL6" s="288" t="e">
        <f>AI5/12</f>
        <v>#REF!</v>
      </c>
    </row>
    <row r="7" spans="1:43" s="56" customFormat="1" ht="20" customHeight="1">
      <c r="A7" s="137" t="s">
        <v>149</v>
      </c>
      <c r="B7" s="54">
        <f>DRE!D5</f>
        <v>32988040.059999999</v>
      </c>
      <c r="C7" s="54">
        <f>DRE!E5</f>
        <v>35059473.229999997</v>
      </c>
      <c r="D7" s="54">
        <f>DRE!F5</f>
        <v>62145507.789999999</v>
      </c>
      <c r="E7" s="54">
        <f>DRE!G5</f>
        <v>73117595.030000001</v>
      </c>
      <c r="F7" s="54">
        <f>DRE!H5</f>
        <v>66436105.130000003</v>
      </c>
      <c r="G7" s="54">
        <f>DRE!I5</f>
        <v>63375298.309999995</v>
      </c>
      <c r="H7" s="54" t="e">
        <f>DRE!#REF!</f>
        <v>#REF!</v>
      </c>
      <c r="I7" s="133"/>
      <c r="J7" s="192" t="s">
        <v>151</v>
      </c>
      <c r="K7" s="303" t="s">
        <v>154</v>
      </c>
      <c r="L7" s="66">
        <f>L3</f>
        <v>4.3099999999999999E-2</v>
      </c>
      <c r="M7" s="66">
        <f t="shared" ref="M7:P7" si="4">M3</f>
        <v>4.5199999999999997E-2</v>
      </c>
      <c r="N7" s="66">
        <f t="shared" si="4"/>
        <v>0.10059999999999999</v>
      </c>
      <c r="O7" s="66">
        <f t="shared" si="4"/>
        <v>5.79E-2</v>
      </c>
      <c r="P7" s="66">
        <f t="shared" si="4"/>
        <v>4.6199999999999998E-2</v>
      </c>
      <c r="Q7" s="66">
        <f>Q3</f>
        <v>1.2500000000000001E-2</v>
      </c>
      <c r="R7" s="66">
        <v>3.7999999999999999E-2</v>
      </c>
      <c r="T7" s="302"/>
      <c r="U7" s="185" t="s">
        <v>194</v>
      </c>
      <c r="V7" s="186" t="e">
        <f t="shared" ref="V7:AG7" si="5">V5/V3-1</f>
        <v>#REF!</v>
      </c>
      <c r="W7" s="186" t="e">
        <f t="shared" si="5"/>
        <v>#REF!</v>
      </c>
      <c r="X7" s="186" t="e">
        <f>X5/X3-1</f>
        <v>#REF!</v>
      </c>
      <c r="Y7" s="186" t="e">
        <f>Y5/Y3-1</f>
        <v>#REF!</v>
      </c>
      <c r="Z7" s="186" t="e">
        <f t="shared" si="5"/>
        <v>#REF!</v>
      </c>
      <c r="AA7" s="186" t="e">
        <f t="shared" si="5"/>
        <v>#REF!</v>
      </c>
      <c r="AB7" s="186" t="e">
        <f t="shared" si="5"/>
        <v>#REF!</v>
      </c>
      <c r="AC7" s="186" t="e">
        <f t="shared" si="5"/>
        <v>#REF!</v>
      </c>
      <c r="AD7" s="186" t="e">
        <f t="shared" si="5"/>
        <v>#REF!</v>
      </c>
      <c r="AE7" s="186" t="e">
        <f t="shared" si="5"/>
        <v>#REF!</v>
      </c>
      <c r="AF7" s="186" t="e">
        <f t="shared" si="5"/>
        <v>#REF!</v>
      </c>
      <c r="AG7" s="186" t="e">
        <f t="shared" si="5"/>
        <v>#REF!</v>
      </c>
      <c r="AH7" s="212"/>
      <c r="AI7" s="214"/>
      <c r="AJ7" s="212"/>
      <c r="AK7" s="212"/>
      <c r="AL7" s="56" t="e">
        <f>AJ5/AL6</f>
        <v>#REF!</v>
      </c>
      <c r="AO7" s="56" t="s">
        <v>249</v>
      </c>
    </row>
    <row r="8" spans="1:43" s="48" customFormat="1" ht="10" customHeight="1">
      <c r="A8" s="139" t="s">
        <v>195</v>
      </c>
      <c r="B8" s="131">
        <v>0</v>
      </c>
      <c r="C8" s="131">
        <f>C7/B7-1</f>
        <v>6.2793459879167957E-2</v>
      </c>
      <c r="D8" s="131">
        <f>D7/C7-1</f>
        <v>0.7725739169641257</v>
      </c>
      <c r="E8" s="131">
        <f>E7/D7-1</f>
        <v>0.1765547926179396</v>
      </c>
      <c r="F8" s="131">
        <f>F7/E7-1</f>
        <v>-9.1380055611219091E-2</v>
      </c>
      <c r="G8" s="131">
        <f>G7/F7-1</f>
        <v>-4.6071436819041689E-2</v>
      </c>
      <c r="H8" s="131" t="e">
        <f>H7/F7-1</f>
        <v>#REF!</v>
      </c>
      <c r="I8" s="131"/>
      <c r="J8" s="138"/>
      <c r="K8" s="304"/>
      <c r="L8" s="170">
        <v>0</v>
      </c>
      <c r="M8" s="131">
        <f>M7/L7-1</f>
        <v>4.8723897911832958E-2</v>
      </c>
      <c r="N8" s="131">
        <f>N7/M7-1</f>
        <v>1.2256637168141595</v>
      </c>
      <c r="O8" s="131">
        <f>O7/N7-1</f>
        <v>-0.42445328031809137</v>
      </c>
      <c r="P8" s="131">
        <f>P7/O7-1</f>
        <v>-0.20207253886010368</v>
      </c>
      <c r="Q8" s="131">
        <f>Q7/P7-1</f>
        <v>-0.72943722943722933</v>
      </c>
      <c r="R8" s="131">
        <f>R7/P7-1</f>
        <v>-0.17748917748917747</v>
      </c>
      <c r="T8" s="300" t="s">
        <v>226</v>
      </c>
      <c r="U8" s="219" t="s">
        <v>223</v>
      </c>
      <c r="V8" s="222">
        <v>3200000</v>
      </c>
      <c r="W8" s="223">
        <v>4500000</v>
      </c>
      <c r="X8" s="223">
        <v>4500000</v>
      </c>
      <c r="Y8" s="223">
        <v>4500000</v>
      </c>
      <c r="Z8" s="222">
        <v>5000000</v>
      </c>
      <c r="AA8" s="222">
        <v>4500000</v>
      </c>
      <c r="AB8" s="222">
        <v>4500000</v>
      </c>
      <c r="AC8" s="222">
        <v>5000000</v>
      </c>
      <c r="AD8" s="222">
        <v>5000000</v>
      </c>
      <c r="AE8" s="222">
        <v>4000000</v>
      </c>
      <c r="AF8" s="222">
        <v>4000000</v>
      </c>
      <c r="AG8" s="222">
        <v>3500000</v>
      </c>
      <c r="AH8" s="213"/>
      <c r="AI8" s="287">
        <f>SUM(V8:AG8)</f>
        <v>52200000</v>
      </c>
      <c r="AJ8" s="213"/>
      <c r="AK8" s="213"/>
    </row>
    <row r="9" spans="1:43" s="184" customFormat="1" ht="10" customHeight="1">
      <c r="A9" s="182" t="s">
        <v>194</v>
      </c>
      <c r="B9" s="183">
        <f t="shared" ref="B9:H9" si="6">B7/B5</f>
        <v>1</v>
      </c>
      <c r="C9" s="183">
        <f t="shared" si="6"/>
        <v>0.72007292736253181</v>
      </c>
      <c r="D9" s="183">
        <f t="shared" si="6"/>
        <v>0.58968583100352867</v>
      </c>
      <c r="E9" s="183">
        <f t="shared" si="6"/>
        <v>0.56995247972548213</v>
      </c>
      <c r="F9" s="183">
        <f t="shared" si="6"/>
        <v>0.55989785823705784</v>
      </c>
      <c r="G9" s="183">
        <f>G7/G5</f>
        <v>0.53235777326696454</v>
      </c>
      <c r="H9" s="183" t="e">
        <f t="shared" si="6"/>
        <v>#REF!</v>
      </c>
      <c r="I9" s="183"/>
      <c r="J9" s="189"/>
      <c r="K9" s="190"/>
      <c r="L9" s="171"/>
      <c r="M9" s="171"/>
      <c r="N9" s="171"/>
      <c r="O9" s="171"/>
      <c r="P9" s="171"/>
      <c r="Q9" s="171"/>
      <c r="R9" s="171"/>
      <c r="T9" s="301"/>
      <c r="U9" s="218"/>
      <c r="V9" s="131">
        <v>0</v>
      </c>
      <c r="W9" s="131">
        <f t="shared" ref="W9:AG9" si="7">W8/V8-1</f>
        <v>0.40625</v>
      </c>
      <c r="X9" s="131">
        <f t="shared" si="7"/>
        <v>0</v>
      </c>
      <c r="Y9" s="131">
        <f t="shared" si="7"/>
        <v>0</v>
      </c>
      <c r="Z9" s="131">
        <f t="shared" si="7"/>
        <v>0.11111111111111116</v>
      </c>
      <c r="AA9" s="131">
        <f t="shared" si="7"/>
        <v>-9.9999999999999978E-2</v>
      </c>
      <c r="AB9" s="131">
        <f t="shared" si="7"/>
        <v>0</v>
      </c>
      <c r="AC9" s="131">
        <f t="shared" si="7"/>
        <v>0.11111111111111116</v>
      </c>
      <c r="AD9" s="131">
        <f t="shared" si="7"/>
        <v>0</v>
      </c>
      <c r="AE9" s="131">
        <f t="shared" si="7"/>
        <v>-0.19999999999999996</v>
      </c>
      <c r="AF9" s="131">
        <f t="shared" si="7"/>
        <v>0</v>
      </c>
      <c r="AG9" s="131">
        <f t="shared" si="7"/>
        <v>-0.125</v>
      </c>
      <c r="AH9" s="214"/>
      <c r="AI9" s="214"/>
      <c r="AJ9" s="214"/>
      <c r="AK9" s="214"/>
    </row>
    <row r="10" spans="1:43" s="56" customFormat="1" ht="20" customHeight="1">
      <c r="A10" s="137" t="s">
        <v>148</v>
      </c>
      <c r="B10" s="54">
        <f>DRE!D8</f>
        <v>0</v>
      </c>
      <c r="C10" s="54">
        <f>DRE!E8</f>
        <v>12756691.16</v>
      </c>
      <c r="D10" s="54">
        <f>DRE!F8</f>
        <v>33723336.789999999</v>
      </c>
      <c r="E10" s="54">
        <f>DRE!G8</f>
        <v>35078508.390000001</v>
      </c>
      <c r="F10" s="54">
        <f>DRE!H8</f>
        <v>32988105.73</v>
      </c>
      <c r="G10" s="54">
        <f>DRE!I8</f>
        <v>31791010.419999998</v>
      </c>
      <c r="H10" s="54" t="e">
        <f>DRE!#REF!</f>
        <v>#REF!</v>
      </c>
      <c r="I10" s="135"/>
      <c r="J10" s="192" t="s">
        <v>151</v>
      </c>
      <c r="K10" s="303" t="s">
        <v>154</v>
      </c>
      <c r="L10" s="134">
        <f t="shared" ref="L10:Q10" si="8">L7</f>
        <v>4.3099999999999999E-2</v>
      </c>
      <c r="M10" s="134">
        <f t="shared" si="8"/>
        <v>4.5199999999999997E-2</v>
      </c>
      <c r="N10" s="134">
        <f t="shared" si="8"/>
        <v>0.10059999999999999</v>
      </c>
      <c r="O10" s="134">
        <f t="shared" si="8"/>
        <v>5.79E-2</v>
      </c>
      <c r="P10" s="134">
        <f t="shared" si="8"/>
        <v>4.6199999999999998E-2</v>
      </c>
      <c r="Q10" s="134">
        <f t="shared" si="8"/>
        <v>1.2500000000000001E-2</v>
      </c>
      <c r="R10" s="134">
        <v>3.7999999999999999E-2</v>
      </c>
      <c r="T10" s="301"/>
      <c r="U10" s="22" t="s">
        <v>222</v>
      </c>
      <c r="V10" s="220" t="e">
        <f>DRE!#REF!</f>
        <v>#REF!</v>
      </c>
      <c r="W10" s="220" t="e">
        <f>DRE!#REF!</f>
        <v>#REF!</v>
      </c>
      <c r="X10" s="220" t="e">
        <f>DRE!#REF!</f>
        <v>#REF!</v>
      </c>
      <c r="Y10" s="220" t="e">
        <f>DRE!#REF!</f>
        <v>#REF!</v>
      </c>
      <c r="Z10" s="220" t="e">
        <f>DRE!#REF!</f>
        <v>#REF!</v>
      </c>
      <c r="AA10" s="220" t="e">
        <f>DRE!#REF!</f>
        <v>#REF!</v>
      </c>
      <c r="AB10" s="277" t="e">
        <f>DRE!#REF!</f>
        <v>#REF!</v>
      </c>
      <c r="AC10" s="277" t="e">
        <f>DRE!#REF!</f>
        <v>#REF!</v>
      </c>
      <c r="AD10" s="277" t="e">
        <f>DRE!#REF!</f>
        <v>#REF!</v>
      </c>
      <c r="AE10" s="277" t="e">
        <f>DRE!#REF!</f>
        <v>#REF!</v>
      </c>
      <c r="AF10" s="277" t="e">
        <f>DRE!#REF!</f>
        <v>#REF!</v>
      </c>
      <c r="AG10" s="277" t="e">
        <f>DRE!#REF!</f>
        <v>#REF!</v>
      </c>
      <c r="AH10" s="212"/>
      <c r="AI10" s="287" t="e">
        <f>SUM(V10:AG10)</f>
        <v>#REF!</v>
      </c>
      <c r="AJ10" s="287" t="e">
        <f>AI10-AI8</f>
        <v>#REF!</v>
      </c>
      <c r="AK10" s="212" t="e">
        <f>AJ10/AI8</f>
        <v>#REF!</v>
      </c>
      <c r="AL10" s="290" t="e">
        <f>AI10/12</f>
        <v>#REF!</v>
      </c>
    </row>
    <row r="11" spans="1:43" s="48" customFormat="1" ht="10" customHeight="1">
      <c r="A11" s="139" t="s">
        <v>195</v>
      </c>
      <c r="B11" s="131">
        <v>0</v>
      </c>
      <c r="C11" s="131">
        <v>0</v>
      </c>
      <c r="D11" s="131">
        <f>D10/C10-1</f>
        <v>1.6435802487515891</v>
      </c>
      <c r="E11" s="131">
        <f>E10/D10-1</f>
        <v>4.0184979571827206E-2</v>
      </c>
      <c r="F11" s="131">
        <f>F10/E10-1</f>
        <v>-5.9592119390000087E-2</v>
      </c>
      <c r="G11" s="131">
        <f>G10/F10-1</f>
        <v>-3.6288695076884703E-2</v>
      </c>
      <c r="H11" s="131" t="e">
        <f>H10/F10-1</f>
        <v>#REF!</v>
      </c>
      <c r="I11" s="131"/>
      <c r="J11" s="138"/>
      <c r="K11" s="304"/>
      <c r="L11" s="170">
        <v>0</v>
      </c>
      <c r="M11" s="131">
        <f>M10/L10-1</f>
        <v>4.8723897911832958E-2</v>
      </c>
      <c r="N11" s="131">
        <f>N10/M10-1</f>
        <v>1.2256637168141595</v>
      </c>
      <c r="O11" s="131">
        <f>O10/N10-1</f>
        <v>-0.42445328031809137</v>
      </c>
      <c r="P11" s="131">
        <f>P10/O10-1</f>
        <v>-0.20207253886010368</v>
      </c>
      <c r="Q11" s="131">
        <f>Q10/P10-1</f>
        <v>-0.72943722943722933</v>
      </c>
      <c r="R11" s="131">
        <f>R10/P10-1</f>
        <v>-0.17748917748917747</v>
      </c>
      <c r="T11" s="301"/>
      <c r="U11" s="139" t="s">
        <v>195</v>
      </c>
      <c r="V11" s="131">
        <v>0</v>
      </c>
      <c r="W11" s="131" t="e">
        <f>W10/V10-1</f>
        <v>#REF!</v>
      </c>
      <c r="X11" s="131" t="e">
        <f>X10/W10-1</f>
        <v>#REF!</v>
      </c>
      <c r="Y11" s="131" t="e">
        <f>Y10/X10-1</f>
        <v>#REF!</v>
      </c>
      <c r="Z11" s="131" t="e">
        <f>Z10/Y10-1</f>
        <v>#REF!</v>
      </c>
      <c r="AA11" s="131" t="e">
        <f>AA10/Z10-1</f>
        <v>#REF!</v>
      </c>
      <c r="AB11" s="131" t="e">
        <f t="shared" ref="AB11:AG11" si="9">AB10/Z10-1</f>
        <v>#REF!</v>
      </c>
      <c r="AC11" s="131" t="e">
        <f t="shared" si="9"/>
        <v>#REF!</v>
      </c>
      <c r="AD11" s="131" t="e">
        <f t="shared" si="9"/>
        <v>#REF!</v>
      </c>
      <c r="AE11" s="131" t="e">
        <f t="shared" si="9"/>
        <v>#REF!</v>
      </c>
      <c r="AF11" s="131" t="e">
        <f t="shared" si="9"/>
        <v>#REF!</v>
      </c>
      <c r="AG11" s="131" t="e">
        <f t="shared" si="9"/>
        <v>#REF!</v>
      </c>
      <c r="AH11" s="213"/>
      <c r="AI11" s="214"/>
      <c r="AJ11" s="213"/>
      <c r="AK11" s="213" t="e">
        <f>AK10+1</f>
        <v>#REF!</v>
      </c>
      <c r="AL11" s="48" t="e">
        <f>AJ10/AL10</f>
        <v>#REF!</v>
      </c>
    </row>
    <row r="12" spans="1:43" s="184" customFormat="1" ht="10" customHeight="1">
      <c r="A12" s="185" t="s">
        <v>194</v>
      </c>
      <c r="B12" s="186">
        <f t="shared" ref="B12:H12" si="10">B10/B5</f>
        <v>0</v>
      </c>
      <c r="C12" s="186">
        <f t="shared" si="10"/>
        <v>0.26200473369294069</v>
      </c>
      <c r="D12" s="186">
        <f t="shared" si="10"/>
        <v>0.31999374671491476</v>
      </c>
      <c r="E12" s="186">
        <f t="shared" si="10"/>
        <v>0.27343736940128444</v>
      </c>
      <c r="F12" s="186">
        <f t="shared" si="10"/>
        <v>0.27801102592307575</v>
      </c>
      <c r="G12" s="186">
        <f>G10/G5</f>
        <v>0.26704712985039464</v>
      </c>
      <c r="H12" s="186" t="e">
        <f t="shared" si="10"/>
        <v>#REF!</v>
      </c>
      <c r="I12" s="183"/>
      <c r="J12" s="189"/>
      <c r="K12" s="190"/>
      <c r="L12" s="171"/>
      <c r="M12" s="171"/>
      <c r="N12" s="171"/>
      <c r="O12" s="171"/>
      <c r="P12" s="171"/>
      <c r="Q12" s="171"/>
      <c r="R12" s="171"/>
      <c r="T12" s="302"/>
      <c r="U12" s="185" t="s">
        <v>194</v>
      </c>
      <c r="V12" s="186" t="e">
        <f t="shared" ref="V12:AG12" si="11">V10/V8-1</f>
        <v>#REF!</v>
      </c>
      <c r="W12" s="186" t="e">
        <f t="shared" si="11"/>
        <v>#REF!</v>
      </c>
      <c r="X12" s="186" t="e">
        <f t="shared" si="11"/>
        <v>#REF!</v>
      </c>
      <c r="Y12" s="186" t="e">
        <f t="shared" si="11"/>
        <v>#REF!</v>
      </c>
      <c r="Z12" s="186" t="e">
        <f t="shared" si="11"/>
        <v>#REF!</v>
      </c>
      <c r="AA12" s="186" t="e">
        <f t="shared" si="11"/>
        <v>#REF!</v>
      </c>
      <c r="AB12" s="186" t="e">
        <f t="shared" si="11"/>
        <v>#REF!</v>
      </c>
      <c r="AC12" s="186" t="e">
        <f t="shared" si="11"/>
        <v>#REF!</v>
      </c>
      <c r="AD12" s="186" t="e">
        <f t="shared" si="11"/>
        <v>#REF!</v>
      </c>
      <c r="AE12" s="186" t="e">
        <f t="shared" si="11"/>
        <v>#REF!</v>
      </c>
      <c r="AF12" s="186" t="e">
        <f t="shared" si="11"/>
        <v>#REF!</v>
      </c>
      <c r="AG12" s="186" t="e">
        <f t="shared" si="11"/>
        <v>#REF!</v>
      </c>
      <c r="AH12" s="214"/>
      <c r="AI12" s="214"/>
      <c r="AJ12" s="214"/>
      <c r="AK12" s="214"/>
    </row>
    <row r="13" spans="1:43" s="56" customFormat="1" ht="20" customHeight="1">
      <c r="A13" s="136" t="s">
        <v>150</v>
      </c>
      <c r="B13" s="90">
        <f>DRE!D11</f>
        <v>0</v>
      </c>
      <c r="C13" s="90">
        <f>DRE!E11</f>
        <v>872616.84</v>
      </c>
      <c r="D13" s="90">
        <f>DRE!F11</f>
        <v>9518642.3200000003</v>
      </c>
      <c r="E13" s="90">
        <f>DRE!G11</f>
        <v>20091074.25</v>
      </c>
      <c r="F13" s="90">
        <f>DRE!H11</f>
        <v>18296636.82</v>
      </c>
      <c r="G13" s="90">
        <f>DRE!I11</f>
        <v>23625132.390000001</v>
      </c>
      <c r="H13" s="90" t="e">
        <f>DRE!#REF!</f>
        <v>#REF!</v>
      </c>
      <c r="I13" s="133"/>
      <c r="J13" s="192" t="s">
        <v>151</v>
      </c>
      <c r="K13" s="303" t="s">
        <v>154</v>
      </c>
      <c r="L13" s="134">
        <f t="shared" ref="L13:Q13" si="12">L10</f>
        <v>4.3099999999999999E-2</v>
      </c>
      <c r="M13" s="134">
        <f t="shared" si="12"/>
        <v>4.5199999999999997E-2</v>
      </c>
      <c r="N13" s="134">
        <f t="shared" si="12"/>
        <v>0.10059999999999999</v>
      </c>
      <c r="O13" s="134">
        <f t="shared" si="12"/>
        <v>5.79E-2</v>
      </c>
      <c r="P13" s="134">
        <f t="shared" si="12"/>
        <v>4.6199999999999998E-2</v>
      </c>
      <c r="Q13" s="134">
        <f t="shared" si="12"/>
        <v>1.2500000000000001E-2</v>
      </c>
      <c r="R13" s="134">
        <v>3.7999999999999999E-2</v>
      </c>
      <c r="T13" s="300" t="s">
        <v>227</v>
      </c>
      <c r="U13" s="219" t="s">
        <v>223</v>
      </c>
      <c r="V13" s="222">
        <v>1600000</v>
      </c>
      <c r="W13" s="223">
        <v>1600000</v>
      </c>
      <c r="X13" s="223">
        <v>1600000</v>
      </c>
      <c r="Y13" s="223">
        <v>2100000</v>
      </c>
      <c r="Z13" s="222">
        <v>2300000</v>
      </c>
      <c r="AA13" s="222">
        <v>2300000</v>
      </c>
      <c r="AB13" s="222">
        <v>2000000</v>
      </c>
      <c r="AC13" s="222">
        <v>2100000</v>
      </c>
      <c r="AD13" s="222">
        <v>2100000</v>
      </c>
      <c r="AE13" s="222">
        <v>2000000</v>
      </c>
      <c r="AF13" s="222">
        <v>2000000</v>
      </c>
      <c r="AG13" s="222">
        <v>2200000</v>
      </c>
      <c r="AH13" s="212"/>
      <c r="AI13" s="287">
        <f>SUM(V13:AG13)</f>
        <v>23900000</v>
      </c>
      <c r="AJ13" s="212"/>
      <c r="AK13" s="212"/>
    </row>
    <row r="14" spans="1:43" s="48" customFormat="1" ht="10" customHeight="1">
      <c r="A14" s="139" t="s">
        <v>195</v>
      </c>
      <c r="B14" s="131">
        <v>0</v>
      </c>
      <c r="C14" s="131">
        <v>0</v>
      </c>
      <c r="D14" s="131">
        <f>D13/C13-1</f>
        <v>9.9081579493698531</v>
      </c>
      <c r="E14" s="131">
        <f>E13/D13-1</f>
        <v>1.1107079743700252</v>
      </c>
      <c r="F14" s="131">
        <f>F13/E13-1</f>
        <v>-8.9315155957875203E-2</v>
      </c>
      <c r="G14" s="131">
        <f>G13/F13-1</f>
        <v>0.29122814331513847</v>
      </c>
      <c r="H14" s="131" t="e">
        <f>H13/F13-1</f>
        <v>#REF!</v>
      </c>
      <c r="I14" s="131"/>
      <c r="J14" s="138"/>
      <c r="K14" s="304"/>
      <c r="L14" s="170">
        <v>0</v>
      </c>
      <c r="M14" s="131">
        <f>M13/L13-1</f>
        <v>4.8723897911832958E-2</v>
      </c>
      <c r="N14" s="131">
        <f>N13/M13-1</f>
        <v>1.2256637168141595</v>
      </c>
      <c r="O14" s="131">
        <f>O13/N13-1</f>
        <v>-0.42445328031809137</v>
      </c>
      <c r="P14" s="131">
        <f>P13/O13-1</f>
        <v>-0.20207253886010368</v>
      </c>
      <c r="Q14" s="131">
        <f>Q13/P13-1</f>
        <v>-0.72943722943722933</v>
      </c>
      <c r="R14" s="131">
        <f>R13/P13-1</f>
        <v>-0.17748917748917747</v>
      </c>
      <c r="T14" s="301"/>
      <c r="U14" s="218"/>
      <c r="V14" s="131">
        <v>0</v>
      </c>
      <c r="W14" s="131">
        <f t="shared" ref="W14:AG14" si="13">W13/V13-1</f>
        <v>0</v>
      </c>
      <c r="X14" s="131">
        <f t="shared" si="13"/>
        <v>0</v>
      </c>
      <c r="Y14" s="131">
        <f t="shared" si="13"/>
        <v>0.3125</v>
      </c>
      <c r="Z14" s="131">
        <f t="shared" si="13"/>
        <v>9.5238095238095344E-2</v>
      </c>
      <c r="AA14" s="131">
        <f t="shared" si="13"/>
        <v>0</v>
      </c>
      <c r="AB14" s="131">
        <f t="shared" si="13"/>
        <v>-0.13043478260869568</v>
      </c>
      <c r="AC14" s="131">
        <f t="shared" si="13"/>
        <v>5.0000000000000044E-2</v>
      </c>
      <c r="AD14" s="131">
        <f t="shared" si="13"/>
        <v>0</v>
      </c>
      <c r="AE14" s="131">
        <f t="shared" si="13"/>
        <v>-4.7619047619047672E-2</v>
      </c>
      <c r="AF14" s="131">
        <f t="shared" si="13"/>
        <v>0</v>
      </c>
      <c r="AG14" s="131">
        <f t="shared" si="13"/>
        <v>0.10000000000000009</v>
      </c>
      <c r="AH14" s="213"/>
      <c r="AI14" s="214"/>
      <c r="AJ14" s="213"/>
      <c r="AK14" s="213"/>
    </row>
    <row r="15" spans="1:43" s="184" customFormat="1" ht="10" customHeight="1">
      <c r="A15" s="182" t="s">
        <v>194</v>
      </c>
      <c r="B15" s="183">
        <f t="shared" ref="B15:H15" si="14">B13/B5</f>
        <v>0</v>
      </c>
      <c r="C15" s="183">
        <f t="shared" si="14"/>
        <v>1.792233894452732E-2</v>
      </c>
      <c r="D15" s="183">
        <f t="shared" si="14"/>
        <v>9.0320422281556456E-2</v>
      </c>
      <c r="E15" s="183">
        <f t="shared" si="14"/>
        <v>0.15661015087323341</v>
      </c>
      <c r="F15" s="183">
        <f t="shared" si="14"/>
        <v>0.15419699496852929</v>
      </c>
      <c r="G15" s="183">
        <f>G13/G5</f>
        <v>0.1984530756882151</v>
      </c>
      <c r="H15" s="183" t="e">
        <f t="shared" si="14"/>
        <v>#REF!</v>
      </c>
      <c r="I15" s="183"/>
      <c r="J15" s="189"/>
      <c r="K15" s="190"/>
      <c r="L15" s="171"/>
      <c r="M15" s="171"/>
      <c r="N15" s="171"/>
      <c r="O15" s="171"/>
      <c r="P15" s="171"/>
      <c r="Q15" s="171"/>
      <c r="R15" s="171"/>
      <c r="T15" s="301"/>
      <c r="U15" s="217" t="s">
        <v>222</v>
      </c>
      <c r="V15" s="220" t="e">
        <f>DRE!#REF!</f>
        <v>#REF!</v>
      </c>
      <c r="W15" s="220" t="e">
        <f>DRE!#REF!</f>
        <v>#REF!</v>
      </c>
      <c r="X15" s="220" t="e">
        <f>DRE!#REF!</f>
        <v>#REF!</v>
      </c>
      <c r="Y15" s="220" t="e">
        <f>DRE!#REF!</f>
        <v>#REF!</v>
      </c>
      <c r="Z15" s="220" t="e">
        <f>DRE!#REF!</f>
        <v>#REF!</v>
      </c>
      <c r="AA15" s="220" t="e">
        <f>DRE!#REF!</f>
        <v>#REF!</v>
      </c>
      <c r="AB15" s="277" t="e">
        <f>DRE!#REF!</f>
        <v>#REF!</v>
      </c>
      <c r="AC15" s="277" t="e">
        <f>DRE!#REF!</f>
        <v>#REF!</v>
      </c>
      <c r="AD15" s="277" t="e">
        <f>DRE!#REF!</f>
        <v>#REF!</v>
      </c>
      <c r="AE15" s="277" t="e">
        <f>DRE!#REF!</f>
        <v>#REF!</v>
      </c>
      <c r="AF15" s="277" t="e">
        <f>DRE!#REF!</f>
        <v>#REF!</v>
      </c>
      <c r="AG15" s="277" t="e">
        <f>DRE!#REF!</f>
        <v>#REF!</v>
      </c>
      <c r="AH15" s="212"/>
      <c r="AI15" s="287" t="e">
        <f>SUM(V15:AG15)</f>
        <v>#REF!</v>
      </c>
      <c r="AJ15" s="291" t="e">
        <f>AI15/AI13-1</f>
        <v>#REF!</v>
      </c>
      <c r="AK15" s="214"/>
    </row>
    <row r="16" spans="1:43" s="56" customFormat="1" ht="20" customHeight="1">
      <c r="A16" s="137" t="s">
        <v>120</v>
      </c>
      <c r="B16" s="54">
        <f>DRE!D14</f>
        <v>0</v>
      </c>
      <c r="C16" s="54">
        <f>DRE!E14</f>
        <v>0</v>
      </c>
      <c r="D16" s="54">
        <f>DRE!F14</f>
        <v>0</v>
      </c>
      <c r="E16" s="54">
        <f>DRE!G14</f>
        <v>0</v>
      </c>
      <c r="F16" s="54">
        <f>DRE!H14</f>
        <v>936697</v>
      </c>
      <c r="G16" s="54">
        <f>DRE!I14</f>
        <v>255000</v>
      </c>
      <c r="H16" s="54" t="e">
        <f>DRE!#REF!</f>
        <v>#REF!</v>
      </c>
      <c r="I16" s="133"/>
      <c r="J16" s="192" t="s">
        <v>151</v>
      </c>
      <c r="K16" s="303" t="s">
        <v>154</v>
      </c>
      <c r="L16" s="134">
        <f t="shared" ref="L16:Q16" si="15">L13</f>
        <v>4.3099999999999999E-2</v>
      </c>
      <c r="M16" s="134">
        <f t="shared" si="15"/>
        <v>4.5199999999999997E-2</v>
      </c>
      <c r="N16" s="134">
        <f t="shared" si="15"/>
        <v>0.10059999999999999</v>
      </c>
      <c r="O16" s="134">
        <f t="shared" si="15"/>
        <v>5.79E-2</v>
      </c>
      <c r="P16" s="134">
        <f t="shared" si="15"/>
        <v>4.6199999999999998E-2</v>
      </c>
      <c r="Q16" s="134">
        <f t="shared" si="15"/>
        <v>1.2500000000000001E-2</v>
      </c>
      <c r="R16" s="134">
        <v>3.7999999999999999E-2</v>
      </c>
      <c r="T16" s="301"/>
      <c r="U16" s="139" t="s">
        <v>195</v>
      </c>
      <c r="V16" s="131">
        <v>0</v>
      </c>
      <c r="W16" s="131" t="e">
        <f>W15/V15-1</f>
        <v>#REF!</v>
      </c>
      <c r="X16" s="131" t="e">
        <f>X15/W15-1</f>
        <v>#REF!</v>
      </c>
      <c r="Y16" s="131" t="e">
        <f>Y15/X15-1</f>
        <v>#REF!</v>
      </c>
      <c r="Z16" s="131" t="e">
        <f>Z15/Y15-1</f>
        <v>#REF!</v>
      </c>
      <c r="AA16" s="131" t="e">
        <f>AA15/Z15-1</f>
        <v>#REF!</v>
      </c>
      <c r="AB16" s="131" t="e">
        <f t="shared" ref="AB16:AG16" si="16">AB15/Z15-1</f>
        <v>#REF!</v>
      </c>
      <c r="AC16" s="131" t="e">
        <f t="shared" si="16"/>
        <v>#REF!</v>
      </c>
      <c r="AD16" s="131" t="e">
        <f t="shared" si="16"/>
        <v>#REF!</v>
      </c>
      <c r="AE16" s="131" t="e">
        <f t="shared" si="16"/>
        <v>#REF!</v>
      </c>
      <c r="AF16" s="131" t="e">
        <f t="shared" si="16"/>
        <v>#REF!</v>
      </c>
      <c r="AG16" s="131" t="e">
        <f t="shared" si="16"/>
        <v>#REF!</v>
      </c>
      <c r="AH16" s="212"/>
      <c r="AI16" s="214"/>
      <c r="AJ16" s="212"/>
      <c r="AK16" s="212"/>
    </row>
    <row r="17" spans="1:37" s="48" customFormat="1" ht="10" customHeight="1">
      <c r="A17" s="139" t="s">
        <v>195</v>
      </c>
      <c r="B17" s="131">
        <v>0</v>
      </c>
      <c r="C17" s="131">
        <v>0</v>
      </c>
      <c r="D17" s="131">
        <v>0</v>
      </c>
      <c r="E17" s="131">
        <v>0</v>
      </c>
      <c r="F17" s="131">
        <v>0</v>
      </c>
      <c r="G17" s="131">
        <f>G16/F16-1</f>
        <v>-0.72776682320963981</v>
      </c>
      <c r="H17" s="131" t="e">
        <f>H16/F16-1</f>
        <v>#REF!</v>
      </c>
      <c r="I17" s="131"/>
      <c r="J17" s="138"/>
      <c r="K17" s="304"/>
      <c r="L17" s="170">
        <v>0</v>
      </c>
      <c r="M17" s="131">
        <f>M16/L16-1</f>
        <v>4.8723897911832958E-2</v>
      </c>
      <c r="N17" s="131">
        <f>N16/M16-1</f>
        <v>1.2256637168141595</v>
      </c>
      <c r="O17" s="131">
        <f>O16/N16-1</f>
        <v>-0.42445328031809137</v>
      </c>
      <c r="P17" s="131">
        <f>P16/O16-1</f>
        <v>-0.20207253886010368</v>
      </c>
      <c r="Q17" s="131">
        <f>Q16/P16-1</f>
        <v>-0.72943722943722933</v>
      </c>
      <c r="R17" s="131">
        <f>R16/P16-1</f>
        <v>-0.17748917748917747</v>
      </c>
      <c r="T17" s="302"/>
      <c r="U17" s="185" t="s">
        <v>194</v>
      </c>
      <c r="V17" s="186" t="e">
        <f t="shared" ref="V17:AG17" si="17">V15/V13-1</f>
        <v>#REF!</v>
      </c>
      <c r="W17" s="186" t="e">
        <f t="shared" si="17"/>
        <v>#REF!</v>
      </c>
      <c r="X17" s="186" t="e">
        <f t="shared" si="17"/>
        <v>#REF!</v>
      </c>
      <c r="Y17" s="186" t="e">
        <f t="shared" si="17"/>
        <v>#REF!</v>
      </c>
      <c r="Z17" s="186" t="e">
        <f t="shared" si="17"/>
        <v>#REF!</v>
      </c>
      <c r="AA17" s="186" t="e">
        <f t="shared" si="17"/>
        <v>#REF!</v>
      </c>
      <c r="AB17" s="186" t="e">
        <f t="shared" si="17"/>
        <v>#REF!</v>
      </c>
      <c r="AC17" s="186" t="e">
        <f t="shared" si="17"/>
        <v>#REF!</v>
      </c>
      <c r="AD17" s="186" t="e">
        <f t="shared" si="17"/>
        <v>#REF!</v>
      </c>
      <c r="AE17" s="186" t="e">
        <f t="shared" si="17"/>
        <v>#REF!</v>
      </c>
      <c r="AF17" s="186" t="e">
        <f t="shared" si="17"/>
        <v>#REF!</v>
      </c>
      <c r="AG17" s="186" t="e">
        <f t="shared" si="17"/>
        <v>#REF!</v>
      </c>
      <c r="AH17" s="213"/>
      <c r="AI17" s="214"/>
      <c r="AJ17" s="213"/>
      <c r="AK17" s="213"/>
    </row>
    <row r="18" spans="1:37" s="184" customFormat="1" ht="10" customHeight="1">
      <c r="A18" s="185" t="s">
        <v>194</v>
      </c>
      <c r="B18" s="186">
        <f t="shared" ref="B18:H18" si="18">B16/B7</f>
        <v>0</v>
      </c>
      <c r="C18" s="186">
        <f t="shared" si="18"/>
        <v>0</v>
      </c>
      <c r="D18" s="186">
        <f t="shared" si="18"/>
        <v>0</v>
      </c>
      <c r="E18" s="186">
        <f t="shared" si="18"/>
        <v>0</v>
      </c>
      <c r="F18" s="186">
        <f t="shared" si="18"/>
        <v>1.4099216053787347E-2</v>
      </c>
      <c r="G18" s="186">
        <f>G16/G7</f>
        <v>4.0236496994880975E-3</v>
      </c>
      <c r="H18" s="186" t="e">
        <f t="shared" si="18"/>
        <v>#REF!</v>
      </c>
      <c r="I18" s="187"/>
      <c r="J18" s="189"/>
      <c r="K18" s="190"/>
      <c r="L18" s="191"/>
      <c r="M18" s="191"/>
      <c r="N18" s="191"/>
      <c r="O18" s="191"/>
      <c r="P18" s="191"/>
      <c r="Q18" s="191"/>
      <c r="R18" s="191"/>
      <c r="T18" s="300" t="s">
        <v>224</v>
      </c>
      <c r="U18" s="219" t="s">
        <v>223</v>
      </c>
      <c r="V18" s="222">
        <f>V13+V8+V3</f>
        <v>9500000</v>
      </c>
      <c r="W18" s="222">
        <f t="shared" ref="W18:AG18" si="19">W13+W8+W3</f>
        <v>11700000</v>
      </c>
      <c r="X18" s="222">
        <f t="shared" si="19"/>
        <v>12600000</v>
      </c>
      <c r="Y18" s="222">
        <f t="shared" si="19"/>
        <v>12400000</v>
      </c>
      <c r="Z18" s="222">
        <f t="shared" si="19"/>
        <v>13600000</v>
      </c>
      <c r="AA18" s="222">
        <f t="shared" si="19"/>
        <v>13600000</v>
      </c>
      <c r="AB18" s="222">
        <f t="shared" si="19"/>
        <v>14000000</v>
      </c>
      <c r="AC18" s="222">
        <f t="shared" si="19"/>
        <v>15600000</v>
      </c>
      <c r="AD18" s="222">
        <f t="shared" si="19"/>
        <v>15000000</v>
      </c>
      <c r="AE18" s="222">
        <f t="shared" si="19"/>
        <v>13900000</v>
      </c>
      <c r="AF18" s="222">
        <f t="shared" si="19"/>
        <v>12500000</v>
      </c>
      <c r="AG18" s="222">
        <f t="shared" si="19"/>
        <v>9700000</v>
      </c>
      <c r="AH18" s="214"/>
      <c r="AI18" s="287">
        <f>SUM(V18:AG18)</f>
        <v>154100000</v>
      </c>
      <c r="AJ18" s="214"/>
      <c r="AK18" s="214"/>
    </row>
    <row r="19" spans="1:37">
      <c r="T19" s="301"/>
      <c r="U19" s="218"/>
      <c r="V19" s="131">
        <v>0</v>
      </c>
      <c r="W19" s="131">
        <f t="shared" ref="W19:AG19" si="20">W18/V18-1</f>
        <v>0.23157894736842111</v>
      </c>
      <c r="X19" s="131">
        <f t="shared" si="20"/>
        <v>7.6923076923076872E-2</v>
      </c>
      <c r="Y19" s="131">
        <f t="shared" si="20"/>
        <v>-1.5873015873015928E-2</v>
      </c>
      <c r="Z19" s="131">
        <f t="shared" si="20"/>
        <v>9.6774193548387011E-2</v>
      </c>
      <c r="AA19" s="131">
        <f t="shared" si="20"/>
        <v>0</v>
      </c>
      <c r="AB19" s="131">
        <f t="shared" si="20"/>
        <v>2.9411764705882248E-2</v>
      </c>
      <c r="AC19" s="131">
        <f t="shared" si="20"/>
        <v>0.11428571428571432</v>
      </c>
      <c r="AD19" s="131">
        <f t="shared" si="20"/>
        <v>-3.8461538461538436E-2</v>
      </c>
      <c r="AE19" s="131">
        <f t="shared" si="20"/>
        <v>-7.3333333333333361E-2</v>
      </c>
      <c r="AF19" s="131">
        <f t="shared" si="20"/>
        <v>-0.10071942446043169</v>
      </c>
      <c r="AG19" s="131">
        <f t="shared" si="20"/>
        <v>-0.22399999999999998</v>
      </c>
      <c r="AI19" s="214"/>
    </row>
    <row r="20" spans="1:37">
      <c r="T20" s="301"/>
      <c r="U20" s="217" t="s">
        <v>222</v>
      </c>
      <c r="V20" s="220" t="e">
        <f>V5+V10+V15</f>
        <v>#REF!</v>
      </c>
      <c r="W20" s="220" t="e">
        <f t="shared" ref="W20" si="21">W5+W10+W15</f>
        <v>#REF!</v>
      </c>
      <c r="X20" s="220" t="e">
        <f>X5+X10+X15</f>
        <v>#REF!</v>
      </c>
      <c r="Y20" s="220" t="e">
        <f>Y5+Y10+Y15</f>
        <v>#REF!</v>
      </c>
      <c r="Z20" s="220" t="e">
        <f t="shared" ref="Z20:AG20" si="22">Z5+Z10+Z15</f>
        <v>#REF!</v>
      </c>
      <c r="AA20" s="220" t="e">
        <f t="shared" si="22"/>
        <v>#REF!</v>
      </c>
      <c r="AB20" s="220" t="e">
        <f t="shared" si="22"/>
        <v>#REF!</v>
      </c>
      <c r="AC20" s="220" t="e">
        <f t="shared" si="22"/>
        <v>#REF!</v>
      </c>
      <c r="AD20" s="220" t="e">
        <f t="shared" si="22"/>
        <v>#REF!</v>
      </c>
      <c r="AE20" s="220" t="e">
        <f t="shared" si="22"/>
        <v>#REF!</v>
      </c>
      <c r="AF20" s="220" t="e">
        <f t="shared" si="22"/>
        <v>#REF!</v>
      </c>
      <c r="AG20" s="220" t="e">
        <f t="shared" si="22"/>
        <v>#REF!</v>
      </c>
      <c r="AH20" s="212"/>
      <c r="AI20" s="287" t="e">
        <f>SUM(V20:AG20)</f>
        <v>#REF!</v>
      </c>
      <c r="AJ20" s="292" t="e">
        <f>AI20-AI18</f>
        <v>#REF!</v>
      </c>
    </row>
    <row r="21" spans="1:37">
      <c r="H21" s="203"/>
      <c r="T21" s="301"/>
      <c r="U21" s="139" t="s">
        <v>195</v>
      </c>
      <c r="V21" s="131">
        <v>0</v>
      </c>
      <c r="W21" s="131" t="e">
        <f>W20/V20-1</f>
        <v>#REF!</v>
      </c>
      <c r="X21" s="131" t="e">
        <f>X20/W20-1</f>
        <v>#REF!</v>
      </c>
      <c r="Y21" s="131" t="e">
        <f>Y20/X20-1</f>
        <v>#REF!</v>
      </c>
      <c r="Z21" s="131" t="e">
        <f>Z20/Y20-1</f>
        <v>#REF!</v>
      </c>
      <c r="AA21" s="131" t="e">
        <f>AA20/Z20-1</f>
        <v>#REF!</v>
      </c>
      <c r="AB21" s="131" t="e">
        <f t="shared" ref="AB21:AG21" si="23">AB20/Z20-1</f>
        <v>#REF!</v>
      </c>
      <c r="AC21" s="131" t="e">
        <f t="shared" si="23"/>
        <v>#REF!</v>
      </c>
      <c r="AD21" s="131" t="e">
        <f t="shared" si="23"/>
        <v>#REF!</v>
      </c>
      <c r="AE21" s="131" t="e">
        <f t="shared" si="23"/>
        <v>#REF!</v>
      </c>
      <c r="AF21" s="131" t="e">
        <f t="shared" si="23"/>
        <v>#REF!</v>
      </c>
      <c r="AG21" s="131" t="e">
        <f t="shared" si="23"/>
        <v>#REF!</v>
      </c>
      <c r="AJ21" s="210" t="e">
        <f>AJ20/AI18</f>
        <v>#REF!</v>
      </c>
    </row>
    <row r="22" spans="1:37">
      <c r="H22" s="8"/>
      <c r="T22" s="302"/>
      <c r="U22" s="185" t="s">
        <v>194</v>
      </c>
      <c r="V22" s="186" t="e">
        <f t="shared" ref="V22:AG22" si="24">V20/V18-1</f>
        <v>#REF!</v>
      </c>
      <c r="W22" s="186" t="e">
        <f t="shared" si="24"/>
        <v>#REF!</v>
      </c>
      <c r="X22" s="186" t="e">
        <f t="shared" si="24"/>
        <v>#REF!</v>
      </c>
      <c r="Y22" s="186" t="e">
        <f t="shared" si="24"/>
        <v>#REF!</v>
      </c>
      <c r="Z22" s="186" t="e">
        <f t="shared" si="24"/>
        <v>#REF!</v>
      </c>
      <c r="AA22" s="186" t="e">
        <f t="shared" si="24"/>
        <v>#REF!</v>
      </c>
      <c r="AB22" s="186" t="e">
        <f t="shared" si="24"/>
        <v>#REF!</v>
      </c>
      <c r="AC22" s="186" t="e">
        <f t="shared" si="24"/>
        <v>#REF!</v>
      </c>
      <c r="AD22" s="186" t="e">
        <f t="shared" si="24"/>
        <v>#REF!</v>
      </c>
      <c r="AE22" s="186" t="e">
        <f>AE20/AE18-1</f>
        <v>#REF!</v>
      </c>
      <c r="AF22" s="186" t="e">
        <f t="shared" si="24"/>
        <v>#REF!</v>
      </c>
      <c r="AG22" s="186" t="e">
        <f t="shared" si="24"/>
        <v>#REF!</v>
      </c>
      <c r="AI22" s="292" t="e">
        <f>AI20/12</f>
        <v>#REF!</v>
      </c>
    </row>
    <row r="23" spans="1:37">
      <c r="G23" s="132"/>
      <c r="H23" s="204"/>
      <c r="R23" s="1">
        <v>114.93</v>
      </c>
      <c r="V23" s="216"/>
      <c r="Z23" s="278"/>
      <c r="AI23" s="210" t="e">
        <f>AJ20/AI22</f>
        <v>#REF!</v>
      </c>
    </row>
    <row r="24" spans="1:37">
      <c r="G24" s="7"/>
      <c r="R24" s="289">
        <v>4.6199999999999998E-2</v>
      </c>
      <c r="S24" s="1">
        <f>R23*R24</f>
        <v>5.3097659999999998</v>
      </c>
      <c r="T24" s="2">
        <f>R23+S24</f>
        <v>120.239766</v>
      </c>
      <c r="V24" s="283"/>
      <c r="Z24" s="279"/>
    </row>
    <row r="25" spans="1:37">
      <c r="G25" s="141"/>
      <c r="R25" s="289">
        <v>4.8300000000000003E-2</v>
      </c>
      <c r="S25" s="1">
        <f>(S24+R23)*R25</f>
        <v>5.8075806978000006</v>
      </c>
      <c r="T25" s="2">
        <f>S25+T24</f>
        <v>126.04734669780001</v>
      </c>
      <c r="V25" s="284"/>
      <c r="X25" s="141"/>
      <c r="Y25" s="141"/>
      <c r="Z25" s="280"/>
    </row>
    <row r="26" spans="1:37">
      <c r="T26" s="2">
        <f>T24+T25</f>
        <v>246.28711269780001</v>
      </c>
      <c r="V26" s="284"/>
      <c r="Y26" s="141"/>
      <c r="Z26" s="281"/>
      <c r="AA26" s="226"/>
      <c r="AB26" s="141"/>
      <c r="AE26" s="2" t="e">
        <f>AE15/AE13-1</f>
        <v>#REF!</v>
      </c>
    </row>
    <row r="27" spans="1:37">
      <c r="T27" s="16">
        <f>T26-((F3+G3)/1000000)</f>
        <v>33.010918437800029</v>
      </c>
      <c r="V27" s="284">
        <f>SUM(V13:AE13)</f>
        <v>19700000</v>
      </c>
      <c r="X27" s="141"/>
      <c r="Y27" s="2" t="s">
        <v>237</v>
      </c>
      <c r="Z27" s="278"/>
      <c r="AA27" s="141"/>
      <c r="AB27" s="141"/>
      <c r="AC27" s="141"/>
      <c r="AE27" s="2" t="e">
        <f>AE15/AD15-1</f>
        <v>#REF!</v>
      </c>
    </row>
    <row r="28" spans="1:37">
      <c r="T28" s="2">
        <f>T27/T26</f>
        <v>0.13403429061391933</v>
      </c>
      <c r="V28" s="285"/>
      <c r="Z28" s="280"/>
      <c r="AE28" s="141" t="e">
        <f>V29/10</f>
        <v>#REF!</v>
      </c>
    </row>
    <row r="29" spans="1:37">
      <c r="V29" s="284" t="e">
        <f>SUM(V15:AE15)</f>
        <v>#REF!</v>
      </c>
      <c r="W29" s="141"/>
      <c r="X29" s="141"/>
      <c r="Z29" s="280"/>
      <c r="AA29" s="226"/>
      <c r="AE29" s="2" t="e">
        <f>AE15/AE28-1</f>
        <v>#REF!</v>
      </c>
    </row>
    <row r="30" spans="1:37">
      <c r="V30" s="286" t="e">
        <f>V27-V29</f>
        <v>#REF!</v>
      </c>
      <c r="Z30" s="278"/>
      <c r="AE30" s="2">
        <f>102/10</f>
        <v>10.199999999999999</v>
      </c>
    </row>
    <row r="31" spans="1:37">
      <c r="V31" s="35" t="e">
        <f>V29/V27-1</f>
        <v>#REF!</v>
      </c>
      <c r="Z31" s="278"/>
      <c r="AE31" s="2">
        <v>9.27</v>
      </c>
    </row>
    <row r="32" spans="1:37">
      <c r="V32" s="35"/>
      <c r="Z32" s="278"/>
      <c r="AE32" s="2">
        <f>AE31/AE30-1</f>
        <v>-9.1176470588235303E-2</v>
      </c>
    </row>
    <row r="33" spans="9:26">
      <c r="Z33" s="280"/>
    </row>
    <row r="34" spans="9:26">
      <c r="X34" s="141"/>
      <c r="Z34" s="280"/>
    </row>
    <row r="35" spans="9:26">
      <c r="Z35" s="280"/>
    </row>
    <row r="36" spans="9:26">
      <c r="Z36" s="141"/>
    </row>
    <row r="37" spans="9:26">
      <c r="Z37" s="141"/>
    </row>
    <row r="42" spans="9:26">
      <c r="I42" s="4"/>
      <c r="J42" s="4"/>
      <c r="K42" s="4"/>
      <c r="L42" s="4"/>
      <c r="M42" s="4"/>
      <c r="N42" s="4"/>
      <c r="O42" s="4"/>
      <c r="P42" s="4"/>
    </row>
    <row r="43" spans="9:26">
      <c r="I43" s="5"/>
      <c r="J43" s="5"/>
      <c r="K43" s="5"/>
      <c r="L43" s="5"/>
      <c r="M43" s="5"/>
      <c r="N43" s="5"/>
      <c r="O43" s="5"/>
      <c r="P43" s="5"/>
    </row>
    <row r="44" spans="9:26">
      <c r="I44" s="6"/>
      <c r="J44" s="6"/>
      <c r="K44" s="6"/>
      <c r="L44" s="6"/>
      <c r="M44" s="6"/>
      <c r="N44" s="6"/>
      <c r="O44" s="6"/>
      <c r="P44" s="6"/>
    </row>
    <row r="61" spans="9:16">
      <c r="I61" s="4"/>
      <c r="J61" s="4"/>
      <c r="K61" s="4"/>
      <c r="L61" s="4"/>
      <c r="M61" s="4"/>
      <c r="N61" s="4"/>
      <c r="O61" s="4"/>
      <c r="P61" s="4"/>
    </row>
    <row r="62" spans="9:16">
      <c r="I62" s="5"/>
      <c r="J62" s="5"/>
      <c r="K62" s="5"/>
      <c r="L62" s="5"/>
      <c r="M62" s="5"/>
      <c r="N62" s="5"/>
      <c r="O62" s="5"/>
      <c r="P62" s="5"/>
    </row>
    <row r="63" spans="9:16">
      <c r="I63" s="6"/>
      <c r="J63" s="6"/>
      <c r="K63" s="6"/>
      <c r="L63" s="6"/>
      <c r="M63" s="6"/>
      <c r="N63" s="6"/>
      <c r="O63" s="6"/>
      <c r="P63" s="6"/>
    </row>
    <row r="206" spans="7:7">
      <c r="G206" s="1">
        <f>G205/3</f>
        <v>0</v>
      </c>
    </row>
  </sheetData>
  <mergeCells count="11">
    <mergeCell ref="A1:H1"/>
    <mergeCell ref="K3:K4"/>
    <mergeCell ref="K7:K8"/>
    <mergeCell ref="K10:K11"/>
    <mergeCell ref="K13:K14"/>
    <mergeCell ref="T18:T22"/>
    <mergeCell ref="K16:K17"/>
    <mergeCell ref="K5:K6"/>
    <mergeCell ref="T3:T7"/>
    <mergeCell ref="T8:T12"/>
    <mergeCell ref="T13:T17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C7:F7 H7 H10 H13 H16 D13:F13 D10:F10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A2DC-07FE-1B46-83E1-C936E12DCE93}">
  <dimension ref="A1:S56"/>
  <sheetViews>
    <sheetView showGridLines="0" zoomScale="13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J16" sqref="J16"/>
    </sheetView>
  </sheetViews>
  <sheetFormatPr baseColWidth="10" defaultRowHeight="13"/>
  <cols>
    <col min="1" max="1" width="30.83203125" style="1" customWidth="1"/>
    <col min="2" max="2" width="11.5" style="1" customWidth="1"/>
    <col min="3" max="7" width="10.83203125" style="1"/>
    <col min="8" max="8" width="8.83203125" style="1" customWidth="1"/>
    <col min="9" max="9" width="11.33203125" style="1" customWidth="1"/>
    <col min="10" max="10" width="35.83203125" style="1" customWidth="1"/>
    <col min="11" max="11" width="15.83203125" style="1" customWidth="1"/>
    <col min="12" max="19" width="7.83203125" style="1" customWidth="1"/>
    <col min="20" max="16384" width="10.83203125" style="1"/>
  </cols>
  <sheetData>
    <row r="1" spans="1:19" ht="60" customHeight="1">
      <c r="A1" s="306" t="s">
        <v>95</v>
      </c>
      <c r="B1" s="307"/>
      <c r="C1" s="307"/>
      <c r="D1" s="307"/>
      <c r="E1" s="307"/>
      <c r="F1" s="307"/>
      <c r="G1" s="307"/>
      <c r="H1" s="308"/>
      <c r="L1" s="3"/>
    </row>
    <row r="2" spans="1:19" s="22" customFormat="1" ht="25" customHeight="1">
      <c r="A2" s="18"/>
      <c r="B2" s="207">
        <v>2019</v>
      </c>
      <c r="C2" s="207">
        <v>2020</v>
      </c>
      <c r="D2" s="207">
        <v>2021</v>
      </c>
      <c r="E2" s="207">
        <v>2022</v>
      </c>
      <c r="F2" s="207">
        <v>2023</v>
      </c>
      <c r="G2" s="207">
        <v>2024</v>
      </c>
      <c r="H2" s="208">
        <v>2025</v>
      </c>
      <c r="J2" s="78" t="s">
        <v>80</v>
      </c>
      <c r="K2" s="79" t="s">
        <v>100</v>
      </c>
      <c r="L2" s="79" t="s">
        <v>96</v>
      </c>
      <c r="M2" s="80">
        <f t="shared" ref="M2:R2" si="0">B2</f>
        <v>2019</v>
      </c>
      <c r="N2" s="80">
        <f t="shared" si="0"/>
        <v>2020</v>
      </c>
      <c r="O2" s="80">
        <f t="shared" si="0"/>
        <v>2021</v>
      </c>
      <c r="P2" s="80">
        <f t="shared" si="0"/>
        <v>2022</v>
      </c>
      <c r="Q2" s="80">
        <f t="shared" si="0"/>
        <v>2023</v>
      </c>
      <c r="R2" s="80">
        <f t="shared" si="0"/>
        <v>2024</v>
      </c>
      <c r="S2" s="81">
        <f t="shared" ref="S2" si="1">H2</f>
        <v>2025</v>
      </c>
    </row>
    <row r="3" spans="1:19" s="56" customFormat="1" ht="20" customHeight="1">
      <c r="A3" s="137" t="s">
        <v>156</v>
      </c>
      <c r="B3" s="61">
        <f>('Balanço Patrimonial'!B51)/('Balanço Patrimonial'!B54+'Balanço Patrimonial'!B90)</f>
        <v>1.1556642668624335</v>
      </c>
      <c r="C3" s="61">
        <f>('Balanço Patrimonial'!C51)/('Balanço Patrimonial'!C54+'Balanço Patrimonial'!C90)</f>
        <v>1.1822698515989676</v>
      </c>
      <c r="D3" s="61">
        <f>('Balanço Patrimonial'!D51)/('Balanço Patrimonial'!D54+'Balanço Patrimonial'!D90)</f>
        <v>1.1568971430627557</v>
      </c>
      <c r="E3" s="61">
        <f>('Balanço Patrimonial'!E51)/('Balanço Patrimonial'!E54+'Balanço Patrimonial'!E90)</f>
        <v>1.1270420771052627</v>
      </c>
      <c r="F3" s="61">
        <f>('Balanço Patrimonial'!F51)/('Balanço Patrimonial'!F54+'Balanço Patrimonial'!F90)</f>
        <v>1.0941659042624905</v>
      </c>
      <c r="G3" s="61">
        <f>('Balanço Patrimonial'!G51)/('Balanço Patrimonial'!G54+'Balanço Patrimonial'!G90)</f>
        <v>1.0268460522210681</v>
      </c>
      <c r="H3" s="61">
        <f>('Balanço Patrimonial'!H51)/('Balanço Patrimonial'!H54+'Balanço Patrimonial'!H90)</f>
        <v>1.0144332405986523</v>
      </c>
      <c r="J3" s="311" t="s">
        <v>74</v>
      </c>
      <c r="K3" s="311" t="s">
        <v>153</v>
      </c>
      <c r="L3" s="309" t="s">
        <v>117</v>
      </c>
      <c r="M3" s="82">
        <v>1</v>
      </c>
      <c r="N3" s="82">
        <v>1</v>
      </c>
      <c r="O3" s="82">
        <v>1</v>
      </c>
      <c r="P3" s="82">
        <v>1</v>
      </c>
      <c r="Q3" s="82">
        <v>1</v>
      </c>
      <c r="R3" s="82">
        <v>1</v>
      </c>
      <c r="S3" s="82">
        <v>1</v>
      </c>
    </row>
    <row r="4" spans="1:19" s="46" customFormat="1" ht="10" customHeight="1">
      <c r="A4" s="139" t="s">
        <v>195</v>
      </c>
      <c r="B4" s="44">
        <v>0</v>
      </c>
      <c r="C4" s="44">
        <f t="shared" ref="C4:H4" si="2">C3/B3-1</f>
        <v>2.3021897881092102E-2</v>
      </c>
      <c r="D4" s="44">
        <f t="shared" si="2"/>
        <v>-2.1461012899801513E-2</v>
      </c>
      <c r="E4" s="44">
        <f t="shared" si="2"/>
        <v>-2.5806154104983769E-2</v>
      </c>
      <c r="F4" s="63">
        <f t="shared" si="2"/>
        <v>-2.917031538628323E-2</v>
      </c>
      <c r="G4" s="63">
        <f t="shared" si="2"/>
        <v>-6.1526183350411157E-2</v>
      </c>
      <c r="H4" s="63">
        <f t="shared" si="2"/>
        <v>-1.2088288790288337E-2</v>
      </c>
      <c r="J4" s="312"/>
      <c r="K4" s="312"/>
      <c r="L4" s="310"/>
      <c r="M4" s="83"/>
      <c r="N4" s="83"/>
      <c r="O4" s="83"/>
      <c r="P4" s="83"/>
      <c r="Q4" s="83"/>
      <c r="R4" s="83"/>
      <c r="S4" s="83"/>
    </row>
    <row r="5" spans="1:19" s="56" customFormat="1" ht="20" customHeight="1">
      <c r="A5" s="137" t="s">
        <v>157</v>
      </c>
      <c r="B5" s="61">
        <f>('Balanço Patrimonial'!B3)/('Balanço Patrimonial'!B54)</f>
        <v>1.6231740336984086</v>
      </c>
      <c r="C5" s="61">
        <f>('Balanço Patrimonial'!C3)/('Balanço Patrimonial'!C54)</f>
        <v>1.5792623085975654</v>
      </c>
      <c r="D5" s="61">
        <f>('Balanço Patrimonial'!D3)/('Balanço Patrimonial'!D54)</f>
        <v>1.1422298050194026</v>
      </c>
      <c r="E5" s="61">
        <f>('Balanço Patrimonial'!E3)/('Balanço Patrimonial'!E54)</f>
        <v>1.0720040585921169</v>
      </c>
      <c r="F5" s="61">
        <f>('Balanço Patrimonial'!F3)/('Balanço Patrimonial'!F54)</f>
        <v>1.0391099353030051</v>
      </c>
      <c r="G5" s="61">
        <f>('Balanço Patrimonial'!G3)/('Balanço Patrimonial'!G54)</f>
        <v>0.94025940410170894</v>
      </c>
      <c r="H5" s="61">
        <f>('Balanço Patrimonial'!H3)/('Balanço Patrimonial'!H54)</f>
        <v>0.92264903076923555</v>
      </c>
      <c r="J5" s="311" t="s">
        <v>75</v>
      </c>
      <c r="K5" s="311" t="s">
        <v>44</v>
      </c>
      <c r="L5" s="309" t="s">
        <v>117</v>
      </c>
      <c r="M5" s="82">
        <v>1</v>
      </c>
      <c r="N5" s="82">
        <v>1</v>
      </c>
      <c r="O5" s="82">
        <v>1</v>
      </c>
      <c r="P5" s="82">
        <v>1</v>
      </c>
      <c r="Q5" s="82">
        <v>1</v>
      </c>
      <c r="R5" s="82">
        <v>1</v>
      </c>
      <c r="S5" s="82">
        <v>1</v>
      </c>
    </row>
    <row r="6" spans="1:19" s="46" customFormat="1" ht="10" customHeight="1">
      <c r="A6" s="139" t="s">
        <v>195</v>
      </c>
      <c r="B6" s="44">
        <v>0</v>
      </c>
      <c r="C6" s="44">
        <f t="shared" ref="C6:H6" si="3">C5/B5-1</f>
        <v>-2.7052998747639001E-2</v>
      </c>
      <c r="D6" s="44">
        <f t="shared" si="3"/>
        <v>-0.27673205470613771</v>
      </c>
      <c r="E6" s="44">
        <f t="shared" si="3"/>
        <v>-6.1481276463533407E-2</v>
      </c>
      <c r="F6" s="63">
        <f t="shared" si="3"/>
        <v>-3.0684700328758363E-2</v>
      </c>
      <c r="G6" s="63">
        <f t="shared" si="3"/>
        <v>-9.5130002940902791E-2</v>
      </c>
      <c r="H6" s="63">
        <f t="shared" si="3"/>
        <v>-1.872927115182399E-2</v>
      </c>
      <c r="J6" s="312"/>
      <c r="K6" s="312"/>
      <c r="L6" s="310"/>
      <c r="M6" s="83"/>
      <c r="N6" s="83"/>
      <c r="O6" s="83"/>
      <c r="P6" s="83"/>
      <c r="Q6" s="83"/>
      <c r="R6" s="83"/>
      <c r="S6" s="83"/>
    </row>
    <row r="7" spans="1:19" s="56" customFormat="1" ht="20" customHeight="1">
      <c r="A7" s="137" t="s">
        <v>158</v>
      </c>
      <c r="B7" s="61">
        <f>('Balanço Patrimonial'!B3-'Balanço Patrimonial'!B27)/('Balanço Patrimonial'!B54)</f>
        <v>1.2982473777197456</v>
      </c>
      <c r="C7" s="61">
        <f>('Balanço Patrimonial'!C3-'Balanço Patrimonial'!C27)/('Balanço Patrimonial'!C54)</f>
        <v>1.2547803589384265</v>
      </c>
      <c r="D7" s="61">
        <f>('Balanço Patrimonial'!D3-'Balanço Patrimonial'!D27)/('Balanço Patrimonial'!D54)</f>
        <v>0.68675548235211159</v>
      </c>
      <c r="E7" s="61">
        <f>('Balanço Patrimonial'!E3-'Balanço Patrimonial'!E27)/('Balanço Patrimonial'!E54)</f>
        <v>0.68514281060705018</v>
      </c>
      <c r="F7" s="61">
        <f>('Balanço Patrimonial'!F3-'Balanço Patrimonial'!F27)/('Balanço Patrimonial'!F54)</f>
        <v>0.64368174149843682</v>
      </c>
      <c r="G7" s="61">
        <f>('Balanço Patrimonial'!G3-'Balanço Patrimonial'!G27)/('Balanço Patrimonial'!G54)</f>
        <v>0.73646074868596445</v>
      </c>
      <c r="H7" s="61">
        <f>('Balanço Patrimonial'!H3-'Balanço Patrimonial'!H27)/('Balanço Patrimonial'!H54)</f>
        <v>0.71851880147267511</v>
      </c>
      <c r="J7" s="311" t="s">
        <v>76</v>
      </c>
      <c r="K7" s="311" t="s">
        <v>45</v>
      </c>
      <c r="L7" s="309" t="s">
        <v>117</v>
      </c>
      <c r="M7" s="82">
        <v>1</v>
      </c>
      <c r="N7" s="82">
        <v>1</v>
      </c>
      <c r="O7" s="82">
        <v>1</v>
      </c>
      <c r="P7" s="82">
        <v>1</v>
      </c>
      <c r="Q7" s="82">
        <v>1</v>
      </c>
      <c r="R7" s="82">
        <v>1</v>
      </c>
      <c r="S7" s="82">
        <v>1</v>
      </c>
    </row>
    <row r="8" spans="1:19" s="46" customFormat="1" ht="10" customHeight="1">
      <c r="A8" s="139" t="s">
        <v>195</v>
      </c>
      <c r="B8" s="44">
        <v>0</v>
      </c>
      <c r="C8" s="44">
        <f t="shared" ref="C8:H8" si="4">C7/B7-1</f>
        <v>-3.3481306819710288E-2</v>
      </c>
      <c r="D8" s="44">
        <f t="shared" si="4"/>
        <v>-0.45268868972963305</v>
      </c>
      <c r="E8" s="44">
        <f t="shared" si="4"/>
        <v>-2.348247355140276E-3</v>
      </c>
      <c r="F8" s="63">
        <f t="shared" si="4"/>
        <v>-6.0514491966832451E-2</v>
      </c>
      <c r="G8" s="63">
        <f t="shared" si="4"/>
        <v>0.14413801294339335</v>
      </c>
      <c r="H8" s="63">
        <f t="shared" si="4"/>
        <v>-2.436239439142196E-2</v>
      </c>
      <c r="J8" s="312"/>
      <c r="K8" s="312"/>
      <c r="L8" s="310"/>
      <c r="M8" s="83"/>
      <c r="N8" s="83"/>
      <c r="O8" s="83"/>
      <c r="P8" s="83"/>
      <c r="Q8" s="83"/>
      <c r="R8" s="83"/>
      <c r="S8" s="83"/>
    </row>
    <row r="9" spans="1:19" s="56" customFormat="1" ht="20" customHeight="1">
      <c r="A9" s="137" t="s">
        <v>159</v>
      </c>
      <c r="B9" s="61">
        <f>('Balanço Patrimonial'!B6+'Balanço Patrimonial'!B9+'Balanço Patrimonial'!B12)/'Balanço Patrimonial'!B54</f>
        <v>0.14980812979486499</v>
      </c>
      <c r="C9" s="61">
        <f>('Balanço Patrimonial'!C6+'Balanço Patrimonial'!C9+'Balanço Patrimonial'!C12)/'Balanço Patrimonial'!C54</f>
        <v>1.4434590501325908E-2</v>
      </c>
      <c r="D9" s="61">
        <f>('Balanço Patrimonial'!D6+'Balanço Patrimonial'!D9+'Balanço Patrimonial'!D12)/'Balanço Patrimonial'!D54</f>
        <v>2.1607950837579833E-2</v>
      </c>
      <c r="E9" s="61">
        <f>('Balanço Patrimonial'!E6+'Balanço Patrimonial'!E9+'Balanço Patrimonial'!E12)/'Balanço Patrimonial'!E54</f>
        <v>3.9825210205431151E-2</v>
      </c>
      <c r="F9" s="61">
        <f>('Balanço Patrimonial'!F6+'Balanço Patrimonial'!F9+'Balanço Patrimonial'!F12)/'Balanço Patrimonial'!F54</f>
        <v>3.1431969305825612E-2</v>
      </c>
      <c r="G9" s="61">
        <f>('Balanço Patrimonial'!G6+'Balanço Patrimonial'!G9+'Balanço Patrimonial'!G12)/'Balanço Patrimonial'!G54</f>
        <v>7.2527380500144858E-2</v>
      </c>
      <c r="H9" s="61">
        <f>('Balanço Patrimonial'!H6+'Balanço Patrimonial'!H9+'Balanço Patrimonial'!H12)/'Balanço Patrimonial'!H54</f>
        <v>6.9649973755960159E-2</v>
      </c>
      <c r="J9" s="311" t="s">
        <v>77</v>
      </c>
      <c r="K9" s="311" t="s">
        <v>46</v>
      </c>
      <c r="L9" s="309" t="s">
        <v>117</v>
      </c>
      <c r="M9" s="82">
        <v>1</v>
      </c>
      <c r="N9" s="82">
        <v>1</v>
      </c>
      <c r="O9" s="82">
        <v>1</v>
      </c>
      <c r="P9" s="82">
        <v>1</v>
      </c>
      <c r="Q9" s="82">
        <v>1</v>
      </c>
      <c r="R9" s="82">
        <v>1</v>
      </c>
      <c r="S9" s="82">
        <v>1</v>
      </c>
    </row>
    <row r="10" spans="1:19" s="46" customFormat="1" ht="10" customHeight="1">
      <c r="A10" s="140" t="s">
        <v>195</v>
      </c>
      <c r="B10" s="44">
        <v>0</v>
      </c>
      <c r="C10" s="44">
        <f t="shared" ref="C10:H10" si="5">C9/B9-1</f>
        <v>-0.90364614710101876</v>
      </c>
      <c r="D10" s="44">
        <f t="shared" si="5"/>
        <v>0.4969562756626178</v>
      </c>
      <c r="E10" s="44">
        <f t="shared" si="5"/>
        <v>0.84308130395078762</v>
      </c>
      <c r="F10" s="63">
        <f t="shared" si="5"/>
        <v>-0.21075195476208464</v>
      </c>
      <c r="G10" s="63">
        <f t="shared" si="5"/>
        <v>1.3074399123539044</v>
      </c>
      <c r="H10" s="63">
        <f t="shared" si="5"/>
        <v>-3.9673385752280854E-2</v>
      </c>
      <c r="J10" s="312"/>
      <c r="K10" s="312"/>
      <c r="L10" s="310"/>
      <c r="M10" s="83"/>
      <c r="N10" s="83"/>
      <c r="O10" s="83"/>
      <c r="P10" s="83"/>
      <c r="Q10" s="83"/>
      <c r="R10" s="83"/>
      <c r="S10" s="83"/>
    </row>
    <row r="35" spans="6:9">
      <c r="F35" s="4"/>
      <c r="G35" s="4"/>
      <c r="H35" s="4"/>
      <c r="I35" s="4"/>
    </row>
    <row r="36" spans="6:9">
      <c r="F36" s="5"/>
      <c r="G36" s="5"/>
      <c r="H36" s="5"/>
      <c r="I36" s="5"/>
    </row>
    <row r="37" spans="6:9">
      <c r="F37" s="6"/>
      <c r="G37" s="6"/>
      <c r="H37" s="6"/>
      <c r="I37" s="6"/>
    </row>
    <row r="54" spans="6:9">
      <c r="F54" s="4"/>
      <c r="G54" s="4"/>
      <c r="H54" s="4"/>
      <c r="I54" s="4"/>
    </row>
    <row r="55" spans="6:9">
      <c r="F55" s="5"/>
      <c r="G55" s="5"/>
      <c r="H55" s="5"/>
      <c r="I55" s="5"/>
    </row>
    <row r="56" spans="6:9">
      <c r="F56" s="6"/>
      <c r="G56" s="6"/>
      <c r="H56" s="6"/>
      <c r="I56" s="6"/>
    </row>
  </sheetData>
  <mergeCells count="13">
    <mergeCell ref="A1:H1"/>
    <mergeCell ref="L3:L4"/>
    <mergeCell ref="L5:L6"/>
    <mergeCell ref="L7:L8"/>
    <mergeCell ref="L9:L10"/>
    <mergeCell ref="J3:J4"/>
    <mergeCell ref="J5:J6"/>
    <mergeCell ref="J7:J8"/>
    <mergeCell ref="J9:J10"/>
    <mergeCell ref="K3:K4"/>
    <mergeCell ref="K5:K6"/>
    <mergeCell ref="K7:K8"/>
    <mergeCell ref="K9:K10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7275-081F-C847-88BC-D3254F988B02}">
  <dimension ref="A1:S64"/>
  <sheetViews>
    <sheetView showGridLines="0" zoomScale="19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baseColWidth="10" defaultRowHeight="13"/>
  <cols>
    <col min="1" max="1" width="30.83203125" style="43" customWidth="1"/>
    <col min="2" max="8" width="15.83203125" style="43" customWidth="1"/>
    <col min="9" max="9" width="10.83203125" style="43"/>
    <col min="10" max="10" width="35.83203125" style="72" customWidth="1"/>
    <col min="11" max="11" width="15.83203125" style="72" customWidth="1"/>
    <col min="12" max="19" width="7.83203125" style="72" customWidth="1"/>
    <col min="20" max="16384" width="10.83203125" style="43"/>
  </cols>
  <sheetData>
    <row r="1" spans="1:19" ht="60" customHeight="1">
      <c r="A1" s="306" t="s">
        <v>155</v>
      </c>
      <c r="B1" s="307"/>
      <c r="C1" s="307"/>
      <c r="D1" s="307"/>
      <c r="E1" s="307"/>
      <c r="F1" s="307"/>
      <c r="G1" s="307"/>
      <c r="H1" s="308"/>
      <c r="I1" s="67"/>
    </row>
    <row r="2" spans="1:19" s="56" customFormat="1" ht="25" customHeight="1">
      <c r="A2" s="60"/>
      <c r="B2" s="69">
        <v>2019</v>
      </c>
      <c r="C2" s="69">
        <v>2020</v>
      </c>
      <c r="D2" s="69">
        <v>2021</v>
      </c>
      <c r="E2" s="69">
        <v>2022</v>
      </c>
      <c r="F2" s="69">
        <v>2023</v>
      </c>
      <c r="G2" s="69">
        <v>2024</v>
      </c>
      <c r="H2" s="69">
        <v>2025</v>
      </c>
      <c r="I2" s="69"/>
      <c r="J2" s="84" t="s">
        <v>80</v>
      </c>
      <c r="K2" s="84" t="s">
        <v>100</v>
      </c>
      <c r="L2" s="85" t="s">
        <v>96</v>
      </c>
      <c r="M2" s="86">
        <f t="shared" ref="M2:S2" si="0">B2</f>
        <v>2019</v>
      </c>
      <c r="N2" s="86">
        <f t="shared" si="0"/>
        <v>2020</v>
      </c>
      <c r="O2" s="86">
        <f t="shared" si="0"/>
        <v>2021</v>
      </c>
      <c r="P2" s="86">
        <f t="shared" si="0"/>
        <v>2022</v>
      </c>
      <c r="Q2" s="86">
        <f t="shared" si="0"/>
        <v>2023</v>
      </c>
      <c r="R2" s="86">
        <f t="shared" si="0"/>
        <v>2024</v>
      </c>
      <c r="S2" s="86">
        <f t="shared" si="0"/>
        <v>2025</v>
      </c>
    </row>
    <row r="3" spans="1:19" s="56" customFormat="1" ht="20" customHeight="1">
      <c r="A3" s="137" t="s">
        <v>165</v>
      </c>
      <c r="B3" s="77">
        <f>DRE!D40</f>
        <v>0.28291726952925145</v>
      </c>
      <c r="C3" s="77">
        <f>DRE!E40</f>
        <v>0.39084296172585098</v>
      </c>
      <c r="D3" s="77">
        <f>DRE!F40</f>
        <v>0.32884101437114061</v>
      </c>
      <c r="E3" s="77">
        <f>DRE!G40</f>
        <v>0.2563255124000457</v>
      </c>
      <c r="F3" s="77">
        <f>DRE!H40</f>
        <v>0.29775373161203261</v>
      </c>
      <c r="G3" s="77">
        <f>DRE!I40</f>
        <v>0.24369757730171146</v>
      </c>
      <c r="H3" s="77">
        <f>DRE!J40</f>
        <v>0.11068062797906732</v>
      </c>
      <c r="I3" s="71"/>
      <c r="J3" s="192" t="s">
        <v>83</v>
      </c>
      <c r="K3" s="192" t="s">
        <v>91</v>
      </c>
      <c r="L3" s="309" t="s">
        <v>82</v>
      </c>
      <c r="M3" s="103">
        <v>0.35</v>
      </c>
      <c r="N3" s="103">
        <v>0.35</v>
      </c>
      <c r="O3" s="103">
        <v>0.35</v>
      </c>
      <c r="P3" s="103">
        <v>0.35</v>
      </c>
      <c r="Q3" s="103">
        <v>0.35</v>
      </c>
      <c r="R3" s="103">
        <v>0.35</v>
      </c>
      <c r="S3" s="103">
        <v>0.35</v>
      </c>
    </row>
    <row r="4" spans="1:19" s="46" customFormat="1" ht="10" customHeight="1">
      <c r="A4" s="139" t="s">
        <v>195</v>
      </c>
      <c r="B4" s="44">
        <v>0</v>
      </c>
      <c r="C4" s="44">
        <f t="shared" ref="C4:H4" si="1">C3/B3-1</f>
        <v>0.38147438781725151</v>
      </c>
      <c r="D4" s="44">
        <f t="shared" si="1"/>
        <v>-0.15863646893096772</v>
      </c>
      <c r="E4" s="44">
        <f t="shared" si="1"/>
        <v>-0.22051842319538517</v>
      </c>
      <c r="F4" s="63">
        <f t="shared" si="1"/>
        <v>0.16162347174919578</v>
      </c>
      <c r="G4" s="63">
        <f t="shared" si="1"/>
        <v>-0.18154652174353025</v>
      </c>
      <c r="H4" s="63">
        <f t="shared" si="1"/>
        <v>-0.54582795116572536</v>
      </c>
      <c r="I4" s="59"/>
      <c r="J4" s="193"/>
      <c r="K4" s="193"/>
      <c r="L4" s="310"/>
      <c r="M4" s="45"/>
      <c r="N4" s="45"/>
      <c r="O4" s="45"/>
      <c r="P4" s="45"/>
      <c r="Q4" s="45"/>
      <c r="R4" s="45"/>
      <c r="S4" s="45"/>
    </row>
    <row r="5" spans="1:19" s="56" customFormat="1" ht="20" customHeight="1">
      <c r="A5" s="137" t="s">
        <v>69</v>
      </c>
      <c r="B5" s="77">
        <f>DRE!D55</f>
        <v>0.16110524365898962</v>
      </c>
      <c r="C5" s="77">
        <f>DRE!E55</f>
        <v>0.22791594602431292</v>
      </c>
      <c r="D5" s="77">
        <f>DRE!F55</f>
        <v>0.1842499764664928</v>
      </c>
      <c r="E5" s="77">
        <f>DRE!G55</f>
        <v>9.4793307118263434E-2</v>
      </c>
      <c r="F5" s="77">
        <f>DRE!H55</f>
        <v>0.10424420874637426</v>
      </c>
      <c r="G5" s="77">
        <f>DRE!I55</f>
        <v>5.8514956482410195E-2</v>
      </c>
      <c r="H5" s="77">
        <f>DRE!J55</f>
        <v>-0.11659745743039121</v>
      </c>
      <c r="I5" s="71"/>
      <c r="J5" s="192" t="s">
        <v>81</v>
      </c>
      <c r="K5" s="192" t="s">
        <v>90</v>
      </c>
      <c r="L5" s="309" t="s">
        <v>101</v>
      </c>
      <c r="M5" s="103">
        <v>0.25</v>
      </c>
      <c r="N5" s="103">
        <v>0.25</v>
      </c>
      <c r="O5" s="103">
        <v>0.25</v>
      </c>
      <c r="P5" s="103">
        <v>0.25</v>
      </c>
      <c r="Q5" s="103">
        <v>0.25</v>
      </c>
      <c r="R5" s="103">
        <v>0.25</v>
      </c>
      <c r="S5" s="103">
        <v>0.25</v>
      </c>
    </row>
    <row r="6" spans="1:19" s="46" customFormat="1" ht="10" customHeight="1">
      <c r="A6" s="139" t="s">
        <v>195</v>
      </c>
      <c r="B6" s="44">
        <v>0</v>
      </c>
      <c r="C6" s="44">
        <f t="shared" ref="C6:H6" si="2">C5/B5-1</f>
        <v>0.41470222103224064</v>
      </c>
      <c r="D6" s="44">
        <f t="shared" si="2"/>
        <v>-0.1915880407646513</v>
      </c>
      <c r="E6" s="44">
        <f t="shared" si="2"/>
        <v>-0.48551794178653651</v>
      </c>
      <c r="F6" s="63">
        <f t="shared" si="2"/>
        <v>9.970009397730939E-2</v>
      </c>
      <c r="G6" s="63">
        <f t="shared" si="2"/>
        <v>-0.43867427086739319</v>
      </c>
      <c r="H6" s="63">
        <f t="shared" si="2"/>
        <v>-2.9926094872076137</v>
      </c>
      <c r="I6" s="59"/>
      <c r="J6" s="193"/>
      <c r="K6" s="193"/>
      <c r="L6" s="310"/>
      <c r="M6" s="104"/>
      <c r="N6" s="104"/>
      <c r="O6" s="104"/>
      <c r="P6" s="104"/>
      <c r="Q6" s="104"/>
      <c r="R6" s="104"/>
      <c r="S6" s="104"/>
    </row>
    <row r="7" spans="1:19" s="56" customFormat="1" ht="20" customHeight="1">
      <c r="A7" s="137" t="s">
        <v>166</v>
      </c>
      <c r="B7" s="77">
        <f>DRE!D85</f>
        <v>5.0034427146712822E-2</v>
      </c>
      <c r="C7" s="77">
        <f>DRE!E85</f>
        <v>0.11897738534204907</v>
      </c>
      <c r="D7" s="77">
        <f>DRE!F85</f>
        <v>8.9086547398419327E-2</v>
      </c>
      <c r="E7" s="77">
        <f>DRE!G85</f>
        <v>2.5894710341849273E-3</v>
      </c>
      <c r="F7" s="77">
        <f>DRE!H85</f>
        <v>3.6533067103323019E-3</v>
      </c>
      <c r="G7" s="77">
        <f>DRE!I85</f>
        <v>-3.6305644806357569E-2</v>
      </c>
      <c r="H7" s="77">
        <f>DRE!J85</f>
        <v>-0.22309876740262555</v>
      </c>
      <c r="I7" s="71"/>
      <c r="J7" s="192" t="s">
        <v>84</v>
      </c>
      <c r="K7" s="192" t="s">
        <v>89</v>
      </c>
      <c r="L7" s="309" t="s">
        <v>102</v>
      </c>
      <c r="M7" s="103">
        <v>0.15</v>
      </c>
      <c r="N7" s="103">
        <v>0.15</v>
      </c>
      <c r="O7" s="103">
        <v>0.15</v>
      </c>
      <c r="P7" s="103">
        <v>0.15</v>
      </c>
      <c r="Q7" s="103">
        <v>0.15</v>
      </c>
      <c r="R7" s="103">
        <v>0.15</v>
      </c>
      <c r="S7" s="103">
        <v>0.15</v>
      </c>
    </row>
    <row r="8" spans="1:19" s="46" customFormat="1" ht="10" customHeight="1">
      <c r="A8" s="140" t="s">
        <v>195</v>
      </c>
      <c r="B8" s="44">
        <v>0</v>
      </c>
      <c r="C8" s="44">
        <f t="shared" ref="C8:H8" si="3">C7/B7-1</f>
        <v>1.3779104134275211</v>
      </c>
      <c r="D8" s="44">
        <f t="shared" si="3"/>
        <v>-0.25123125590376971</v>
      </c>
      <c r="E8" s="44">
        <f t="shared" si="3"/>
        <v>-0.97093308574857995</v>
      </c>
      <c r="F8" s="63">
        <f t="shared" si="3"/>
        <v>0.41083127098281369</v>
      </c>
      <c r="G8" s="63">
        <f t="shared" si="3"/>
        <v>-10.937748917625161</v>
      </c>
      <c r="H8" s="63">
        <f t="shared" si="3"/>
        <v>5.1450159773379971</v>
      </c>
      <c r="I8" s="59"/>
      <c r="J8" s="193"/>
      <c r="K8" s="193"/>
      <c r="L8" s="310"/>
      <c r="M8" s="45"/>
      <c r="N8" s="45"/>
      <c r="O8" s="45"/>
      <c r="P8" s="45"/>
      <c r="Q8" s="45"/>
      <c r="R8" s="45"/>
      <c r="S8" s="45"/>
    </row>
    <row r="9" spans="1:19" s="56" customFormat="1" ht="20" customHeight="1">
      <c r="A9" s="136" t="s">
        <v>167</v>
      </c>
      <c r="B9" s="75">
        <f>DRE!D26/'Balanço Patrimonial'!D51</f>
        <v>0.39235924136934147</v>
      </c>
      <c r="C9" s="75">
        <f>DRE!E26/'Balanço Patrimonial'!E51</f>
        <v>0.45434957642420792</v>
      </c>
      <c r="D9" s="75">
        <f>DRE!F26/'Balanço Patrimonial'!D51</f>
        <v>1.2979129045350521</v>
      </c>
      <c r="E9" s="75">
        <f>DRE!G26/'Balanço Patrimonial'!E51</f>
        <v>1.1532199391274078</v>
      </c>
      <c r="F9" s="75">
        <f>DRE!H26/'Balanço Patrimonial'!F51</f>
        <v>0.98885897553780522</v>
      </c>
      <c r="G9" s="75">
        <f>DRE!I26/'Balanço Patrimonial'!G51</f>
        <v>1.0706532235922113</v>
      </c>
      <c r="H9" s="75">
        <f>DRE!J26/'Balanço Patrimonial'!H51</f>
        <v>5.6065572366794582E-2</v>
      </c>
      <c r="I9" s="71"/>
      <c r="J9" s="192" t="s">
        <v>86</v>
      </c>
      <c r="K9" s="192" t="s">
        <v>92</v>
      </c>
      <c r="L9" s="309" t="s">
        <v>93</v>
      </c>
      <c r="M9" s="62">
        <v>3</v>
      </c>
      <c r="N9" s="62">
        <v>3</v>
      </c>
      <c r="O9" s="62">
        <v>3</v>
      </c>
      <c r="P9" s="62">
        <v>3</v>
      </c>
      <c r="Q9" s="62">
        <v>3</v>
      </c>
      <c r="R9" s="62">
        <v>3</v>
      </c>
      <c r="S9" s="62">
        <v>3</v>
      </c>
    </row>
    <row r="10" spans="1:19" s="46" customFormat="1" ht="10" customHeight="1">
      <c r="A10" s="139" t="s">
        <v>195</v>
      </c>
      <c r="B10" s="58">
        <v>0</v>
      </c>
      <c r="C10" s="58">
        <f t="shared" ref="C10:H10" si="4">C9/B9-1</f>
        <v>0.15799381923188283</v>
      </c>
      <c r="D10" s="58">
        <f t="shared" si="4"/>
        <v>1.8566394069293533</v>
      </c>
      <c r="E10" s="58">
        <f t="shared" si="4"/>
        <v>-0.11148125956839705</v>
      </c>
      <c r="F10" s="59">
        <f t="shared" si="4"/>
        <v>-0.14252351872615687</v>
      </c>
      <c r="G10" s="59">
        <f t="shared" si="4"/>
        <v>8.2715786656960999E-2</v>
      </c>
      <c r="H10" s="59">
        <f t="shared" si="4"/>
        <v>-0.94763423755575527</v>
      </c>
      <c r="I10" s="59"/>
      <c r="J10" s="193"/>
      <c r="K10" s="193"/>
      <c r="L10" s="310"/>
      <c r="M10" s="45"/>
      <c r="N10" s="45"/>
      <c r="O10" s="45"/>
      <c r="P10" s="45"/>
      <c r="Q10" s="45"/>
      <c r="R10" s="45"/>
      <c r="S10" s="45"/>
    </row>
    <row r="11" spans="1:19" s="56" customFormat="1" ht="20" customHeight="1">
      <c r="A11" s="137" t="s">
        <v>168</v>
      </c>
      <c r="B11" s="77">
        <f>DRE!D83/'Balanço Patrimonial'!B102</f>
        <v>0.53993812981652789</v>
      </c>
      <c r="C11" s="77">
        <f>DRE!E83/'Balanço Patrimonial'!C102</f>
        <v>0.81318278044285064</v>
      </c>
      <c r="D11" s="77">
        <f>DRE!F83/'Balanço Patrimonial'!D102</f>
        <v>0.85258441843840271</v>
      </c>
      <c r="E11" s="77">
        <f>DRE!G83/'Balanço Patrimonial'!E102</f>
        <v>2.6492060896748493E-2</v>
      </c>
      <c r="F11" s="77">
        <f>DRE!H83/'Balanço Patrimonial'!F102</f>
        <v>4.1976864033302308E-2</v>
      </c>
      <c r="G11" s="77">
        <f>DRE!I83/-'Balanço Patrimonial'!G102</f>
        <v>1.4867840401187815</v>
      </c>
      <c r="H11" s="77">
        <f>DRE!J83/-'Balanço Patrimonial'!H102</f>
        <v>0.87912990059536766</v>
      </c>
      <c r="I11" s="71"/>
      <c r="J11" s="192" t="s">
        <v>85</v>
      </c>
      <c r="K11" s="192" t="s">
        <v>50</v>
      </c>
      <c r="L11" s="62" t="s">
        <v>110</v>
      </c>
      <c r="M11" s="195">
        <v>4.4999999999999998E-2</v>
      </c>
      <c r="N11" s="195">
        <v>0.02</v>
      </c>
      <c r="O11" s="195">
        <v>9.2499999999999999E-2</v>
      </c>
      <c r="P11" s="195">
        <v>0.13750000000000001</v>
      </c>
      <c r="Q11" s="195">
        <v>0.11749999999999999</v>
      </c>
      <c r="R11" s="196">
        <v>0.105</v>
      </c>
      <c r="S11" s="196">
        <v>0.105</v>
      </c>
    </row>
    <row r="12" spans="1:19" s="46" customFormat="1" ht="10" customHeight="1">
      <c r="A12" s="139" t="s">
        <v>195</v>
      </c>
      <c r="B12" s="44">
        <v>0</v>
      </c>
      <c r="C12" s="44">
        <f t="shared" ref="C12:H12" si="5">C11/B11-1</f>
        <v>0.50606659455440184</v>
      </c>
      <c r="D12" s="44">
        <f t="shared" si="5"/>
        <v>4.8453605933581612E-2</v>
      </c>
      <c r="E12" s="44">
        <f t="shared" si="5"/>
        <v>-0.96892734569877381</v>
      </c>
      <c r="F12" s="63">
        <f t="shared" si="5"/>
        <v>0.58450730567565423</v>
      </c>
      <c r="G12" s="63">
        <f t="shared" si="5"/>
        <v>34.419130855969676</v>
      </c>
      <c r="H12" s="63">
        <f t="shared" si="5"/>
        <v>-0.40870370082454432</v>
      </c>
      <c r="I12" s="59"/>
      <c r="J12" s="139"/>
      <c r="K12" s="193"/>
      <c r="L12" s="106"/>
      <c r="M12" s="44">
        <v>0</v>
      </c>
      <c r="N12" s="44">
        <f t="shared" ref="N12:Q12" si="6">N11/M11-1</f>
        <v>-0.55555555555555558</v>
      </c>
      <c r="O12" s="44">
        <f t="shared" si="6"/>
        <v>3.625</v>
      </c>
      <c r="P12" s="44">
        <f t="shared" si="6"/>
        <v>0.48648648648648662</v>
      </c>
      <c r="Q12" s="44">
        <f t="shared" si="6"/>
        <v>-0.14545454545454561</v>
      </c>
      <c r="R12" s="44">
        <f>R11/S11-1</f>
        <v>0</v>
      </c>
      <c r="S12" s="44">
        <f>S11/Q11-1</f>
        <v>-0.10638297872340419</v>
      </c>
    </row>
    <row r="13" spans="1:19" s="56" customFormat="1" ht="20" customHeight="1">
      <c r="A13" s="137" t="s">
        <v>169</v>
      </c>
      <c r="B13" s="77">
        <f>DRE!D83/-(DRE!D55+DRE!D41+DRE!D29)</f>
        <v>5.9643271212310861E-2</v>
      </c>
      <c r="C13" s="77">
        <f>DRE!E83/-(DRE!E55+DRE!E41+DRE!E29)</f>
        <v>0.15369481787830053</v>
      </c>
      <c r="D13" s="77">
        <f>DRE!F83/-(DRE!F55+DRE!F41+DRE!F29)</f>
        <v>0.10858973946594074</v>
      </c>
      <c r="E13" s="77">
        <f>DRE!G83/-(DRE!G55+DRE!G41+DRE!G29)</f>
        <v>2.8267278668976004E-3</v>
      </c>
      <c r="F13" s="77">
        <f>DRE!H83/-(DRE!H55+DRE!H41+DRE!H29)</f>
        <v>4.022458210809707E-3</v>
      </c>
      <c r="G13" s="77">
        <f>DRE!I83/-(DRE!I55+DRE!I41+DRE!I29)</f>
        <v>-3.8064295856276111E-2</v>
      </c>
      <c r="H13" s="77">
        <f>DRE!J83/-(DRE!J55+DRE!J41+DRE!J29)</f>
        <v>-0.19677763455212519</v>
      </c>
      <c r="I13" s="71"/>
      <c r="J13" s="192" t="s">
        <v>87</v>
      </c>
      <c r="K13" s="192" t="s">
        <v>103</v>
      </c>
      <c r="L13" s="62" t="s">
        <v>110</v>
      </c>
      <c r="M13" s="195">
        <v>4.4999999999999998E-2</v>
      </c>
      <c r="N13" s="195">
        <v>0.02</v>
      </c>
      <c r="O13" s="195">
        <v>9.2499999999999999E-2</v>
      </c>
      <c r="P13" s="195">
        <v>0.13750000000000001</v>
      </c>
      <c r="Q13" s="195">
        <v>0.11749999999999999</v>
      </c>
      <c r="R13" s="196">
        <v>0.105</v>
      </c>
      <c r="S13" s="196">
        <v>0.105</v>
      </c>
    </row>
    <row r="14" spans="1:19" s="46" customFormat="1" ht="10" customHeight="1">
      <c r="A14" s="139" t="s">
        <v>195</v>
      </c>
      <c r="B14" s="44">
        <v>0</v>
      </c>
      <c r="C14" s="44">
        <f t="shared" ref="C14:H14" si="7">C13/B13-1</f>
        <v>1.5769012120612302</v>
      </c>
      <c r="D14" s="44">
        <f t="shared" si="7"/>
        <v>-0.29347169302790121</v>
      </c>
      <c r="E14" s="44">
        <f t="shared" si="7"/>
        <v>-0.97396873884402124</v>
      </c>
      <c r="F14" s="63">
        <f t="shared" si="7"/>
        <v>0.42300865177532931</v>
      </c>
      <c r="G14" s="63">
        <f t="shared" si="7"/>
        <v>-10.462943767565928</v>
      </c>
      <c r="H14" s="63">
        <f t="shared" si="7"/>
        <v>4.1696118403220144</v>
      </c>
      <c r="I14" s="59"/>
      <c r="J14" s="139"/>
      <c r="K14" s="193"/>
      <c r="L14" s="106"/>
      <c r="M14" s="44">
        <v>0</v>
      </c>
      <c r="N14" s="44">
        <f t="shared" ref="N14:Q14" si="8">N13/M13-1</f>
        <v>-0.55555555555555558</v>
      </c>
      <c r="O14" s="44">
        <f t="shared" si="8"/>
        <v>3.625</v>
      </c>
      <c r="P14" s="44">
        <f t="shared" si="8"/>
        <v>0.48648648648648662</v>
      </c>
      <c r="Q14" s="44">
        <f t="shared" si="8"/>
        <v>-0.14545454545454561</v>
      </c>
      <c r="R14" s="44">
        <f>R13/S13-1</f>
        <v>0</v>
      </c>
      <c r="S14" s="44">
        <f>S13/Q13-1</f>
        <v>-0.10638297872340419</v>
      </c>
    </row>
    <row r="15" spans="1:19" s="56" customFormat="1" ht="20" customHeight="1">
      <c r="A15" s="137" t="s">
        <v>170</v>
      </c>
      <c r="B15" s="77">
        <f>DRE!D83/('Balanço Patrimonial'!B51)</f>
        <v>7.2727932790681543E-2</v>
      </c>
      <c r="C15" s="77">
        <f>DRE!E83/('Balanço Patrimonial'!C51)</f>
        <v>0.12536791369051248</v>
      </c>
      <c r="D15" s="77">
        <f>DRE!F83/('Balanço Patrimonial'!D51)</f>
        <v>0.11562657948888204</v>
      </c>
      <c r="E15" s="77">
        <f>DRE!G83/('Balanço Patrimonial'!E51)</f>
        <v>2.9862296284149281E-3</v>
      </c>
      <c r="F15" s="77">
        <f>DRE!H83/('Balanço Patrimonial'!F51)</f>
        <v>3.6126051309045898E-3</v>
      </c>
      <c r="G15" s="77">
        <f>DRE!I83/('Balanço Patrimonial'!G51)</f>
        <v>-3.8870755646520559E-2</v>
      </c>
      <c r="H15" s="77">
        <f>DRE!J83/('Balanço Patrimonial'!H51)</f>
        <v>-1.2508160088754574E-2</v>
      </c>
      <c r="I15" s="71"/>
      <c r="J15" s="192" t="s">
        <v>88</v>
      </c>
      <c r="K15" s="192" t="s">
        <v>49</v>
      </c>
      <c r="L15" s="62" t="s">
        <v>110</v>
      </c>
      <c r="M15" s="195">
        <v>4.4999999999999998E-2</v>
      </c>
      <c r="N15" s="195">
        <v>0.02</v>
      </c>
      <c r="O15" s="195">
        <v>9.2499999999999999E-2</v>
      </c>
      <c r="P15" s="195">
        <v>0.13750000000000001</v>
      </c>
      <c r="Q15" s="195">
        <v>0.11749999999999999</v>
      </c>
      <c r="R15" s="196">
        <v>0.105</v>
      </c>
      <c r="S15" s="196">
        <v>0.105</v>
      </c>
    </row>
    <row r="16" spans="1:19" s="46" customFormat="1" ht="10" customHeight="1">
      <c r="A16" s="140" t="s">
        <v>195</v>
      </c>
      <c r="B16" s="44">
        <v>0</v>
      </c>
      <c r="C16" s="44">
        <f t="shared" ref="C16:H16" si="9">C15/B15-1</f>
        <v>0.72379316831861851</v>
      </c>
      <c r="D16" s="44">
        <f t="shared" si="9"/>
        <v>-7.7701972656881169E-2</v>
      </c>
      <c r="E16" s="44">
        <f t="shared" si="9"/>
        <v>-0.97417350196109476</v>
      </c>
      <c r="F16" s="63">
        <f t="shared" si="9"/>
        <v>0.20975463391344684</v>
      </c>
      <c r="G16" s="63">
        <f t="shared" si="9"/>
        <v>-11.759757636945888</v>
      </c>
      <c r="H16" s="63">
        <f t="shared" si="9"/>
        <v>-0.67821155311463011</v>
      </c>
      <c r="I16" s="59"/>
      <c r="J16" s="140"/>
      <c r="K16" s="193"/>
      <c r="L16" s="106"/>
      <c r="M16" s="44">
        <v>0</v>
      </c>
      <c r="N16" s="44">
        <f t="shared" ref="N16:Q16" si="10">N15/M15-1</f>
        <v>-0.55555555555555558</v>
      </c>
      <c r="O16" s="44">
        <f t="shared" si="10"/>
        <v>3.625</v>
      </c>
      <c r="P16" s="44">
        <f t="shared" si="10"/>
        <v>0.48648648648648662</v>
      </c>
      <c r="Q16" s="44">
        <f t="shared" si="10"/>
        <v>-0.14545454545454561</v>
      </c>
      <c r="R16" s="44">
        <f>R15/S15-1</f>
        <v>0</v>
      </c>
      <c r="S16" s="44">
        <f>S15/Q15-1</f>
        <v>-0.10638297872340419</v>
      </c>
    </row>
    <row r="17" spans="1:19" s="56" customFormat="1" ht="20" customHeight="1">
      <c r="A17" s="137" t="s">
        <v>198</v>
      </c>
      <c r="B17" s="77">
        <f>B9*'Estrutura de Capital'!B11*'Índices de Rentabilidade'!B7</f>
        <v>0.14574564028633075</v>
      </c>
      <c r="C17" s="77">
        <f>C9*'Estrutura de Capital'!C11*'Índices de Rentabilidade'!C7</f>
        <v>0.35063585454468077</v>
      </c>
      <c r="D17" s="77">
        <f>D9*'Estrutura de Capital'!D11*'Índices de Rentabilidade'!D7</f>
        <v>0.8525844184384026</v>
      </c>
      <c r="E17" s="77">
        <f>E9*'Estrutura de Capital'!E11*'Índices de Rentabilidade'!E7</f>
        <v>2.6492060896748486E-2</v>
      </c>
      <c r="F17" s="77">
        <f>F9*'Estrutura de Capital'!F11*'Índices de Rentabilidade'!F7</f>
        <v>4.1976864033302308E-2</v>
      </c>
      <c r="G17" s="77">
        <f>G9*'Estrutura de Capital'!G11*'Índices de Rentabilidade'!G7</f>
        <v>1.4867840401187813</v>
      </c>
      <c r="H17" s="77">
        <f>H9*'Estrutura de Capital'!H11*'Índices de Rentabilidade'!H7</f>
        <v>0.87912990059536777</v>
      </c>
      <c r="I17" s="71"/>
      <c r="J17" s="192" t="s">
        <v>88</v>
      </c>
      <c r="K17" s="192" t="s">
        <v>199</v>
      </c>
      <c r="L17" s="62" t="s">
        <v>110</v>
      </c>
      <c r="M17" s="195">
        <v>4.4999999999999998E-2</v>
      </c>
      <c r="N17" s="195">
        <v>0.02</v>
      </c>
      <c r="O17" s="195">
        <v>9.2499999999999999E-2</v>
      </c>
      <c r="P17" s="195">
        <v>0.13750000000000001</v>
      </c>
      <c r="Q17" s="195">
        <v>0.11749999999999999</v>
      </c>
      <c r="R17" s="196">
        <v>0.105</v>
      </c>
      <c r="S17" s="196">
        <v>0.105</v>
      </c>
    </row>
    <row r="18" spans="1:19" s="46" customFormat="1" ht="10" customHeight="1">
      <c r="A18" s="140" t="s">
        <v>195</v>
      </c>
      <c r="B18" s="44">
        <v>0</v>
      </c>
      <c r="C18" s="44">
        <f t="shared" ref="C18:H18" si="11">C17/B17-1</f>
        <v>1.4058068142266507</v>
      </c>
      <c r="D18" s="44">
        <f t="shared" si="11"/>
        <v>1.4315380397864006</v>
      </c>
      <c r="E18" s="44">
        <f t="shared" si="11"/>
        <v>-0.96892734569877381</v>
      </c>
      <c r="F18" s="63">
        <f t="shared" si="11"/>
        <v>0.58450730567565445</v>
      </c>
      <c r="G18" s="63">
        <f t="shared" si="11"/>
        <v>34.419130855969669</v>
      </c>
      <c r="H18" s="63">
        <f t="shared" si="11"/>
        <v>-0.40870370082454421</v>
      </c>
      <c r="I18" s="59"/>
      <c r="J18" s="140"/>
      <c r="K18" s="193"/>
      <c r="L18" s="106"/>
      <c r="M18" s="44">
        <v>0</v>
      </c>
      <c r="N18" s="44">
        <f t="shared" ref="N18:Q18" si="12">N17/M17-1</f>
        <v>-0.55555555555555558</v>
      </c>
      <c r="O18" s="44">
        <f t="shared" si="12"/>
        <v>3.625</v>
      </c>
      <c r="P18" s="44">
        <f t="shared" si="12"/>
        <v>0.48648648648648662</v>
      </c>
      <c r="Q18" s="44">
        <f t="shared" si="12"/>
        <v>-0.14545454545454561</v>
      </c>
      <c r="R18" s="44">
        <f>R17/S17-1</f>
        <v>0</v>
      </c>
      <c r="S18" s="44">
        <f>S17/Q17-1</f>
        <v>-0.10638297872340419</v>
      </c>
    </row>
    <row r="20" spans="1:19">
      <c r="G20" s="197"/>
    </row>
    <row r="43" spans="8:12">
      <c r="H43" s="68"/>
      <c r="I43" s="68"/>
      <c r="J43" s="86"/>
      <c r="K43" s="86"/>
      <c r="L43" s="86"/>
    </row>
    <row r="44" spans="8:12">
      <c r="H44" s="74"/>
      <c r="I44" s="74"/>
      <c r="J44" s="57"/>
      <c r="K44" s="57"/>
      <c r="L44" s="57"/>
    </row>
    <row r="45" spans="8:12">
      <c r="H45" s="70"/>
      <c r="I45" s="70"/>
      <c r="J45" s="73"/>
      <c r="K45" s="73"/>
      <c r="L45" s="73"/>
    </row>
    <row r="62" spans="8:12">
      <c r="H62" s="68"/>
      <c r="I62" s="68"/>
      <c r="J62" s="86"/>
      <c r="K62" s="86"/>
      <c r="L62" s="86"/>
    </row>
    <row r="63" spans="8:12">
      <c r="H63" s="74"/>
      <c r="I63" s="74"/>
      <c r="J63" s="57"/>
      <c r="K63" s="57"/>
      <c r="L63" s="57"/>
    </row>
    <row r="64" spans="8:12">
      <c r="H64" s="70"/>
      <c r="I64" s="70"/>
      <c r="J64" s="73"/>
      <c r="K64" s="73"/>
      <c r="L64" s="73"/>
    </row>
  </sheetData>
  <mergeCells count="5">
    <mergeCell ref="A1:H1"/>
    <mergeCell ref="L5:L6"/>
    <mergeCell ref="L3:L4"/>
    <mergeCell ref="L7:L8"/>
    <mergeCell ref="L9:L10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E9AF-F59C-2141-9F78-B204D03450E6}">
  <dimension ref="A1:S60"/>
  <sheetViews>
    <sheetView showGridLines="0" zoomScale="189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baseColWidth="10" defaultRowHeight="13"/>
  <cols>
    <col min="1" max="1" width="30.83203125" style="1" customWidth="1"/>
    <col min="2" max="8" width="15.83203125" style="1" customWidth="1"/>
    <col min="9" max="9" width="15.33203125" style="1" bestFit="1" customWidth="1"/>
    <col min="10" max="10" width="35.83203125" style="1" customWidth="1"/>
    <col min="11" max="11" width="15.83203125" style="1" customWidth="1"/>
    <col min="12" max="19" width="7.83203125" style="1" customWidth="1"/>
    <col min="20" max="16384" width="10.83203125" style="1"/>
  </cols>
  <sheetData>
    <row r="1" spans="1:19" ht="60" customHeight="1">
      <c r="A1" s="306" t="s">
        <v>40</v>
      </c>
      <c r="B1" s="307"/>
      <c r="C1" s="307"/>
      <c r="D1" s="307"/>
      <c r="E1" s="307"/>
      <c r="F1" s="307"/>
      <c r="G1" s="307"/>
      <c r="H1" s="308"/>
    </row>
    <row r="2" spans="1:19" s="56" customFormat="1" ht="25" customHeight="1">
      <c r="A2" s="60" t="s">
        <v>79</v>
      </c>
      <c r="B2" s="69">
        <v>2019</v>
      </c>
      <c r="C2" s="69">
        <v>2020</v>
      </c>
      <c r="D2" s="69">
        <v>2021</v>
      </c>
      <c r="E2" s="69">
        <v>2022</v>
      </c>
      <c r="F2" s="69">
        <v>2023</v>
      </c>
      <c r="G2" s="69">
        <v>2024</v>
      </c>
      <c r="H2" s="69">
        <v>2025</v>
      </c>
      <c r="J2" s="86" t="s">
        <v>80</v>
      </c>
      <c r="K2" s="86" t="s">
        <v>104</v>
      </c>
      <c r="L2" s="101" t="s">
        <v>96</v>
      </c>
      <c r="M2" s="81">
        <f t="shared" ref="M2:R2" si="0">B2</f>
        <v>2019</v>
      </c>
      <c r="N2" s="81">
        <f t="shared" si="0"/>
        <v>2020</v>
      </c>
      <c r="O2" s="81">
        <f t="shared" si="0"/>
        <v>2021</v>
      </c>
      <c r="P2" s="81">
        <f t="shared" si="0"/>
        <v>2022</v>
      </c>
      <c r="Q2" s="81">
        <f t="shared" si="0"/>
        <v>2023</v>
      </c>
      <c r="R2" s="81">
        <f t="shared" si="0"/>
        <v>2024</v>
      </c>
      <c r="S2" s="81">
        <f t="shared" ref="S2" si="1">H2</f>
        <v>2025</v>
      </c>
    </row>
    <row r="3" spans="1:19" s="43" customFormat="1" ht="20" customHeight="1">
      <c r="A3" s="137" t="s">
        <v>160</v>
      </c>
      <c r="B3" s="61">
        <f>('Balanço Patrimonial'!B54+'Balanço Patrimonial'!B90)/'Balanço Patrimonial'!B102</f>
        <v>6.4240819049611293</v>
      </c>
      <c r="C3" s="61">
        <f>('Balanço Patrimonial'!C54+'Balanço Patrimonial'!C90)/'Balanço Patrimonial'!C102</f>
        <v>5.4863708464535952</v>
      </c>
      <c r="D3" s="61">
        <f>('Balanço Patrimonial'!D54+'Balanço Patrimonial'!D90)/'Balanço Patrimonial'!D102</f>
        <v>6.37360235170134</v>
      </c>
      <c r="E3" s="61">
        <f>('Balanço Patrimonial'!E54+'Balanço Patrimonial'!E90)/'Balanço Patrimonial'!E102</f>
        <v>7.8714078263332716</v>
      </c>
      <c r="F3" s="61">
        <f>('Balanço Patrimonial'!F54+'Balanço Patrimonial'!F90)/'Balanço Patrimonial'!F102</f>
        <v>10.619555005944253</v>
      </c>
      <c r="G3" s="61">
        <f>('Balanço Patrimonial'!G54+'Balanço Patrimonial'!G90)/'Balanço Patrimonial'!G102</f>
        <v>37.249424673890232</v>
      </c>
      <c r="H3" s="61">
        <f>('Balanço Patrimonial'!H54+'Balanço Patrimonial'!H90)/'Balanço Patrimonial'!H102</f>
        <v>69.284509820572779</v>
      </c>
      <c r="I3" s="42"/>
      <c r="J3" s="311" t="s">
        <v>47</v>
      </c>
      <c r="K3" s="49" t="s">
        <v>43</v>
      </c>
      <c r="L3" s="309" t="s">
        <v>78</v>
      </c>
      <c r="M3" s="62">
        <v>0.5</v>
      </c>
      <c r="N3" s="62">
        <v>0.5</v>
      </c>
      <c r="O3" s="62">
        <v>0.5</v>
      </c>
      <c r="P3" s="62">
        <v>0.5</v>
      </c>
      <c r="Q3" s="62">
        <v>0.5</v>
      </c>
      <c r="R3" s="62">
        <v>0.5</v>
      </c>
      <c r="S3" s="62">
        <v>0.5</v>
      </c>
    </row>
    <row r="4" spans="1:19" s="72" customFormat="1" ht="10" customHeight="1">
      <c r="A4" s="139" t="s">
        <v>195</v>
      </c>
      <c r="B4" s="44">
        <v>0</v>
      </c>
      <c r="C4" s="44">
        <f t="shared" ref="C4:H4" si="2">C3/B3-1</f>
        <v>-0.14596810445137187</v>
      </c>
      <c r="D4" s="44">
        <f t="shared" si="2"/>
        <v>0.1617155547954352</v>
      </c>
      <c r="E4" s="44">
        <f t="shared" si="2"/>
        <v>0.23500139983350454</v>
      </c>
      <c r="F4" s="63">
        <f t="shared" si="2"/>
        <v>0.34913032588874859</v>
      </c>
      <c r="G4" s="63">
        <f t="shared" si="2"/>
        <v>2.507625757674405</v>
      </c>
      <c r="H4" s="63">
        <f t="shared" si="2"/>
        <v>0.86001556875420282</v>
      </c>
      <c r="I4" s="87"/>
      <c r="J4" s="312"/>
      <c r="K4" s="50"/>
      <c r="L4" s="310"/>
      <c r="M4" s="104"/>
      <c r="N4" s="104"/>
      <c r="O4" s="104"/>
      <c r="P4" s="104"/>
      <c r="Q4" s="104"/>
      <c r="R4" s="104"/>
      <c r="S4" s="104"/>
    </row>
    <row r="5" spans="1:19" s="43" customFormat="1" ht="20" customHeight="1">
      <c r="A5" s="137" t="s">
        <v>161</v>
      </c>
      <c r="B5" s="76">
        <f>'Balanço Patrimonial'!B54/('Balanço Patrimonial'!B54+'Balanço Patrimonial'!B90)*1</f>
        <v>0.66911576903716075</v>
      </c>
      <c r="C5" s="76">
        <f>'Balanço Patrimonial'!C54/('Balanço Patrimonial'!C54+'Balanço Patrimonial'!C90)*1</f>
        <v>0.72192792071293743</v>
      </c>
      <c r="D5" s="76">
        <f>'Balanço Patrimonial'!D54/('Balanço Patrimonial'!D54+'Balanço Patrimonial'!D90)*1</f>
        <v>0.83546518866070563</v>
      </c>
      <c r="E5" s="76">
        <f>'Balanço Patrimonial'!E54/('Balanço Patrimonial'!E54+'Balanço Patrimonial'!E90)*1</f>
        <v>0.85907166703642501</v>
      </c>
      <c r="F5" s="76">
        <f>'Balanço Patrimonial'!F54/('Balanço Patrimonial'!F54+'Balanço Patrimonial'!F90)*1</f>
        <v>0.84609123744420456</v>
      </c>
      <c r="G5" s="76">
        <f>'Balanço Patrimonial'!G54/('Balanço Patrimonial'!G54+'Balanço Patrimonial'!G90)*1</f>
        <v>0.8563000828093128</v>
      </c>
      <c r="H5" s="76">
        <f>'Balanço Patrimonial'!H54/('Balanço Patrimonial'!H54+'Balanço Patrimonial'!H90)*1</f>
        <v>0.86068919402830324</v>
      </c>
      <c r="I5" s="42"/>
      <c r="J5" s="311" t="s">
        <v>41</v>
      </c>
      <c r="K5" s="49" t="s">
        <v>44</v>
      </c>
      <c r="L5" s="309" t="s">
        <v>78</v>
      </c>
      <c r="M5" s="62">
        <v>0.5</v>
      </c>
      <c r="N5" s="62">
        <v>0.5</v>
      </c>
      <c r="O5" s="62">
        <v>0.5</v>
      </c>
      <c r="P5" s="62">
        <v>0.5</v>
      </c>
      <c r="Q5" s="62">
        <v>0.5</v>
      </c>
      <c r="R5" s="62">
        <v>0.5</v>
      </c>
      <c r="S5" s="62">
        <v>0.5</v>
      </c>
    </row>
    <row r="6" spans="1:19" s="72" customFormat="1" ht="10" customHeight="1">
      <c r="A6" s="139" t="s">
        <v>195</v>
      </c>
      <c r="B6" s="44">
        <v>0</v>
      </c>
      <c r="C6" s="44">
        <f t="shared" ref="C6:H6" si="3">C5/B5-1</f>
        <v>7.8928272385168752E-2</v>
      </c>
      <c r="D6" s="44">
        <f t="shared" si="3"/>
        <v>0.15726953438183244</v>
      </c>
      <c r="E6" s="44">
        <f t="shared" si="3"/>
        <v>2.8255490110320247E-2</v>
      </c>
      <c r="F6" s="63">
        <f t="shared" si="3"/>
        <v>-1.5109833195872446E-2</v>
      </c>
      <c r="G6" s="63">
        <f t="shared" si="3"/>
        <v>1.2065891848668908E-2</v>
      </c>
      <c r="H6" s="63">
        <f t="shared" si="3"/>
        <v>5.1256695019703535E-3</v>
      </c>
      <c r="I6" s="87"/>
      <c r="J6" s="312"/>
      <c r="K6" s="50"/>
      <c r="L6" s="310"/>
      <c r="M6" s="104"/>
      <c r="N6" s="104"/>
      <c r="O6" s="104"/>
      <c r="P6" s="104"/>
      <c r="Q6" s="104"/>
      <c r="R6" s="104"/>
      <c r="S6" s="104"/>
    </row>
    <row r="7" spans="1:19" s="43" customFormat="1" ht="20" customHeight="1">
      <c r="A7" s="137" t="s">
        <v>162</v>
      </c>
      <c r="B7" s="61">
        <f>('Balanço Patrimonial'!B36-'Balanço Patrimonial'!B42)/'Balanço Patrimonial'!B102</f>
        <v>0.43044663528947125</v>
      </c>
      <c r="C7" s="61">
        <f>('Balanço Patrimonial'!C36-'Balanço Patrimonial'!C42)/'Balanço Patrimonial'!C102</f>
        <v>0.25564634243731105</v>
      </c>
      <c r="D7" s="61">
        <f>('Balanço Patrimonial'!D36-'Balanço Patrimonial'!D42)/'Balanço Patrimonial'!D102</f>
        <v>1.3318517349615488</v>
      </c>
      <c r="E7" s="61">
        <f>('Balanço Patrimonial'!E36-'Balanço Patrimonial'!E42)/'Balanço Patrimonial'!E102</f>
        <v>1.788462724657621</v>
      </c>
      <c r="F7" s="61">
        <f>('Balanço Patrimonial'!F36-'Balanço Patrimonial'!F42)/'Balanço Patrimonial'!F102</f>
        <v>2.7397008087696477</v>
      </c>
      <c r="G7" s="61">
        <f>('Balanço Patrimonial'!G36-'Balanço Patrimonial'!G42)/'Balanço Patrimonial'!G102</f>
        <v>11.111237881691499</v>
      </c>
      <c r="H7" s="61">
        <f>('Balanço Patrimonial'!H36-'Balanço Patrimonial'!H42)/'Balanço Patrimonial'!H102</f>
        <v>20.557031660116863</v>
      </c>
      <c r="I7" s="42"/>
      <c r="J7" s="311" t="s">
        <v>48</v>
      </c>
      <c r="K7" s="49" t="s">
        <v>109</v>
      </c>
      <c r="L7" s="309" t="s">
        <v>107</v>
      </c>
      <c r="M7" s="62">
        <v>0.5</v>
      </c>
      <c r="N7" s="62">
        <v>0.5</v>
      </c>
      <c r="O7" s="62">
        <v>0.5</v>
      </c>
      <c r="P7" s="62">
        <v>0.5</v>
      </c>
      <c r="Q7" s="62">
        <v>0.5</v>
      </c>
      <c r="R7" s="62">
        <v>0.5</v>
      </c>
      <c r="S7" s="62">
        <v>0.5</v>
      </c>
    </row>
    <row r="8" spans="1:19" s="72" customFormat="1" ht="10" customHeight="1">
      <c r="A8" s="139" t="s">
        <v>195</v>
      </c>
      <c r="B8" s="44">
        <v>0</v>
      </c>
      <c r="C8" s="44">
        <f t="shared" ref="C8:H8" si="4">C7/B7-1</f>
        <v>-0.4060905081407099</v>
      </c>
      <c r="D8" s="44">
        <f t="shared" si="4"/>
        <v>4.2097429686017991</v>
      </c>
      <c r="E8" s="44">
        <f t="shared" si="4"/>
        <v>0.3428392047777411</v>
      </c>
      <c r="F8" s="63">
        <f t="shared" si="4"/>
        <v>0.53187470501747769</v>
      </c>
      <c r="G8" s="63">
        <f t="shared" si="4"/>
        <v>3.0556391581609832</v>
      </c>
      <c r="H8" s="63">
        <f t="shared" si="4"/>
        <v>0.85011174083399244</v>
      </c>
      <c r="I8" s="87"/>
      <c r="J8" s="312"/>
      <c r="K8" s="50"/>
      <c r="L8" s="310"/>
      <c r="M8" s="106"/>
      <c r="N8" s="106"/>
      <c r="O8" s="106"/>
      <c r="P8" s="106"/>
      <c r="Q8" s="106"/>
      <c r="R8" s="106"/>
      <c r="S8" s="106"/>
    </row>
    <row r="9" spans="1:19" s="43" customFormat="1" ht="20" customHeight="1">
      <c r="A9" s="137" t="s">
        <v>163</v>
      </c>
      <c r="B9" s="100">
        <f>('Balanço Patrimonial'!B33)/('Balanço Patrimonial'!B102+'Balanço Patrimonial'!B90)</f>
        <v>0.14299278557871001</v>
      </c>
      <c r="C9" s="100">
        <f>('Balanço Patrimonial'!C33)/('Balanço Patrimonial'!C102+'Balanço Patrimonial'!C90)</f>
        <v>9.157605263477693E-2</v>
      </c>
      <c r="D9" s="100">
        <f>('Balanço Patrimonial'!D33)/('Balanço Patrimonial'!D102+'Balanço Patrimonial'!D90)</f>
        <v>0.63031662142999234</v>
      </c>
      <c r="E9" s="100">
        <f>('Balanço Patrimonial'!E33)/('Balanço Patrimonial'!E102+'Balanço Patrimonial'!E90)</f>
        <v>0.76916613057304295</v>
      </c>
      <c r="F9" s="100">
        <f>('Balanço Patrimonial'!F33)/('Balanço Patrimonial'!F102+'Balanço Patrimonial'!F90)</f>
        <v>0.86661042829850377</v>
      </c>
      <c r="G9" s="100">
        <f>('Balanço Patrimonial'!G33)/('Balanço Patrimonial'!G102+'Balanço Patrimonial'!G90)</f>
        <v>1.2999535983830657</v>
      </c>
      <c r="H9" s="100">
        <f>('Balanço Patrimonial'!H33)/('Balanço Patrimonial'!H102+'Balanço Patrimonial'!H90)</f>
        <v>1.433025829940491</v>
      </c>
      <c r="I9" s="42"/>
      <c r="J9" s="311" t="s">
        <v>42</v>
      </c>
      <c r="K9" s="49" t="s">
        <v>108</v>
      </c>
      <c r="L9" s="309" t="s">
        <v>107</v>
      </c>
      <c r="M9" s="62">
        <v>0.5</v>
      </c>
      <c r="N9" s="62">
        <v>0.5</v>
      </c>
      <c r="O9" s="62">
        <v>0.5</v>
      </c>
      <c r="P9" s="62">
        <v>0.5</v>
      </c>
      <c r="Q9" s="62">
        <v>0.5</v>
      </c>
      <c r="R9" s="62">
        <v>0.5</v>
      </c>
      <c r="S9" s="62">
        <v>0.5</v>
      </c>
    </row>
    <row r="10" spans="1:19" s="72" customFormat="1" ht="10" customHeight="1">
      <c r="A10" s="139" t="s">
        <v>195</v>
      </c>
      <c r="B10" s="44">
        <v>0</v>
      </c>
      <c r="C10" s="58">
        <f t="shared" ref="C10:H10" si="5">C9/B9-1</f>
        <v>-0.35957571380851849</v>
      </c>
      <c r="D10" s="58">
        <f t="shared" si="5"/>
        <v>5.8829852706560457</v>
      </c>
      <c r="E10" s="58">
        <f t="shared" si="5"/>
        <v>0.22028533664247063</v>
      </c>
      <c r="F10" s="59">
        <f t="shared" si="5"/>
        <v>0.12668823268760288</v>
      </c>
      <c r="G10" s="59">
        <f t="shared" si="5"/>
        <v>0.5000437981520538</v>
      </c>
      <c r="H10" s="59">
        <f t="shared" si="5"/>
        <v>0.10236690888270616</v>
      </c>
      <c r="I10" s="87"/>
      <c r="J10" s="312"/>
      <c r="K10" s="50"/>
      <c r="L10" s="310"/>
      <c r="M10" s="106"/>
      <c r="N10" s="106"/>
      <c r="O10" s="106"/>
      <c r="P10" s="106"/>
      <c r="Q10" s="106"/>
      <c r="R10" s="106"/>
      <c r="S10" s="106"/>
    </row>
    <row r="11" spans="1:19" s="43" customFormat="1" ht="20" customHeight="1">
      <c r="A11" s="137" t="s">
        <v>200</v>
      </c>
      <c r="B11" s="102">
        <f>'Índices de Rentabilidade'!B11/'Índices de Rentabilidade'!B15</f>
        <v>7.4240819049611275</v>
      </c>
      <c r="C11" s="102">
        <f>'Índices de Rentabilidade'!C11/'Índices de Rentabilidade'!C15</f>
        <v>6.4863708464535952</v>
      </c>
      <c r="D11" s="102">
        <f>'Índices de Rentabilidade'!D11/'Índices de Rentabilidade'!D15</f>
        <v>7.3736023517013418</v>
      </c>
      <c r="E11" s="102">
        <f>'Índices de Rentabilidade'!E11/'Índices de Rentabilidade'!E15</f>
        <v>8.8714078263332716</v>
      </c>
      <c r="F11" s="102">
        <f>'Índices de Rentabilidade'!F11/'Índices de Rentabilidade'!F15</f>
        <v>11.61955500594425</v>
      </c>
      <c r="G11" s="102">
        <f>'Índices de Rentabilidade'!G11/'Índices de Rentabilidade'!G15</f>
        <v>-38.249424673890232</v>
      </c>
      <c r="H11" s="102">
        <f>'Índices de Rentabilidade'!H11/'Índices de Rentabilidade'!H15</f>
        <v>-70.284509820572808</v>
      </c>
      <c r="I11" s="42"/>
      <c r="J11" s="311" t="s">
        <v>238</v>
      </c>
      <c r="K11" s="51" t="s">
        <v>203</v>
      </c>
      <c r="L11" s="309" t="s">
        <v>107</v>
      </c>
      <c r="M11" s="105">
        <v>2</v>
      </c>
      <c r="N11" s="105">
        <v>2</v>
      </c>
      <c r="O11" s="105">
        <v>2</v>
      </c>
      <c r="P11" s="105">
        <v>2</v>
      </c>
      <c r="Q11" s="105">
        <v>2</v>
      </c>
      <c r="R11" s="105">
        <v>2</v>
      </c>
      <c r="S11" s="105">
        <v>2</v>
      </c>
    </row>
    <row r="12" spans="1:19" s="72" customFormat="1" ht="10" customHeight="1">
      <c r="A12" s="139" t="s">
        <v>195</v>
      </c>
      <c r="B12" s="44">
        <v>0</v>
      </c>
      <c r="C12" s="44">
        <f t="shared" ref="C12:H12" si="6">C11/B11-1</f>
        <v>-0.12630666936485557</v>
      </c>
      <c r="D12" s="44">
        <f t="shared" si="6"/>
        <v>0.13678396228807022</v>
      </c>
      <c r="E12" s="44">
        <f t="shared" si="6"/>
        <v>0.20313076338953029</v>
      </c>
      <c r="F12" s="63">
        <f t="shared" si="6"/>
        <v>0.30977576878537461</v>
      </c>
      <c r="G12" s="63">
        <f t="shared" si="6"/>
        <v>-4.2918149321831054</v>
      </c>
      <c r="H12" s="63">
        <f t="shared" si="6"/>
        <v>0.83753116340467004</v>
      </c>
      <c r="I12" s="87"/>
      <c r="J12" s="312"/>
      <c r="K12" s="51"/>
      <c r="L12" s="310"/>
    </row>
    <row r="13" spans="1:19" s="43" customFormat="1" ht="20" customHeight="1">
      <c r="A13" s="137" t="s">
        <v>204</v>
      </c>
      <c r="B13" s="76">
        <f>('Balanço Patrimonial'!B132+'Balanço Patrimonial'!B141)/DRE!D53</f>
        <v>1.6773704763471753</v>
      </c>
      <c r="C13" s="76">
        <f>('Balanço Patrimonial'!C132+'Balanço Patrimonial'!C141)/DRE!E53</f>
        <v>1.574303426625933</v>
      </c>
      <c r="D13" s="76">
        <f>('Balanço Patrimonial'!D132+'Balanço Patrimonial'!D141)/DRE!F53</f>
        <v>1.860231510507331</v>
      </c>
      <c r="E13" s="76">
        <f>('Balanço Patrimonial'!E132+'Balanço Patrimonial'!E141)/DRE!G53</f>
        <v>5.3263944645496579</v>
      </c>
      <c r="F13" s="76">
        <f>('Balanço Patrimonial'!F132+'Balanço Patrimonial'!F141)/DRE!H53</f>
        <v>5.348530539505254</v>
      </c>
      <c r="G13" s="76">
        <f>('Balanço Patrimonial'!G132+'Balanço Patrimonial'!G141)/DRE!I53</f>
        <v>9.2625371279189412</v>
      </c>
      <c r="H13" s="76">
        <f>('Balanço Patrimonial'!H132+'Balanço Patrimonial'!H141)/DRE!J53</f>
        <v>-86.127249198715916</v>
      </c>
      <c r="I13" s="42"/>
      <c r="J13" s="311" t="s">
        <v>206</v>
      </c>
      <c r="K13" s="49" t="s">
        <v>207</v>
      </c>
      <c r="L13" s="309" t="s">
        <v>164</v>
      </c>
      <c r="M13" s="105">
        <v>1</v>
      </c>
      <c r="N13" s="105">
        <v>1</v>
      </c>
      <c r="O13" s="105">
        <v>1</v>
      </c>
      <c r="P13" s="105">
        <v>1</v>
      </c>
      <c r="Q13" s="105">
        <v>1</v>
      </c>
      <c r="R13" s="105">
        <v>1</v>
      </c>
      <c r="S13" s="105">
        <v>1</v>
      </c>
    </row>
    <row r="14" spans="1:19" s="72" customFormat="1" ht="10" customHeight="1">
      <c r="A14" s="140" t="s">
        <v>195</v>
      </c>
      <c r="B14" s="44">
        <v>0</v>
      </c>
      <c r="C14" s="44">
        <f t="shared" ref="C14:H14" si="7">C13/B13-1</f>
        <v>-6.1445608572825439E-2</v>
      </c>
      <c r="D14" s="44">
        <f t="shared" si="7"/>
        <v>0.18162196629032468</v>
      </c>
      <c r="E14" s="44">
        <f t="shared" si="7"/>
        <v>1.8632965490929774</v>
      </c>
      <c r="F14" s="63">
        <f t="shared" si="7"/>
        <v>4.15592106497642E-3</v>
      </c>
      <c r="G14" s="63">
        <f t="shared" si="7"/>
        <v>0.73179101428029569</v>
      </c>
      <c r="H14" s="63">
        <f t="shared" si="7"/>
        <v>-10.298451170480387</v>
      </c>
      <c r="I14" s="87"/>
      <c r="J14" s="312"/>
      <c r="K14" s="107"/>
      <c r="L14" s="310"/>
      <c r="M14" s="104"/>
      <c r="N14" s="104"/>
      <c r="O14" s="104"/>
      <c r="P14" s="104"/>
      <c r="Q14" s="104"/>
      <c r="R14" s="104"/>
      <c r="S14" s="104"/>
    </row>
    <row r="17" spans="5:9">
      <c r="E17" s="7"/>
      <c r="F17" s="7"/>
      <c r="G17" s="8"/>
      <c r="H17" s="7"/>
      <c r="I17" s="7"/>
    </row>
    <row r="19" spans="5:9">
      <c r="I19" s="8"/>
    </row>
    <row r="39" spans="5:8">
      <c r="E39" s="4"/>
      <c r="F39" s="4"/>
      <c r="G39" s="4"/>
      <c r="H39" s="4"/>
    </row>
    <row r="40" spans="5:8">
      <c r="E40" s="5"/>
      <c r="F40" s="5"/>
      <c r="G40" s="5"/>
      <c r="H40" s="5"/>
    </row>
    <row r="41" spans="5:8">
      <c r="E41" s="6"/>
      <c r="F41" s="6"/>
      <c r="G41" s="6"/>
      <c r="H41" s="6"/>
    </row>
    <row r="58" spans="5:8">
      <c r="E58" s="4"/>
      <c r="F58" s="4"/>
      <c r="G58" s="4"/>
      <c r="H58" s="4"/>
    </row>
    <row r="59" spans="5:8">
      <c r="E59" s="5"/>
      <c r="F59" s="5"/>
      <c r="G59" s="5"/>
      <c r="H59" s="5"/>
    </row>
    <row r="60" spans="5:8">
      <c r="E60" s="6"/>
      <c r="F60" s="6"/>
      <c r="G60" s="6"/>
      <c r="H60" s="6"/>
    </row>
  </sheetData>
  <mergeCells count="13">
    <mergeCell ref="A1:H1"/>
    <mergeCell ref="J13:J14"/>
    <mergeCell ref="L13:L14"/>
    <mergeCell ref="J3:J4"/>
    <mergeCell ref="J5:J6"/>
    <mergeCell ref="J7:J8"/>
    <mergeCell ref="J9:J10"/>
    <mergeCell ref="J11:J12"/>
    <mergeCell ref="L3:L4"/>
    <mergeCell ref="L5:L6"/>
    <mergeCell ref="L7:L8"/>
    <mergeCell ref="L9:L10"/>
    <mergeCell ref="L11:L12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Balanço Patrimonial</vt:lpstr>
      <vt:lpstr>DRE</vt:lpstr>
      <vt:lpstr>DRE Mensal</vt:lpstr>
      <vt:lpstr>Balanço Estrutura Fleuriet</vt:lpstr>
      <vt:lpstr>PROJEÇÃO IRCSLL Trimestre</vt:lpstr>
      <vt:lpstr>Indicadores de Faturamento</vt:lpstr>
      <vt:lpstr>Índice de Liquidez</vt:lpstr>
      <vt:lpstr>Índices de Rentabilidade</vt:lpstr>
      <vt:lpstr>Estrutura de Capital</vt:lpstr>
      <vt:lpstr>Indicadores FC e AT</vt:lpstr>
      <vt:lpstr>Valuation</vt:lpstr>
      <vt:lpstr>Planilha1</vt:lpstr>
      <vt:lpstr>DRE!Area_de_impressao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Auxiliar Financeiro</dc:creator>
  <cp:keywords/>
  <dc:description/>
  <cp:lastModifiedBy>Marcelo Souza</cp:lastModifiedBy>
  <cp:lastPrinted>2024-04-19T22:40:59Z</cp:lastPrinted>
  <dcterms:created xsi:type="dcterms:W3CDTF">2022-09-30T18:23:24Z</dcterms:created>
  <dcterms:modified xsi:type="dcterms:W3CDTF">2025-03-21T19:10:57Z</dcterms:modified>
  <cp:category/>
</cp:coreProperties>
</file>