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21bbb8cc0b0a59/Illumine Mentoria/Clientes/Granatum/"/>
    </mc:Choice>
  </mc:AlternateContent>
  <xr:revisionPtr revIDLastSave="59" documentId="13_ncr:1_{2EF7F70B-B17E-584F-86E5-0EA93E8F62C0}" xr6:coauthVersionLast="47" xr6:coauthVersionMax="47" xr10:uidLastSave="{0F1FE2A6-478D-AC41-9417-EB8D00EE384F}"/>
  <bookViews>
    <workbookView xWindow="0" yWindow="500" windowWidth="28800" windowHeight="16480" activeTab="1" xr2:uid="{201385AE-C0F3-49ED-B453-194239822F62}"/>
  </bookViews>
  <sheets>
    <sheet name="Balanço Patrimonial" sheetId="1" r:id="rId1"/>
    <sheet name="DRE" sheetId="2" r:id="rId2"/>
  </sheets>
  <definedNames>
    <definedName name="_xlnm.Print_Area" localSheetId="1">DRE!$A$1:$H$29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15" i="2"/>
  <c r="H11" i="2"/>
  <c r="H7" i="2"/>
  <c r="H2" i="2"/>
  <c r="C30" i="1"/>
  <c r="D30" i="1"/>
  <c r="C24" i="1"/>
  <c r="D24" i="1"/>
  <c r="E24" i="1"/>
  <c r="F24" i="1"/>
  <c r="G24" i="1"/>
  <c r="G21" i="1"/>
  <c r="F21" i="1"/>
  <c r="E21" i="1"/>
  <c r="D21" i="1"/>
  <c r="C21" i="1"/>
  <c r="B21" i="1"/>
  <c r="D12" i="1"/>
  <c r="B12" i="1"/>
  <c r="C12" i="1"/>
  <c r="G13" i="1"/>
  <c r="G12" i="1" s="1"/>
  <c r="B2" i="1"/>
  <c r="G6" i="1"/>
  <c r="F6" i="1"/>
  <c r="E6" i="1"/>
  <c r="D6" i="1"/>
  <c r="C6" i="1"/>
  <c r="G25" i="1"/>
  <c r="G32" i="1"/>
  <c r="G38" i="1"/>
  <c r="F20" i="2"/>
  <c r="E20" i="2"/>
  <c r="C20" i="1" l="1"/>
  <c r="B20" i="1"/>
  <c r="H10" i="2"/>
  <c r="H14" i="2" s="1"/>
  <c r="G20" i="1"/>
  <c r="G2" i="1"/>
  <c r="H21" i="2" l="1"/>
  <c r="H19" i="2" l="1"/>
  <c r="H27" i="2"/>
  <c r="H29" i="2" l="1"/>
  <c r="G22" i="2"/>
  <c r="F22" i="2"/>
  <c r="E22" i="2"/>
  <c r="D22" i="2"/>
  <c r="C22" i="2"/>
  <c r="G11" i="2"/>
  <c r="F11" i="2"/>
  <c r="E11" i="2"/>
  <c r="D11" i="2"/>
  <c r="C11" i="2"/>
  <c r="G15" i="2"/>
  <c r="F15" i="2"/>
  <c r="E15" i="2"/>
  <c r="D15" i="2"/>
  <c r="C15" i="2"/>
  <c r="C2" i="2"/>
  <c r="D36" i="1"/>
  <c r="B36" i="1"/>
  <c r="C36" i="1"/>
  <c r="C32" i="1"/>
  <c r="B32" i="1"/>
  <c r="E32" i="1"/>
  <c r="D32" i="1"/>
  <c r="E38" i="1"/>
  <c r="F38" i="1"/>
  <c r="C43" i="1" l="1"/>
  <c r="F36" i="1"/>
  <c r="E36" i="1"/>
  <c r="G2" i="2" l="1"/>
  <c r="F2" i="2"/>
  <c r="E2" i="2"/>
  <c r="D2" i="2"/>
  <c r="G7" i="2"/>
  <c r="F7" i="2"/>
  <c r="E7" i="2"/>
  <c r="D7" i="2"/>
  <c r="C7" i="2"/>
  <c r="D10" i="2" l="1"/>
  <c r="E10" i="2"/>
  <c r="G10" i="2"/>
  <c r="C10" i="2"/>
  <c r="F10" i="2"/>
  <c r="D14" i="2" l="1"/>
  <c r="F14" i="2"/>
  <c r="G14" i="2"/>
  <c r="E14" i="2"/>
  <c r="G21" i="2" l="1"/>
  <c r="F21" i="2"/>
  <c r="F19" i="2" s="1"/>
  <c r="D21" i="2"/>
  <c r="D19" i="2" s="1"/>
  <c r="E21" i="2"/>
  <c r="E19" i="2" s="1"/>
  <c r="G19" i="2" l="1"/>
  <c r="D27" i="2"/>
  <c r="F27" i="2"/>
  <c r="E27" i="2"/>
  <c r="G27" i="2"/>
  <c r="F25" i="1" l="1"/>
  <c r="F33" i="1"/>
  <c r="F10" i="1"/>
  <c r="F20" i="1" l="1"/>
  <c r="F32" i="1"/>
  <c r="F43" i="1" s="1"/>
  <c r="G42" i="1" l="1"/>
  <c r="G36" i="1" l="1"/>
  <c r="G43" i="1" s="1"/>
  <c r="D9" i="1" l="1"/>
  <c r="D2" i="1" s="1"/>
  <c r="G28" i="2" l="1"/>
  <c r="F28" i="2"/>
  <c r="E27" i="1"/>
  <c r="E20" i="1" s="1"/>
  <c r="E43" i="1" s="1"/>
  <c r="D20" i="1"/>
  <c r="D43" i="1" s="1"/>
  <c r="F13" i="1"/>
  <c r="F12" i="1" s="1"/>
  <c r="E13" i="1"/>
  <c r="E12" i="1" s="1"/>
  <c r="E10" i="1"/>
  <c r="C9" i="1"/>
  <c r="C2" i="1" s="1"/>
  <c r="F8" i="1"/>
  <c r="E8" i="1"/>
  <c r="E2" i="1" l="1"/>
  <c r="F2" i="1"/>
  <c r="B43" i="1"/>
  <c r="F29" i="2" l="1"/>
  <c r="G29" i="2"/>
  <c r="E29" i="2"/>
  <c r="D29" i="2" l="1"/>
  <c r="E18" i="1" l="1"/>
  <c r="D18" i="1"/>
  <c r="C18" i="1"/>
  <c r="F18" i="1"/>
  <c r="C14" i="2" l="1"/>
  <c r="C21" i="2" l="1"/>
  <c r="C19" i="2" s="1"/>
  <c r="C27" i="2" l="1"/>
  <c r="C29" i="2" l="1"/>
</calcChain>
</file>

<file path=xl/sharedStrings.xml><?xml version="1.0" encoding="utf-8"?>
<sst xmlns="http://schemas.openxmlformats.org/spreadsheetml/2006/main" count="71" uniqueCount="68">
  <si>
    <t>ATIVO CIRCULANTE</t>
  </si>
  <si>
    <t>Estoque</t>
  </si>
  <si>
    <t>Imobilizado</t>
  </si>
  <si>
    <t>Investimentos</t>
  </si>
  <si>
    <t>Empréstimos e Financiamentos</t>
  </si>
  <si>
    <t>Impostos a recolher</t>
  </si>
  <si>
    <t>Contas a pagar</t>
  </si>
  <si>
    <t>Provisão 13º e Férias</t>
  </si>
  <si>
    <t>Parcelamento de Impostos</t>
  </si>
  <si>
    <t>Capital Social</t>
  </si>
  <si>
    <t>Lucros/ Prejuízos acumulados</t>
  </si>
  <si>
    <t>Depreciação</t>
  </si>
  <si>
    <t>Depósito Judicial</t>
  </si>
  <si>
    <t>Títulos de Capitalização</t>
  </si>
  <si>
    <t>Duplicatas Descontada</t>
  </si>
  <si>
    <t>Parcelamentos de Impostos</t>
  </si>
  <si>
    <t>Contigências fiscais</t>
  </si>
  <si>
    <t>Ajuste de Exercícios Anteriores</t>
  </si>
  <si>
    <t>Lucro/Prejuízos do Exercício</t>
  </si>
  <si>
    <t>Lucro Antecipados</t>
  </si>
  <si>
    <t>Obrigações Trabalhistas</t>
  </si>
  <si>
    <t>Obrigações Previdências</t>
  </si>
  <si>
    <t>Despesas Administrativas</t>
  </si>
  <si>
    <t>Despesas com Vendas</t>
  </si>
  <si>
    <t>Despesas Tributárias</t>
  </si>
  <si>
    <t>Receitas Financeiras</t>
  </si>
  <si>
    <t>Despesas Financeiras</t>
  </si>
  <si>
    <t>Receitas de Vendas M. Interno</t>
  </si>
  <si>
    <t>Receitas de Vendas M. Externo</t>
  </si>
  <si>
    <t>Tributos a Recuperar</t>
  </si>
  <si>
    <t>Créditos Diversos</t>
  </si>
  <si>
    <t>Adiantamento a Fornecedores</t>
  </si>
  <si>
    <t>Adiantamento de clientes</t>
  </si>
  <si>
    <t>TOTAL DO PASSIVO</t>
  </si>
  <si>
    <t>Receitas de Vendas de Veículos</t>
  </si>
  <si>
    <t>Devoluções das Vendas</t>
  </si>
  <si>
    <t>Outras Contas a Receber</t>
  </si>
  <si>
    <t>EBTIDA</t>
  </si>
  <si>
    <t>Cutos Diretos na Produção</t>
  </si>
  <si>
    <t>Custos das Vendas e serviços prestados</t>
  </si>
  <si>
    <t>Impostos s/ vendas e serviços prestados</t>
  </si>
  <si>
    <t>Imposto de Renda e Contribuição Social</t>
  </si>
  <si>
    <t>Custos das Mercadorias Vendidas</t>
  </si>
  <si>
    <t>Despesas Operacionais</t>
  </si>
  <si>
    <t>Receita Bruta de Vendas</t>
  </si>
  <si>
    <t>Deduções da Receita</t>
  </si>
  <si>
    <t>Receita Líquida</t>
  </si>
  <si>
    <t>Lucro Bruto</t>
  </si>
  <si>
    <t>Receitas de Serviços Prestados</t>
  </si>
  <si>
    <t>Bancos conta Movimento</t>
  </si>
  <si>
    <t>Aplicações Financeiras</t>
  </si>
  <si>
    <t>Caixa</t>
  </si>
  <si>
    <t>Retirada Sócios</t>
  </si>
  <si>
    <t>Outras receitas operacionais</t>
  </si>
  <si>
    <t>Outras despesas operacionais</t>
  </si>
  <si>
    <t>Outras Receitas e Despesas Operacionais</t>
  </si>
  <si>
    <t>EBIT</t>
  </si>
  <si>
    <t>LAIR</t>
  </si>
  <si>
    <t>ATIVO NÃO CIRCULANTE</t>
  </si>
  <si>
    <t>TOTAL DO ATIVO</t>
  </si>
  <si>
    <t>PASSIVO NÃO CIRCULANTE</t>
  </si>
  <si>
    <t>PASSIVO CIRCULANTE</t>
  </si>
  <si>
    <t>PATRIMÔNIO LÍQUIDO</t>
  </si>
  <si>
    <t>Bancos Conta Garantia</t>
  </si>
  <si>
    <t>Contas a Receber</t>
  </si>
  <si>
    <t>Adiantamento de Contratos de Câmbio</t>
  </si>
  <si>
    <t>Descrição</t>
  </si>
  <si>
    <t>Lucro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</si>
</sst>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4" fontId="2" fillId="3" borderId="2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4" fontId="5" fillId="2" borderId="0" xfId="0" applyNumberFormat="1" applyFont="1" applyFill="1" applyAlignment="1">
      <alignment vertical="center"/>
    </xf>
    <xf numFmtId="4" fontId="4" fillId="3" borderId="0" xfId="0" applyNumberFormat="1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2" fillId="0" borderId="2" xfId="0" applyFont="1" applyBorder="1" applyAlignment="1">
      <alignment vertical="center"/>
    </xf>
    <xf numFmtId="4" fontId="2" fillId="0" borderId="2" xfId="0" applyNumberFormat="1" applyFont="1" applyBorder="1" applyAlignment="1">
      <alignment vertical="center"/>
    </xf>
    <xf numFmtId="4" fontId="2" fillId="0" borderId="0" xfId="0" applyNumberFormat="1" applyFont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4" fontId="3" fillId="3" borderId="2" xfId="0" applyNumberFormat="1" applyFont="1" applyFill="1" applyBorder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4" borderId="2" xfId="0" applyFont="1" applyFill="1" applyBorder="1" applyAlignment="1">
      <alignment vertical="center"/>
    </xf>
    <xf numFmtId="4" fontId="2" fillId="4" borderId="2" xfId="0" applyNumberFormat="1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4" fontId="2" fillId="5" borderId="2" xfId="0" applyNumberFormat="1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3" fillId="3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AF2B"/>
      <color rgb="FFDAB02A"/>
      <color rgb="FFFFC700"/>
      <color rgb="FFFF52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10BD-08EF-4E86-930A-C83BE476C25F}">
  <dimension ref="A1:G89"/>
  <sheetViews>
    <sheetView showGridLines="0" zoomScale="150" zoomScaleNormal="115" workbookViewId="0">
      <pane xSplit="1" ySplit="1" topLeftCell="B35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baseColWidth="10" defaultColWidth="8.83203125" defaultRowHeight="25" customHeight="1" x14ac:dyDescent="0.2"/>
  <cols>
    <col min="1" max="1" width="32.6640625" style="1" customWidth="1"/>
    <col min="2" max="3" width="17.83203125" style="1" customWidth="1"/>
    <col min="4" max="6" width="14.83203125" style="1" customWidth="1"/>
    <col min="7" max="7" width="14.83203125" style="3" customWidth="1"/>
    <col min="8" max="16384" width="8.83203125" style="1"/>
  </cols>
  <sheetData>
    <row r="1" spans="1:7" s="2" customFormat="1" ht="25" customHeight="1" x14ac:dyDescent="0.2">
      <c r="A1" s="2" t="s">
        <v>66</v>
      </c>
      <c r="B1" s="5">
        <v>2019</v>
      </c>
      <c r="C1" s="5">
        <v>2020</v>
      </c>
      <c r="D1" s="5">
        <v>2021</v>
      </c>
      <c r="E1" s="5">
        <v>2022</v>
      </c>
      <c r="F1" s="5">
        <v>2023</v>
      </c>
      <c r="G1" s="5">
        <v>2024</v>
      </c>
    </row>
    <row r="2" spans="1:7" s="2" customFormat="1" ht="15" customHeight="1" x14ac:dyDescent="0.2">
      <c r="A2" s="24" t="s">
        <v>0</v>
      </c>
      <c r="B2" s="25">
        <f>SUM(B3,B4,B5,B6,,B7,B8,B9,B10,B11)</f>
        <v>19155806.080000002</v>
      </c>
      <c r="C2" s="25">
        <f>SUM(C3,C4,C5,C6,,C7,C8,C9,C10,C11)</f>
        <v>41440786.649999999</v>
      </c>
      <c r="D2" s="25">
        <f>SUM(D3,D4,D5,D6,,D7,D8,D9,D10,D11)</f>
        <v>62287555.829999998</v>
      </c>
      <c r="E2" s="25">
        <f>SUM(E3,E4,E5,E6,,E7,E8,E9,E10,E11)</f>
        <v>79461949.079999998</v>
      </c>
      <c r="F2" s="25">
        <f>SUM(F3,F4,F5,F6,,F7,F8,F9,F10,F11)</f>
        <v>83898999.409999996</v>
      </c>
      <c r="G2" s="25">
        <f>SUM(G3,G4,G5,G6,,G7,G8,G9,G10,G11)</f>
        <v>78596805.319999993</v>
      </c>
    </row>
    <row r="3" spans="1:7" s="2" customFormat="1" ht="15" customHeight="1" x14ac:dyDescent="0.2">
      <c r="A3" s="2" t="s">
        <v>51</v>
      </c>
      <c r="B3" s="8">
        <v>1767953.05</v>
      </c>
      <c r="C3" s="8">
        <v>378772.28</v>
      </c>
      <c r="D3" s="8">
        <v>1178314.94</v>
      </c>
      <c r="E3" s="20">
        <v>0</v>
      </c>
      <c r="F3" s="20">
        <v>0</v>
      </c>
      <c r="G3" s="20">
        <v>3419702.65</v>
      </c>
    </row>
    <row r="4" spans="1:7" s="2" customFormat="1" ht="15" customHeight="1" x14ac:dyDescent="0.2">
      <c r="A4" s="2" t="s">
        <v>49</v>
      </c>
      <c r="B4" s="8">
        <v>0</v>
      </c>
      <c r="C4" s="8">
        <v>0</v>
      </c>
      <c r="D4" s="8">
        <v>0</v>
      </c>
      <c r="E4" s="21">
        <v>952682.84</v>
      </c>
      <c r="F4" s="21">
        <v>228454.06</v>
      </c>
      <c r="G4" s="21">
        <v>1320525.77</v>
      </c>
    </row>
    <row r="5" spans="1:7" s="2" customFormat="1" ht="15" customHeight="1" x14ac:dyDescent="0.2">
      <c r="A5" s="2" t="s">
        <v>50</v>
      </c>
      <c r="B5" s="8">
        <v>0</v>
      </c>
      <c r="C5" s="8">
        <v>0</v>
      </c>
      <c r="D5" s="8">
        <v>0</v>
      </c>
      <c r="E5" s="21">
        <v>99065.08</v>
      </c>
      <c r="F5" s="21">
        <v>178906.17</v>
      </c>
      <c r="G5" s="21">
        <v>1322375.56</v>
      </c>
    </row>
    <row r="6" spans="1:7" s="2" customFormat="1" ht="15" customHeight="1" x14ac:dyDescent="0.2">
      <c r="A6" s="2" t="s">
        <v>64</v>
      </c>
      <c r="B6" s="8">
        <v>9602628.2200000007</v>
      </c>
      <c r="C6" s="8">
        <f>13494431.8+5785755.36</f>
        <v>19280187.16</v>
      </c>
      <c r="D6" s="8">
        <f>17839831.9+9441201.04</f>
        <v>27281032.939999998</v>
      </c>
      <c r="E6" s="8">
        <f>24454932.11-392880.16+14072967.36-595763.9+1199649.77+452417.18</f>
        <v>39191322.360000007</v>
      </c>
      <c r="F6" s="8">
        <f>24627833.21-468621.6+13868249.81-1899182.79+272665.51+1119959.34</f>
        <v>37520903.480000004</v>
      </c>
      <c r="G6" s="8">
        <f>27399501.52+12636508.8+1063505.18</f>
        <v>41099515.5</v>
      </c>
    </row>
    <row r="7" spans="1:7" s="2" customFormat="1" ht="15" customHeight="1" x14ac:dyDescent="0.2">
      <c r="A7" s="2" t="s">
        <v>29</v>
      </c>
      <c r="B7" s="8">
        <v>132379.01999999999</v>
      </c>
      <c r="C7" s="8">
        <v>1305007.25</v>
      </c>
      <c r="D7" s="8">
        <v>3631580.73</v>
      </c>
      <c r="E7" s="8">
        <v>7231033.3300000001</v>
      </c>
      <c r="F7" s="8">
        <v>8080654.21</v>
      </c>
      <c r="G7" s="8">
        <v>7964151.8300000001</v>
      </c>
    </row>
    <row r="8" spans="1:7" s="2" customFormat="1" ht="15" customHeight="1" x14ac:dyDescent="0.2">
      <c r="A8" s="2" t="s">
        <v>30</v>
      </c>
      <c r="B8" s="8">
        <v>3267.2</v>
      </c>
      <c r="C8" s="8">
        <v>0</v>
      </c>
      <c r="D8" s="8">
        <v>0</v>
      </c>
      <c r="E8" s="8">
        <f>22422+4955.33</f>
        <v>27377.33</v>
      </c>
      <c r="F8" s="8">
        <f>23247.04+2.36</f>
        <v>23249.4</v>
      </c>
      <c r="G8" s="8">
        <v>27276.799999999999</v>
      </c>
    </row>
    <row r="9" spans="1:7" s="2" customFormat="1" ht="15" customHeight="1" x14ac:dyDescent="0.2">
      <c r="A9" s="2" t="s">
        <v>31</v>
      </c>
      <c r="B9" s="8">
        <v>3814973.13</v>
      </c>
      <c r="C9" s="8">
        <f>1988789.96+9928057.4</f>
        <v>11916847.359999999</v>
      </c>
      <c r="D9" s="8">
        <f>5151291.35</f>
        <v>5151291.3499999996</v>
      </c>
      <c r="E9" s="8">
        <v>2572277.98</v>
      </c>
      <c r="F9" s="8">
        <v>5103440.22</v>
      </c>
      <c r="G9" s="8">
        <v>6407614.5199999996</v>
      </c>
    </row>
    <row r="10" spans="1:7" s="2" customFormat="1" ht="15" customHeight="1" x14ac:dyDescent="0.2">
      <c r="A10" s="2" t="s">
        <v>1</v>
      </c>
      <c r="B10" s="8">
        <v>3834605.46</v>
      </c>
      <c r="C10" s="8">
        <v>8514600.25</v>
      </c>
      <c r="D10" s="8">
        <v>24837718.449999999</v>
      </c>
      <c r="E10" s="8">
        <f>1798062.78+41448.33+26504037.13+988524.37+56117.55</f>
        <v>29388190.16</v>
      </c>
      <c r="F10" s="8">
        <f>3385345.74+28250312.34+774135.29+353598.5</f>
        <v>32763391.869999997</v>
      </c>
      <c r="G10" s="8">
        <v>17035642.689999998</v>
      </c>
    </row>
    <row r="11" spans="1:7" s="2" customFormat="1" ht="15" customHeight="1" x14ac:dyDescent="0.2">
      <c r="A11" s="2" t="s">
        <v>36</v>
      </c>
      <c r="B11" s="8">
        <v>0</v>
      </c>
      <c r="C11" s="8">
        <v>45372.35</v>
      </c>
      <c r="D11" s="8">
        <v>207617.42</v>
      </c>
      <c r="E11" s="8">
        <v>0</v>
      </c>
      <c r="F11" s="8">
        <v>0</v>
      </c>
      <c r="G11" s="8">
        <v>0</v>
      </c>
    </row>
    <row r="12" spans="1:7" s="2" customFormat="1" ht="15" customHeight="1" x14ac:dyDescent="0.2">
      <c r="A12" s="24" t="s">
        <v>58</v>
      </c>
      <c r="B12" s="25">
        <f>SUM(B13,B14,B15,B16,B17)</f>
        <v>1227084.1400000001</v>
      </c>
      <c r="C12" s="25">
        <f>SUM(C13,C14,C15,C16,C17)</f>
        <v>1532294.8299999996</v>
      </c>
      <c r="D12" s="25">
        <f>SUM(D13,D14,D15,D16,D17)</f>
        <v>13224134.290000001</v>
      </c>
      <c r="E12" s="25">
        <f>SUM(E13,E14,E15,E16,E17)</f>
        <v>18226161.330000002</v>
      </c>
      <c r="F12" s="25">
        <f>SUM(F13,F14,F15,F16,F17)</f>
        <v>21052823.789999999</v>
      </c>
      <c r="G12" s="25">
        <f>SUM(G13,G14,G15,G16,G17)</f>
        <v>21642156.469999995</v>
      </c>
    </row>
    <row r="13" spans="1:7" s="2" customFormat="1" ht="15" customHeight="1" x14ac:dyDescent="0.2">
      <c r="A13" s="2" t="s">
        <v>2</v>
      </c>
      <c r="B13" s="8">
        <v>1181795.49</v>
      </c>
      <c r="C13" s="8">
        <v>1601750.63</v>
      </c>
      <c r="D13" s="8">
        <v>13092000.4</v>
      </c>
      <c r="E13" s="8">
        <f>14236295.35+4059961.88</f>
        <v>18296257.23</v>
      </c>
      <c r="F13" s="8">
        <f>14882481.54+7264619.46</f>
        <v>22147101</v>
      </c>
      <c r="G13" s="8">
        <f>24319905.97+92358.18</f>
        <v>24412264.149999999</v>
      </c>
    </row>
    <row r="14" spans="1:7" s="2" customFormat="1" ht="15" customHeight="1" x14ac:dyDescent="0.2">
      <c r="A14" s="2" t="s">
        <v>3</v>
      </c>
      <c r="B14" s="8">
        <v>1718.59</v>
      </c>
      <c r="C14" s="8">
        <v>2302.42</v>
      </c>
      <c r="D14" s="8">
        <v>4152.3100000000004</v>
      </c>
      <c r="E14" s="8">
        <v>20072.36</v>
      </c>
      <c r="F14" s="8">
        <v>28374.78</v>
      </c>
      <c r="G14" s="8">
        <v>38968.47</v>
      </c>
    </row>
    <row r="15" spans="1:7" s="2" customFormat="1" ht="15" customHeight="1" x14ac:dyDescent="0.2">
      <c r="A15" s="2" t="s">
        <v>11</v>
      </c>
      <c r="B15" s="8">
        <v>0</v>
      </c>
      <c r="C15" s="8">
        <v>-91940.86</v>
      </c>
      <c r="D15" s="8">
        <v>-547245.48</v>
      </c>
      <c r="E15" s="8">
        <v>-1795397.01</v>
      </c>
      <c r="F15" s="8">
        <v>-3116825.38</v>
      </c>
      <c r="G15" s="8">
        <v>-4706577.74</v>
      </c>
    </row>
    <row r="16" spans="1:7" s="2" customFormat="1" ht="15" customHeight="1" x14ac:dyDescent="0.2">
      <c r="A16" s="2" t="s">
        <v>12</v>
      </c>
      <c r="B16" s="8">
        <v>43570.06</v>
      </c>
      <c r="C16" s="8">
        <v>13747.64</v>
      </c>
      <c r="D16" s="8">
        <v>275654.90000000002</v>
      </c>
      <c r="E16" s="8">
        <v>856270.43</v>
      </c>
      <c r="F16" s="8">
        <v>1416432.17</v>
      </c>
      <c r="G16" s="8">
        <v>1460912.31</v>
      </c>
    </row>
    <row r="17" spans="1:7" s="2" customFormat="1" ht="15" customHeight="1" x14ac:dyDescent="0.2">
      <c r="A17" s="2" t="s">
        <v>13</v>
      </c>
      <c r="B17" s="8">
        <v>0</v>
      </c>
      <c r="C17" s="8">
        <v>6435</v>
      </c>
      <c r="D17" s="8">
        <v>399572.16</v>
      </c>
      <c r="E17" s="8">
        <v>848958.32</v>
      </c>
      <c r="F17" s="8">
        <v>577741.22</v>
      </c>
      <c r="G17" s="8">
        <v>436589.28</v>
      </c>
    </row>
    <row r="18" spans="1:7" s="2" customFormat="1" ht="15" customHeight="1" x14ac:dyDescent="0.2">
      <c r="A18" s="24" t="s">
        <v>59</v>
      </c>
      <c r="B18" s="25">
        <v>20382890.219999999</v>
      </c>
      <c r="C18" s="25">
        <f>SUM(C2+C12)</f>
        <v>42973081.479999997</v>
      </c>
      <c r="D18" s="25">
        <f>SUM(D2+D12)</f>
        <v>75511690.120000005</v>
      </c>
      <c r="E18" s="25">
        <f>SUM(E2+E12)</f>
        <v>97688110.409999996</v>
      </c>
      <c r="F18" s="25">
        <f>SUM(F2+F12)</f>
        <v>104951823.19999999</v>
      </c>
      <c r="G18" s="25">
        <v>100238961.78999999</v>
      </c>
    </row>
    <row r="19" spans="1:7" s="2" customFormat="1" ht="15" customHeight="1" x14ac:dyDescent="0.2">
      <c r="A19" s="7"/>
      <c r="B19" s="26"/>
      <c r="C19" s="26"/>
      <c r="D19" s="26"/>
      <c r="E19" s="26"/>
      <c r="F19" s="26"/>
      <c r="G19" s="26"/>
    </row>
    <row r="20" spans="1:7" s="2" customFormat="1" ht="15" customHeight="1" x14ac:dyDescent="0.2">
      <c r="A20" s="24" t="s">
        <v>61</v>
      </c>
      <c r="B20" s="25">
        <f>SUM(B21,B24,B26,B30,B29,B22,B25,B23,B31,B27,B28)</f>
        <v>11801449.310000001</v>
      </c>
      <c r="C20" s="25">
        <f>SUM(C21,C24,C26,C30,C29,C22,C25,C23,C31,C27,C28)</f>
        <v>26240597.540000003</v>
      </c>
      <c r="D20" s="25">
        <f>SUM(D21,D24,D26,D30,D29,D22,D25,D23,D31,D27,D28)</f>
        <v>54531544.839999989</v>
      </c>
      <c r="E20" s="25">
        <f>SUM(E21,E24,E26,E30,E29,E22,E25,E23,E31,E27,E28)</f>
        <v>75965712.030000001</v>
      </c>
      <c r="F20" s="25">
        <f>SUM(F21,F24,F26,F30,F29,F22,F25,F23,F31,F27,F28)</f>
        <v>82855477.640000001</v>
      </c>
      <c r="G20" s="25">
        <f>SUM(G21,G24,G26,G30,G29,G22,G25,G23,G31,G27,G28)</f>
        <v>83590554.879999995</v>
      </c>
    </row>
    <row r="21" spans="1:7" s="2" customFormat="1" ht="15" customHeight="1" x14ac:dyDescent="0.2">
      <c r="A21" s="2" t="s">
        <v>6</v>
      </c>
      <c r="B21" s="8">
        <f>6356596.88+27774.88</f>
        <v>6384371.7599999998</v>
      </c>
      <c r="C21" s="8">
        <f>6678238.87-28207.84+7345062.63+19418.27</f>
        <v>14014511.93</v>
      </c>
      <c r="D21" s="8">
        <f>15041629.5+8365984.41+44343.06</f>
        <v>23451956.969999999</v>
      </c>
      <c r="E21" s="8">
        <f>18785615.37+2542162.99+124158.09</f>
        <v>21451936.449999999</v>
      </c>
      <c r="F21" s="8">
        <f>24289949.39+3017883.46+140669.38</f>
        <v>27448502.23</v>
      </c>
      <c r="G21" s="8">
        <f>23343052.04+1748204.65+147536.09</f>
        <v>25238792.779999997</v>
      </c>
    </row>
    <row r="22" spans="1:7" s="2" customFormat="1" ht="15" customHeight="1" x14ac:dyDescent="0.2">
      <c r="A22" s="2" t="s">
        <v>14</v>
      </c>
      <c r="B22" s="22">
        <v>0</v>
      </c>
      <c r="C22" s="8">
        <v>4280838.45</v>
      </c>
      <c r="D22" s="8">
        <v>7896806.1900000004</v>
      </c>
      <c r="E22" s="8">
        <v>11819934.029999999</v>
      </c>
      <c r="F22" s="8">
        <v>8636508.1300000008</v>
      </c>
      <c r="G22" s="8">
        <v>7448961.6900000004</v>
      </c>
    </row>
    <row r="23" spans="1:7" s="2" customFormat="1" ht="15" customHeight="1" x14ac:dyDescent="0.2">
      <c r="A23" s="2" t="s">
        <v>63</v>
      </c>
      <c r="B23" s="22">
        <v>0</v>
      </c>
      <c r="C23" s="8">
        <v>0</v>
      </c>
      <c r="D23" s="8">
        <v>0</v>
      </c>
      <c r="E23" s="8">
        <v>0</v>
      </c>
      <c r="F23" s="8">
        <v>1222139.82</v>
      </c>
      <c r="G23" s="8">
        <v>1247863.18</v>
      </c>
    </row>
    <row r="24" spans="1:7" s="2" customFormat="1" ht="15" customHeight="1" x14ac:dyDescent="0.2">
      <c r="A24" s="2" t="s">
        <v>4</v>
      </c>
      <c r="B24" s="8">
        <v>3593432.08</v>
      </c>
      <c r="C24" s="8">
        <f>4210577.96+157024.06</f>
        <v>4367602.0199999996</v>
      </c>
      <c r="D24" s="8">
        <f>8037796.51+776097</f>
        <v>8813893.5099999998</v>
      </c>
      <c r="E24" s="14">
        <f>1393991.15+5957802.96+5489783.41</f>
        <v>12841577.52</v>
      </c>
      <c r="F24" s="14">
        <f>888319.28+15218093.69+1570391.88-1222139.82</f>
        <v>16454665.029999997</v>
      </c>
      <c r="G24" s="8">
        <f>18924151.19+1570391.88</f>
        <v>20494543.07</v>
      </c>
    </row>
    <row r="25" spans="1:7" s="2" customFormat="1" ht="15" customHeight="1" x14ac:dyDescent="0.2">
      <c r="A25" s="2" t="s">
        <v>65</v>
      </c>
      <c r="B25" s="22">
        <v>0</v>
      </c>
      <c r="C25" s="8">
        <v>0</v>
      </c>
      <c r="D25" s="8">
        <v>10126075.460000001</v>
      </c>
      <c r="E25" s="8">
        <v>24504531.690000001</v>
      </c>
      <c r="F25" s="8">
        <f>21833314.73-574606.31</f>
        <v>21258708.420000002</v>
      </c>
      <c r="G25" s="8">
        <f>19898534.16-2213544.51</f>
        <v>17684989.649999999</v>
      </c>
    </row>
    <row r="26" spans="1:7" s="2" customFormat="1" ht="15" customHeight="1" x14ac:dyDescent="0.2">
      <c r="A26" s="2" t="s">
        <v>5</v>
      </c>
      <c r="B26" s="8">
        <v>1711276.47</v>
      </c>
      <c r="C26" s="8">
        <v>2348908.21</v>
      </c>
      <c r="D26" s="8">
        <v>2403807.5699999998</v>
      </c>
      <c r="E26" s="8">
        <v>889047.19</v>
      </c>
      <c r="F26" s="8">
        <v>76701.070000000007</v>
      </c>
      <c r="G26" s="8">
        <v>783279.18</v>
      </c>
    </row>
    <row r="27" spans="1:7" s="2" customFormat="1" ht="15" customHeight="1" x14ac:dyDescent="0.2">
      <c r="A27" s="2" t="s">
        <v>20</v>
      </c>
      <c r="B27" s="22">
        <v>0</v>
      </c>
      <c r="C27" s="8">
        <v>34613.14</v>
      </c>
      <c r="D27" s="8">
        <v>130024.47</v>
      </c>
      <c r="E27" s="8">
        <f>175168.62</f>
        <v>175168.62</v>
      </c>
      <c r="F27" s="8">
        <v>185024.89</v>
      </c>
      <c r="G27" s="8">
        <v>272321.84999999998</v>
      </c>
    </row>
    <row r="28" spans="1:7" s="2" customFormat="1" ht="15" customHeight="1" x14ac:dyDescent="0.2">
      <c r="A28" s="2" t="s">
        <v>21</v>
      </c>
      <c r="B28" s="22">
        <v>0</v>
      </c>
      <c r="C28" s="22">
        <v>0</v>
      </c>
      <c r="D28" s="22">
        <v>0</v>
      </c>
      <c r="E28" s="8">
        <v>96244.11</v>
      </c>
      <c r="F28" s="8">
        <v>152899.84</v>
      </c>
      <c r="G28" s="8">
        <v>180037.84</v>
      </c>
    </row>
    <row r="29" spans="1:7" s="2" customFormat="1" ht="15" customHeight="1" x14ac:dyDescent="0.2">
      <c r="A29" s="2" t="s">
        <v>7</v>
      </c>
      <c r="B29" s="8">
        <v>11076.09</v>
      </c>
      <c r="C29" s="8">
        <v>23365.42</v>
      </c>
      <c r="D29" s="8">
        <v>169877.55</v>
      </c>
      <c r="E29" s="8">
        <v>321285.45</v>
      </c>
      <c r="F29" s="8">
        <v>553871.49</v>
      </c>
      <c r="G29" s="8">
        <v>700730.58</v>
      </c>
    </row>
    <row r="30" spans="1:7" s="2" customFormat="1" ht="15" customHeight="1" x14ac:dyDescent="0.2">
      <c r="A30" s="2" t="s">
        <v>32</v>
      </c>
      <c r="B30" s="8">
        <v>101292.91</v>
      </c>
      <c r="C30" s="8">
        <f>78260.48+289116.57</f>
        <v>367377.05</v>
      </c>
      <c r="D30" s="8">
        <f>8382.02+163089.23</f>
        <v>171471.25</v>
      </c>
      <c r="E30" s="8">
        <v>2556833.34</v>
      </c>
      <c r="F30" s="8">
        <v>5436878.1100000003</v>
      </c>
      <c r="G30" s="8">
        <v>8294500.6900000004</v>
      </c>
    </row>
    <row r="31" spans="1:7" s="2" customFormat="1" ht="15" customHeight="1" x14ac:dyDescent="0.2">
      <c r="A31" s="2" t="s">
        <v>15</v>
      </c>
      <c r="B31" s="22">
        <v>0</v>
      </c>
      <c r="C31" s="8">
        <v>803381.32</v>
      </c>
      <c r="D31" s="8">
        <v>1367631.87</v>
      </c>
      <c r="E31" s="8">
        <v>1309153.6299999999</v>
      </c>
      <c r="F31" s="8">
        <v>1429578.61</v>
      </c>
      <c r="G31" s="8">
        <v>1244534.3700000001</v>
      </c>
    </row>
    <row r="32" spans="1:7" s="2" customFormat="1" ht="15" customHeight="1" x14ac:dyDescent="0.2">
      <c r="A32" s="24" t="s">
        <v>60</v>
      </c>
      <c r="B32" s="25">
        <f>SUM(B34,B33,B35)</f>
        <v>5835931.0300000003</v>
      </c>
      <c r="C32" s="25">
        <f>SUM(C34,C33,C35)</f>
        <v>10107349.1</v>
      </c>
      <c r="D32" s="25">
        <f>SUM(D34,D33,D35)</f>
        <v>10739331.290000001</v>
      </c>
      <c r="E32" s="25">
        <f>SUM(E34,E33,E35)</f>
        <v>12461965.129999999</v>
      </c>
      <c r="F32" s="25">
        <f>SUM(F34,F33,F35)</f>
        <v>15071878.150000002</v>
      </c>
      <c r="G32" s="25">
        <f>SUM(G34,G33,G35)</f>
        <v>14027741.039999999</v>
      </c>
    </row>
    <row r="33" spans="1:7" s="2" customFormat="1" ht="15" customHeight="1" x14ac:dyDescent="0.2">
      <c r="A33" s="2" t="s">
        <v>4</v>
      </c>
      <c r="B33" s="8">
        <v>4412958.04</v>
      </c>
      <c r="C33" s="8">
        <v>7598875.5199999996</v>
      </c>
      <c r="D33" s="8">
        <v>6755094.6900000004</v>
      </c>
      <c r="E33" s="8">
        <v>8863812.5899999999</v>
      </c>
      <c r="F33" s="8">
        <f>11503556.99</f>
        <v>11503556.99</v>
      </c>
      <c r="G33" s="8">
        <v>11291388.65</v>
      </c>
    </row>
    <row r="34" spans="1:7" s="2" customFormat="1" ht="15" customHeight="1" x14ac:dyDescent="0.2">
      <c r="A34" s="2" t="s">
        <v>8</v>
      </c>
      <c r="B34" s="8">
        <v>1422972.99</v>
      </c>
      <c r="C34" s="8">
        <v>2494725.94</v>
      </c>
      <c r="D34" s="8">
        <v>3708581.7</v>
      </c>
      <c r="E34" s="8">
        <v>2713675.77</v>
      </c>
      <c r="F34" s="8">
        <v>2107408.9500000002</v>
      </c>
      <c r="G34" s="8">
        <v>1275440.18</v>
      </c>
    </row>
    <row r="35" spans="1:7" s="2" customFormat="1" ht="15" customHeight="1" x14ac:dyDescent="0.2">
      <c r="A35" s="2" t="s">
        <v>16</v>
      </c>
      <c r="B35" s="2">
        <v>0</v>
      </c>
      <c r="C35" s="8">
        <v>13747.64</v>
      </c>
      <c r="D35" s="8">
        <v>275654.90000000002</v>
      </c>
      <c r="E35" s="8">
        <v>884476.77</v>
      </c>
      <c r="F35" s="8">
        <v>1460912.21</v>
      </c>
      <c r="G35" s="8">
        <v>1460912.21</v>
      </c>
    </row>
    <row r="36" spans="1:7" s="2" customFormat="1" ht="15" customHeight="1" x14ac:dyDescent="0.2">
      <c r="A36" s="24" t="s">
        <v>62</v>
      </c>
      <c r="B36" s="25">
        <f>SUM(B37,B38,B39,B40,B41,B42)</f>
        <v>2745509.88</v>
      </c>
      <c r="C36" s="25">
        <f>SUM(C37,C38,C39,C40,C41,C42)</f>
        <v>6625134.8399999999</v>
      </c>
      <c r="D36" s="25">
        <f>SUM(D37,D38,D39,D40,D41,D42)</f>
        <v>10240813.99</v>
      </c>
      <c r="E36" s="25">
        <f>SUM(E37,E38,E39,E40,E41,E42)</f>
        <v>11234035.779999999</v>
      </c>
      <c r="F36" s="25">
        <f>SUM(F37,F38,F39,F40,F41,F42)</f>
        <v>9221418.0100000016</v>
      </c>
      <c r="G36" s="25">
        <f>SUM(G37,G38,G39,G40,G41,G42)</f>
        <v>2620665.8699999992</v>
      </c>
    </row>
    <row r="37" spans="1:7" s="2" customFormat="1" ht="15" customHeight="1" x14ac:dyDescent="0.2">
      <c r="A37" s="2" t="s">
        <v>9</v>
      </c>
      <c r="B37" s="8">
        <v>2000000</v>
      </c>
      <c r="C37" s="8">
        <v>2000000</v>
      </c>
      <c r="D37" s="8">
        <v>2000000</v>
      </c>
      <c r="E37" s="8">
        <v>2000000</v>
      </c>
      <c r="F37" s="8">
        <v>2000000</v>
      </c>
      <c r="G37" s="8">
        <v>2000000</v>
      </c>
    </row>
    <row r="38" spans="1:7" s="2" customFormat="1" ht="15" customHeight="1" x14ac:dyDescent="0.2">
      <c r="A38" s="2" t="s">
        <v>10</v>
      </c>
      <c r="B38" s="23">
        <v>0</v>
      </c>
      <c r="C38" s="8">
        <v>745509.88</v>
      </c>
      <c r="D38" s="8">
        <v>1648071.85</v>
      </c>
      <c r="E38" s="8">
        <f>8936423.02</f>
        <v>8936423.0199999996</v>
      </c>
      <c r="F38" s="14">
        <f>6834331.8</f>
        <v>6834331.7999999998</v>
      </c>
      <c r="G38" s="14">
        <f>5032539.92+927443.44+941</f>
        <v>5960924.3599999994</v>
      </c>
    </row>
    <row r="39" spans="1:7" s="2" customFormat="1" ht="15" customHeight="1" x14ac:dyDescent="0.2">
      <c r="A39" s="2" t="s">
        <v>19</v>
      </c>
      <c r="B39" s="8">
        <v>-698277.34</v>
      </c>
      <c r="C39" s="8">
        <v>-1457047.79</v>
      </c>
      <c r="D39" s="8">
        <v>0</v>
      </c>
      <c r="E39" s="8">
        <v>0</v>
      </c>
      <c r="F39" s="8">
        <v>0</v>
      </c>
      <c r="G39" s="8">
        <v>0</v>
      </c>
    </row>
    <row r="40" spans="1:7" s="2" customFormat="1" ht="15" customHeight="1" x14ac:dyDescent="0.2">
      <c r="A40" s="2" t="s">
        <v>17</v>
      </c>
      <c r="B40" s="8">
        <v>-38618.25</v>
      </c>
      <c r="C40" s="8">
        <v>-21042.92</v>
      </c>
      <c r="D40" s="8">
        <v>-2138416.2999999998</v>
      </c>
      <c r="E40" s="20">
        <v>0</v>
      </c>
      <c r="F40" s="20">
        <v>0</v>
      </c>
      <c r="G40" s="20">
        <v>0</v>
      </c>
    </row>
    <row r="41" spans="1:7" s="2" customFormat="1" ht="15" customHeight="1" x14ac:dyDescent="0.2">
      <c r="A41" s="2" t="s">
        <v>52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-1443894.3</v>
      </c>
    </row>
    <row r="42" spans="1:7" s="2" customFormat="1" ht="15" customHeight="1" x14ac:dyDescent="0.2">
      <c r="A42" s="2" t="s">
        <v>18</v>
      </c>
      <c r="B42" s="8">
        <v>1482405.47</v>
      </c>
      <c r="C42" s="8">
        <v>5357715.67</v>
      </c>
      <c r="D42" s="8">
        <v>8731158.4399999995</v>
      </c>
      <c r="E42" s="8">
        <v>297612.76</v>
      </c>
      <c r="F42" s="8">
        <v>387086.21</v>
      </c>
      <c r="G42" s="8">
        <f>DRE!H29</f>
        <v>-3896364.1900000004</v>
      </c>
    </row>
    <row r="43" spans="1:7" s="2" customFormat="1" ht="15" customHeight="1" x14ac:dyDescent="0.2">
      <c r="A43" s="18" t="s">
        <v>33</v>
      </c>
      <c r="B43" s="19">
        <f>B36+B32+B20</f>
        <v>20382890.219999999</v>
      </c>
      <c r="C43" s="19">
        <f>C36+C32+C20</f>
        <v>42973081.480000004</v>
      </c>
      <c r="D43" s="19">
        <f>D36+D32+D20</f>
        <v>75511690.11999999</v>
      </c>
      <c r="E43" s="19">
        <f>E36+E32+E20</f>
        <v>99661712.939999998</v>
      </c>
      <c r="F43" s="19">
        <f>F36+F32+F20</f>
        <v>107148773.80000001</v>
      </c>
      <c r="G43" s="19">
        <f>G36+G32+G20</f>
        <v>100238961.78999999</v>
      </c>
    </row>
    <row r="44" spans="1:7" ht="25" customHeight="1" x14ac:dyDescent="0.2">
      <c r="B44" s="4"/>
      <c r="C44" s="4"/>
      <c r="D44" s="4"/>
      <c r="E44" s="4"/>
      <c r="F44" s="4"/>
      <c r="G44" s="1"/>
    </row>
    <row r="45" spans="1:7" ht="25" customHeight="1" x14ac:dyDescent="0.2">
      <c r="B45" s="17"/>
      <c r="C45" s="17"/>
      <c r="D45" s="17"/>
      <c r="E45" s="17"/>
      <c r="F45" s="17"/>
      <c r="G45" s="1"/>
    </row>
    <row r="46" spans="1:7" ht="25" customHeight="1" x14ac:dyDescent="0.2">
      <c r="B46" s="17"/>
      <c r="C46" s="17"/>
      <c r="D46" s="17"/>
      <c r="E46" s="17"/>
      <c r="F46" s="17"/>
      <c r="G46" s="1"/>
    </row>
    <row r="47" spans="1:7" ht="25" customHeight="1" x14ac:dyDescent="0.2">
      <c r="B47" s="17"/>
      <c r="C47" s="17"/>
      <c r="D47" s="17"/>
      <c r="E47" s="17"/>
      <c r="F47" s="17"/>
      <c r="G47" s="1"/>
    </row>
    <row r="48" spans="1:7" ht="25" customHeight="1" x14ac:dyDescent="0.2">
      <c r="B48" s="17"/>
      <c r="C48" s="17"/>
      <c r="D48" s="17"/>
      <c r="E48" s="17"/>
      <c r="F48" s="17"/>
      <c r="G48" s="1"/>
    </row>
    <row r="49" spans="2:7" ht="25" customHeight="1" x14ac:dyDescent="0.2">
      <c r="B49" s="17"/>
      <c r="C49" s="17"/>
      <c r="D49" s="17"/>
      <c r="E49" s="17"/>
      <c r="F49" s="17"/>
      <c r="G49" s="1"/>
    </row>
    <row r="50" spans="2:7" ht="25" customHeight="1" x14ac:dyDescent="0.2">
      <c r="B50" s="17"/>
      <c r="C50" s="17"/>
      <c r="D50" s="17"/>
      <c r="E50" s="17"/>
      <c r="F50" s="17"/>
      <c r="G50" s="1"/>
    </row>
    <row r="51" spans="2:7" ht="25" customHeight="1" x14ac:dyDescent="0.2">
      <c r="B51" s="17"/>
      <c r="C51" s="17"/>
      <c r="D51" s="17"/>
      <c r="E51" s="17"/>
      <c r="F51" s="17"/>
      <c r="G51" s="1"/>
    </row>
    <row r="52" spans="2:7" ht="25" customHeight="1" x14ac:dyDescent="0.2">
      <c r="B52" s="17"/>
      <c r="C52" s="17"/>
      <c r="D52" s="17"/>
      <c r="E52" s="17"/>
      <c r="F52" s="17"/>
      <c r="G52" s="1"/>
    </row>
    <row r="53" spans="2:7" ht="25" customHeight="1" x14ac:dyDescent="0.2">
      <c r="B53" s="17"/>
      <c r="C53" s="17"/>
      <c r="D53" s="17"/>
      <c r="E53" s="17"/>
      <c r="F53" s="17"/>
      <c r="G53" s="1"/>
    </row>
    <row r="54" spans="2:7" ht="25" customHeight="1" x14ac:dyDescent="0.2">
      <c r="B54" s="17"/>
      <c r="C54" s="17"/>
      <c r="D54" s="17"/>
      <c r="E54" s="17"/>
      <c r="F54" s="17"/>
      <c r="G54" s="1"/>
    </row>
    <row r="55" spans="2:7" ht="25" customHeight="1" x14ac:dyDescent="0.2">
      <c r="B55" s="17"/>
      <c r="C55" s="17"/>
      <c r="D55" s="17"/>
      <c r="E55" s="17"/>
      <c r="F55" s="17"/>
      <c r="G55" s="1"/>
    </row>
    <row r="56" spans="2:7" ht="25" customHeight="1" x14ac:dyDescent="0.2">
      <c r="B56" s="17"/>
      <c r="C56" s="17"/>
      <c r="D56" s="17"/>
      <c r="E56" s="17"/>
      <c r="F56" s="17"/>
      <c r="G56" s="1"/>
    </row>
    <row r="57" spans="2:7" ht="25" customHeight="1" x14ac:dyDescent="0.2">
      <c r="B57" s="17"/>
      <c r="C57" s="17"/>
      <c r="D57" s="17"/>
      <c r="E57" s="17"/>
      <c r="F57" s="17"/>
      <c r="G57" s="1"/>
    </row>
    <row r="58" spans="2:7" ht="25" customHeight="1" x14ac:dyDescent="0.2">
      <c r="B58" s="17"/>
      <c r="C58" s="17"/>
      <c r="D58" s="17"/>
      <c r="E58" s="17"/>
      <c r="F58" s="17"/>
      <c r="G58" s="1"/>
    </row>
    <row r="59" spans="2:7" ht="25" customHeight="1" x14ac:dyDescent="0.2">
      <c r="B59" s="17"/>
      <c r="C59" s="17"/>
      <c r="D59" s="17"/>
      <c r="E59" s="17"/>
      <c r="F59" s="17"/>
      <c r="G59" s="1"/>
    </row>
    <row r="60" spans="2:7" ht="25" customHeight="1" x14ac:dyDescent="0.2">
      <c r="B60" s="17"/>
      <c r="C60" s="17"/>
      <c r="D60" s="17"/>
      <c r="E60" s="17"/>
      <c r="F60" s="17"/>
      <c r="G60" s="1"/>
    </row>
    <row r="61" spans="2:7" ht="25" customHeight="1" x14ac:dyDescent="0.2">
      <c r="B61" s="17"/>
      <c r="C61" s="17"/>
      <c r="D61" s="17"/>
      <c r="E61" s="17"/>
      <c r="F61" s="17"/>
      <c r="G61" s="1"/>
    </row>
    <row r="62" spans="2:7" ht="25" customHeight="1" x14ac:dyDescent="0.2">
      <c r="B62" s="17"/>
      <c r="C62" s="17"/>
      <c r="D62" s="17"/>
      <c r="E62" s="17"/>
      <c r="F62" s="17"/>
      <c r="G62" s="1"/>
    </row>
    <row r="63" spans="2:7" ht="25" customHeight="1" x14ac:dyDescent="0.2">
      <c r="B63" s="17"/>
      <c r="C63" s="17"/>
      <c r="D63" s="17"/>
      <c r="E63" s="17"/>
      <c r="F63" s="17"/>
      <c r="G63" s="1"/>
    </row>
    <row r="64" spans="2:7" ht="25" customHeight="1" x14ac:dyDescent="0.2">
      <c r="B64" s="17"/>
      <c r="C64" s="17"/>
      <c r="D64" s="17"/>
      <c r="E64" s="17"/>
      <c r="F64" s="17"/>
      <c r="G64" s="1"/>
    </row>
    <row r="65" spans="2:7" ht="25" customHeight="1" x14ac:dyDescent="0.2">
      <c r="B65" s="17"/>
      <c r="C65" s="17"/>
      <c r="D65" s="17"/>
      <c r="E65" s="17"/>
      <c r="F65" s="17"/>
      <c r="G65" s="1"/>
    </row>
    <row r="66" spans="2:7" ht="25" customHeight="1" x14ac:dyDescent="0.2">
      <c r="B66" s="17"/>
      <c r="C66" s="17"/>
      <c r="D66" s="17"/>
      <c r="E66" s="17"/>
      <c r="F66" s="17"/>
      <c r="G66" s="1"/>
    </row>
    <row r="67" spans="2:7" ht="25" customHeight="1" x14ac:dyDescent="0.2">
      <c r="B67" s="17"/>
      <c r="C67" s="17"/>
      <c r="D67" s="17"/>
      <c r="E67" s="17"/>
      <c r="F67" s="17"/>
      <c r="G67" s="1"/>
    </row>
    <row r="68" spans="2:7" ht="25" customHeight="1" x14ac:dyDescent="0.2">
      <c r="B68" s="17"/>
      <c r="C68" s="17"/>
      <c r="D68" s="17"/>
      <c r="E68" s="17"/>
      <c r="F68" s="17"/>
      <c r="G68" s="1"/>
    </row>
    <row r="69" spans="2:7" ht="25" customHeight="1" x14ac:dyDescent="0.2">
      <c r="B69" s="17"/>
      <c r="C69" s="17"/>
      <c r="D69" s="17"/>
      <c r="E69" s="17"/>
      <c r="F69" s="17"/>
      <c r="G69" s="1"/>
    </row>
    <row r="70" spans="2:7" ht="25" customHeight="1" x14ac:dyDescent="0.2">
      <c r="B70" s="17"/>
      <c r="C70" s="17"/>
      <c r="D70" s="17"/>
      <c r="E70" s="17"/>
      <c r="F70" s="17"/>
      <c r="G70" s="1"/>
    </row>
    <row r="71" spans="2:7" ht="25" customHeight="1" x14ac:dyDescent="0.2">
      <c r="B71" s="17"/>
      <c r="C71" s="17"/>
      <c r="D71" s="17"/>
      <c r="E71" s="17"/>
      <c r="F71" s="17"/>
      <c r="G71" s="1"/>
    </row>
    <row r="72" spans="2:7" ht="25" customHeight="1" x14ac:dyDescent="0.2">
      <c r="B72" s="17"/>
      <c r="C72" s="17"/>
      <c r="D72" s="17"/>
      <c r="E72" s="17"/>
      <c r="F72" s="17"/>
      <c r="G72" s="1"/>
    </row>
    <row r="73" spans="2:7" ht="25" customHeight="1" x14ac:dyDescent="0.2">
      <c r="B73" s="17"/>
      <c r="C73" s="17"/>
      <c r="D73" s="17"/>
      <c r="E73" s="17"/>
      <c r="F73" s="17"/>
      <c r="G73" s="1"/>
    </row>
    <row r="74" spans="2:7" ht="25" customHeight="1" x14ac:dyDescent="0.2">
      <c r="B74" s="17"/>
      <c r="C74" s="17"/>
      <c r="D74" s="17"/>
      <c r="E74" s="17"/>
      <c r="F74" s="17"/>
      <c r="G74" s="1"/>
    </row>
    <row r="75" spans="2:7" ht="25" customHeight="1" x14ac:dyDescent="0.2">
      <c r="B75" s="17"/>
      <c r="C75" s="17"/>
      <c r="D75" s="17"/>
      <c r="E75" s="17"/>
      <c r="F75" s="17"/>
      <c r="G75" s="1"/>
    </row>
    <row r="76" spans="2:7" ht="25" customHeight="1" x14ac:dyDescent="0.2">
      <c r="B76" s="17"/>
      <c r="C76" s="17"/>
      <c r="D76" s="17"/>
      <c r="E76" s="17"/>
      <c r="F76" s="17"/>
      <c r="G76" s="1"/>
    </row>
    <row r="77" spans="2:7" ht="25" customHeight="1" x14ac:dyDescent="0.2">
      <c r="B77" s="17"/>
      <c r="C77" s="17"/>
      <c r="D77" s="17"/>
      <c r="E77" s="17"/>
      <c r="F77" s="17"/>
      <c r="G77" s="1"/>
    </row>
    <row r="78" spans="2:7" ht="25" customHeight="1" x14ac:dyDescent="0.2">
      <c r="B78" s="17"/>
      <c r="C78" s="17"/>
      <c r="D78" s="17"/>
      <c r="E78" s="17"/>
      <c r="F78" s="17"/>
      <c r="G78" s="1"/>
    </row>
    <row r="79" spans="2:7" ht="25" customHeight="1" x14ac:dyDescent="0.2">
      <c r="B79" s="17"/>
      <c r="C79" s="17"/>
      <c r="D79" s="17"/>
      <c r="E79" s="17"/>
      <c r="F79" s="17"/>
      <c r="G79" s="1"/>
    </row>
    <row r="80" spans="2:7" ht="25" customHeight="1" x14ac:dyDescent="0.2">
      <c r="B80" s="17"/>
      <c r="C80" s="17"/>
      <c r="D80" s="17"/>
      <c r="E80" s="17"/>
      <c r="F80" s="17"/>
      <c r="G80" s="1"/>
    </row>
    <row r="81" spans="2:6" ht="25" customHeight="1" x14ac:dyDescent="0.2">
      <c r="B81" s="17"/>
      <c r="C81" s="17"/>
      <c r="D81" s="17"/>
      <c r="E81" s="17"/>
      <c r="F81" s="17"/>
    </row>
    <row r="82" spans="2:6" ht="25" customHeight="1" x14ac:dyDescent="0.2">
      <c r="B82" s="17"/>
      <c r="C82" s="17"/>
      <c r="D82" s="17"/>
      <c r="E82" s="17"/>
      <c r="F82" s="17"/>
    </row>
    <row r="83" spans="2:6" ht="25" customHeight="1" x14ac:dyDescent="0.2">
      <c r="B83" s="17"/>
      <c r="C83" s="17"/>
      <c r="D83" s="17"/>
      <c r="E83" s="17"/>
      <c r="F83" s="17"/>
    </row>
    <row r="84" spans="2:6" ht="25" customHeight="1" x14ac:dyDescent="0.2">
      <c r="B84" s="17"/>
      <c r="C84" s="17"/>
      <c r="D84" s="17"/>
      <c r="E84" s="17"/>
      <c r="F84" s="17"/>
    </row>
    <row r="85" spans="2:6" ht="25" customHeight="1" x14ac:dyDescent="0.2">
      <c r="B85" s="17"/>
      <c r="C85" s="17"/>
      <c r="D85" s="17"/>
      <c r="E85" s="17"/>
      <c r="F85" s="17"/>
    </row>
    <row r="86" spans="2:6" ht="25" customHeight="1" x14ac:dyDescent="0.2">
      <c r="B86" s="17"/>
      <c r="C86" s="17"/>
      <c r="D86" s="17"/>
      <c r="E86" s="17"/>
      <c r="F86" s="17"/>
    </row>
    <row r="87" spans="2:6" ht="25" customHeight="1" x14ac:dyDescent="0.2">
      <c r="B87" s="17"/>
      <c r="C87" s="17"/>
      <c r="D87" s="17"/>
      <c r="E87" s="17"/>
      <c r="F87" s="17"/>
    </row>
    <row r="88" spans="2:6" ht="25" customHeight="1" x14ac:dyDescent="0.2">
      <c r="B88" s="17"/>
      <c r="C88" s="17"/>
      <c r="D88" s="17"/>
      <c r="E88" s="17"/>
      <c r="F88" s="17"/>
    </row>
    <row r="89" spans="2:6" ht="25" customHeight="1" x14ac:dyDescent="0.2">
      <c r="B89" s="17"/>
      <c r="C89" s="17"/>
      <c r="D89" s="17"/>
      <c r="E89" s="17"/>
      <c r="F89" s="17"/>
    </row>
  </sheetData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6E06-CE16-425A-826B-07EB629A573E}">
  <dimension ref="A1:H29"/>
  <sheetViews>
    <sheetView showGridLines="0" tabSelected="1" zoomScale="137" zoomScaleNormal="125" zoomScaleSheetLayoutView="138" workbookViewId="0">
      <pane xSplit="2" ySplit="1" topLeftCell="C23" activePane="bottomRight" state="frozen"/>
      <selection pane="topRight" activeCell="B1" sqref="B1"/>
      <selection pane="bottomLeft" activeCell="A4" sqref="A4"/>
      <selection pane="bottomRight" activeCell="A30" sqref="A30"/>
    </sheetView>
  </sheetViews>
  <sheetFormatPr baseColWidth="10" defaultColWidth="8.83203125" defaultRowHeight="12" x14ac:dyDescent="0.15"/>
  <cols>
    <col min="1" max="1" width="1.83203125" style="6" customWidth="1"/>
    <col min="2" max="2" width="31.83203125" style="6" customWidth="1"/>
    <col min="3" max="8" width="12.83203125" style="6" customWidth="1"/>
    <col min="9" max="16384" width="8.83203125" style="6"/>
  </cols>
  <sheetData>
    <row r="1" spans="1:8" s="10" customFormat="1" ht="34" customHeight="1" x14ac:dyDescent="0.2">
      <c r="A1" s="38" t="s">
        <v>66</v>
      </c>
      <c r="B1" s="38"/>
      <c r="C1" s="9">
        <v>2019</v>
      </c>
      <c r="D1" s="9">
        <v>2020</v>
      </c>
      <c r="E1" s="9">
        <v>2021</v>
      </c>
      <c r="F1" s="9">
        <v>2022</v>
      </c>
      <c r="G1" s="9">
        <v>2023</v>
      </c>
      <c r="H1" s="9">
        <v>2024</v>
      </c>
    </row>
    <row r="2" spans="1:8" s="11" customFormat="1" ht="20" customHeight="1" x14ac:dyDescent="0.2">
      <c r="A2" s="27" t="s">
        <v>44</v>
      </c>
      <c r="B2" s="27"/>
      <c r="C2" s="16">
        <f>C3+C4+C5+C6</f>
        <v>32988040.059999999</v>
      </c>
      <c r="D2" s="16">
        <f>D3+D4+D5+D6</f>
        <v>48688781.230000004</v>
      </c>
      <c r="E2" s="16">
        <f>E3+E4+E5+E6</f>
        <v>105387486.90000001</v>
      </c>
      <c r="F2" s="16">
        <f>F3+F4+F5+F6</f>
        <v>128287177.67</v>
      </c>
      <c r="G2" s="16">
        <f>G3+G4+G5+G6</f>
        <v>118657544.68000001</v>
      </c>
      <c r="H2" s="16">
        <f>H3+H4+H5+H6</f>
        <v>119046441.11999999</v>
      </c>
    </row>
    <row r="3" spans="1:8" s="13" customFormat="1" ht="20" customHeight="1" x14ac:dyDescent="0.2">
      <c r="B3" s="13" t="s">
        <v>27</v>
      </c>
      <c r="C3" s="14">
        <v>32988040.059999999</v>
      </c>
      <c r="D3" s="14">
        <v>35059473.229999997</v>
      </c>
      <c r="E3" s="14">
        <v>62145507.789999999</v>
      </c>
      <c r="F3" s="14">
        <v>73117595.030000001</v>
      </c>
      <c r="G3" s="14">
        <v>66436105.130000003</v>
      </c>
      <c r="H3" s="14">
        <v>63375298.309999995</v>
      </c>
    </row>
    <row r="4" spans="1:8" s="13" customFormat="1" ht="20" customHeight="1" x14ac:dyDescent="0.2">
      <c r="B4" s="13" t="s">
        <v>28</v>
      </c>
      <c r="C4" s="14">
        <v>0</v>
      </c>
      <c r="D4" s="14">
        <v>12756691.16</v>
      </c>
      <c r="E4" s="14">
        <v>33723336.789999999</v>
      </c>
      <c r="F4" s="14">
        <v>35078508.390000001</v>
      </c>
      <c r="G4" s="14">
        <v>32988105.73</v>
      </c>
      <c r="H4" s="14">
        <v>31791010.419999998</v>
      </c>
    </row>
    <row r="5" spans="1:8" s="13" customFormat="1" ht="24" customHeight="1" x14ac:dyDescent="0.2">
      <c r="B5" s="13" t="s">
        <v>48</v>
      </c>
      <c r="C5" s="14">
        <v>0</v>
      </c>
      <c r="D5" s="14">
        <v>872616.84</v>
      </c>
      <c r="E5" s="14">
        <v>9518642.3200000003</v>
      </c>
      <c r="F5" s="14">
        <v>20091074.25</v>
      </c>
      <c r="G5" s="14">
        <v>18296636.82</v>
      </c>
      <c r="H5" s="14">
        <v>23625132.390000001</v>
      </c>
    </row>
    <row r="6" spans="1:8" s="13" customFormat="1" ht="20" customHeight="1" x14ac:dyDescent="0.2">
      <c r="B6" s="13" t="s">
        <v>34</v>
      </c>
      <c r="C6" s="14">
        <v>0</v>
      </c>
      <c r="D6" s="14">
        <v>0</v>
      </c>
      <c r="E6" s="14">
        <v>0</v>
      </c>
      <c r="F6" s="14">
        <v>0</v>
      </c>
      <c r="G6" s="14">
        <v>936697</v>
      </c>
      <c r="H6" s="14">
        <v>255000</v>
      </c>
    </row>
    <row r="7" spans="1:8" s="11" customFormat="1" ht="20" customHeight="1" x14ac:dyDescent="0.2">
      <c r="B7" s="27" t="s">
        <v>45</v>
      </c>
      <c r="C7" s="16">
        <f>C8+C9</f>
        <v>-3360330.61</v>
      </c>
      <c r="D7" s="16">
        <f>D8+D9</f>
        <v>-3407524.17</v>
      </c>
      <c r="E7" s="16">
        <f>E8+E9</f>
        <v>-7379889.8499999996</v>
      </c>
      <c r="F7" s="16">
        <f>F8+F9</f>
        <v>-13355303.140000001</v>
      </c>
      <c r="G7" s="16">
        <f>G8+G9</f>
        <v>-12702517.989999998</v>
      </c>
      <c r="H7" s="16">
        <f>H8+H9</f>
        <v>-11725273.550000001</v>
      </c>
    </row>
    <row r="8" spans="1:8" s="13" customFormat="1" ht="20" customHeight="1" x14ac:dyDescent="0.2">
      <c r="B8" s="28" t="s">
        <v>35</v>
      </c>
      <c r="C8" s="29">
        <v>0</v>
      </c>
      <c r="D8" s="29">
        <v>-367058.21</v>
      </c>
      <c r="E8" s="29">
        <v>-440693.29</v>
      </c>
      <c r="F8" s="29">
        <v>-1720827.9</v>
      </c>
      <c r="G8" s="29">
        <v>-1285069.96</v>
      </c>
      <c r="H8" s="14">
        <v>-829071.80000000016</v>
      </c>
    </row>
    <row r="9" spans="1:8" s="13" customFormat="1" ht="20" customHeight="1" x14ac:dyDescent="0.2">
      <c r="B9" s="13" t="s">
        <v>40</v>
      </c>
      <c r="C9" s="14">
        <v>-3360330.61</v>
      </c>
      <c r="D9" s="14">
        <v>-3040465.96</v>
      </c>
      <c r="E9" s="14">
        <v>-6939196.5599999996</v>
      </c>
      <c r="F9" s="14">
        <v>-11634475.24</v>
      </c>
      <c r="G9" s="14">
        <v>-11417448.029999999</v>
      </c>
      <c r="H9" s="14">
        <v>-10896201.75</v>
      </c>
    </row>
    <row r="10" spans="1:8" s="11" customFormat="1" ht="20" customHeight="1" x14ac:dyDescent="0.2">
      <c r="A10" s="31" t="s">
        <v>46</v>
      </c>
      <c r="B10" s="31"/>
      <c r="C10" s="32">
        <f>C2+C7</f>
        <v>29627709.449999999</v>
      </c>
      <c r="D10" s="32">
        <f>D2+D7</f>
        <v>45281257.060000002</v>
      </c>
      <c r="E10" s="32">
        <f>E2+E7</f>
        <v>98007597.050000012</v>
      </c>
      <c r="F10" s="32">
        <f>F2+F7</f>
        <v>114931874.53</v>
      </c>
      <c r="G10" s="32">
        <f>G2+G7</f>
        <v>105955026.69000001</v>
      </c>
      <c r="H10" s="32">
        <f>H2+H7</f>
        <v>107321167.56999999</v>
      </c>
    </row>
    <row r="11" spans="1:8" s="11" customFormat="1" ht="20" customHeight="1" x14ac:dyDescent="0.2">
      <c r="A11" s="30" t="s">
        <v>42</v>
      </c>
      <c r="C11" s="12">
        <f>SUM(C12,C13)</f>
        <v>-21245518.789999999</v>
      </c>
      <c r="D11" s="12">
        <f>SUM(D12,D13)</f>
        <v>-27583396.440000001</v>
      </c>
      <c r="E11" s="12">
        <f>SUM(E12,E13)</f>
        <v>-65778679.420000002</v>
      </c>
      <c r="F11" s="12">
        <f>SUM(F12,F13)</f>
        <v>-85471902.899999991</v>
      </c>
      <c r="G11" s="12">
        <f>SUM(G12,G13)</f>
        <v>-74406522.109999999</v>
      </c>
      <c r="H11" s="12">
        <f>SUM(H12,H13)</f>
        <v>-81167259.039999992</v>
      </c>
    </row>
    <row r="12" spans="1:8" s="13" customFormat="1" ht="20" customHeight="1" x14ac:dyDescent="0.2">
      <c r="B12" s="28" t="s">
        <v>39</v>
      </c>
      <c r="C12" s="29">
        <v>-21245518.789999999</v>
      </c>
      <c r="D12" s="29">
        <v>-27583396.440000001</v>
      </c>
      <c r="E12" s="29">
        <v>-65778679.420000002</v>
      </c>
      <c r="F12" s="29">
        <v>-74633551.849999994</v>
      </c>
      <c r="G12" s="29">
        <v>-63109787.329999998</v>
      </c>
      <c r="H12" s="14">
        <v>-68499525.629999995</v>
      </c>
    </row>
    <row r="13" spans="1:8" s="13" customFormat="1" ht="20" customHeight="1" x14ac:dyDescent="0.2">
      <c r="B13" s="13" t="s">
        <v>38</v>
      </c>
      <c r="C13" s="14">
        <v>0</v>
      </c>
      <c r="D13" s="14">
        <v>0</v>
      </c>
      <c r="E13" s="14">
        <v>0</v>
      </c>
      <c r="F13" s="14">
        <v>-10838351.050000001</v>
      </c>
      <c r="G13" s="14">
        <v>-11296734.779999999</v>
      </c>
      <c r="H13" s="14">
        <v>-12667733.41</v>
      </c>
    </row>
    <row r="14" spans="1:8" s="13" customFormat="1" ht="20" customHeight="1" x14ac:dyDescent="0.2">
      <c r="A14" s="31" t="s">
        <v>47</v>
      </c>
      <c r="B14" s="33"/>
      <c r="C14" s="32">
        <f>C10+C11</f>
        <v>8382190.6600000001</v>
      </c>
      <c r="D14" s="32">
        <f>D10+D11</f>
        <v>17697860.620000001</v>
      </c>
      <c r="E14" s="32">
        <f>E10+E11</f>
        <v>32228917.63000001</v>
      </c>
      <c r="F14" s="32">
        <f>F10+F11</f>
        <v>29459971.63000001</v>
      </c>
      <c r="G14" s="32">
        <f>G10+G11</f>
        <v>31548504.580000013</v>
      </c>
      <c r="H14" s="32">
        <f>H10+H11</f>
        <v>26153908.530000001</v>
      </c>
    </row>
    <row r="15" spans="1:8" s="11" customFormat="1" ht="20" customHeight="1" x14ac:dyDescent="0.2">
      <c r="A15" s="27" t="s">
        <v>43</v>
      </c>
      <c r="B15" s="27"/>
      <c r="C15" s="16">
        <f>SUM(C16,C17,C18)</f>
        <v>-3609011.31</v>
      </c>
      <c r="D15" s="16">
        <f>SUM(D16,D17,D18)</f>
        <v>-7469480.9400000004</v>
      </c>
      <c r="E15" s="16">
        <f>SUM(E16,E17,E18)</f>
        <v>-14626324.800000001</v>
      </c>
      <c r="F15" s="16">
        <f>SUM(F16,F17,F18)</f>
        <v>-19813350.68</v>
      </c>
      <c r="G15" s="16">
        <f>SUM(G16,G17,G18)</f>
        <v>-21824735.029999997</v>
      </c>
      <c r="H15" s="16">
        <f>SUM(H16,H17,H18)</f>
        <v>-21195443.449999999</v>
      </c>
    </row>
    <row r="16" spans="1:8" s="13" customFormat="1" ht="20" customHeight="1" x14ac:dyDescent="0.2">
      <c r="B16" s="13" t="s">
        <v>22</v>
      </c>
      <c r="C16" s="14">
        <v>-2381535.2999999998</v>
      </c>
      <c r="D16" s="14">
        <v>-4230255.57</v>
      </c>
      <c r="E16" s="14">
        <v>-8700862.5899999999</v>
      </c>
      <c r="F16" s="14">
        <v>-8206372.3200000003</v>
      </c>
      <c r="G16" s="14">
        <v>-10639545.58</v>
      </c>
      <c r="H16" s="14">
        <v>-13715866.880000001</v>
      </c>
    </row>
    <row r="17" spans="1:8" s="13" customFormat="1" ht="20" customHeight="1" x14ac:dyDescent="0.2">
      <c r="B17" s="13" t="s">
        <v>23</v>
      </c>
      <c r="C17" s="14">
        <v>-698456.16</v>
      </c>
      <c r="D17" s="14">
        <v>-2945004.57</v>
      </c>
      <c r="E17" s="14">
        <v>-5591901.2999999998</v>
      </c>
      <c r="F17" s="14">
        <v>-11006172.26</v>
      </c>
      <c r="G17" s="14">
        <v>-10386360.109999999</v>
      </c>
      <c r="H17" s="14">
        <v>-6941980.7999999998</v>
      </c>
    </row>
    <row r="18" spans="1:8" s="13" customFormat="1" ht="20" customHeight="1" x14ac:dyDescent="0.2">
      <c r="B18" s="13" t="s">
        <v>24</v>
      </c>
      <c r="C18" s="14">
        <v>-529019.85</v>
      </c>
      <c r="D18" s="14">
        <v>-294220.79999999999</v>
      </c>
      <c r="E18" s="14">
        <v>-333560.90999999997</v>
      </c>
      <c r="F18" s="14">
        <v>-600806.1</v>
      </c>
      <c r="G18" s="14">
        <v>-798829.34</v>
      </c>
      <c r="H18" s="14">
        <v>-537595.7699999999</v>
      </c>
    </row>
    <row r="19" spans="1:8" s="13" customFormat="1" ht="20" customHeight="1" x14ac:dyDescent="0.2">
      <c r="A19" s="34" t="s">
        <v>37</v>
      </c>
      <c r="B19" s="36"/>
      <c r="C19" s="35">
        <f>C21-C20</f>
        <v>4773179.3499999996</v>
      </c>
      <c r="D19" s="35">
        <f>D21-D20</f>
        <v>10320320.539999999</v>
      </c>
      <c r="E19" s="35">
        <f>E21-E20</f>
        <v>18057897.45000001</v>
      </c>
      <c r="F19" s="35">
        <f>F21-F20</f>
        <v>10894772.48000001</v>
      </c>
      <c r="G19" s="35">
        <f>G21-G20</f>
        <v>11045197.920000017</v>
      </c>
      <c r="H19" s="35">
        <f>H21-H20</f>
        <v>6279893.450000002</v>
      </c>
    </row>
    <row r="20" spans="1:8" s="13" customFormat="1" ht="20" customHeight="1" x14ac:dyDescent="0.2">
      <c r="B20" s="13" t="s">
        <v>11</v>
      </c>
      <c r="C20" s="14">
        <v>0</v>
      </c>
      <c r="D20" s="14">
        <v>-91940.86</v>
      </c>
      <c r="E20" s="14">
        <f>-547245.48+91940.86</f>
        <v>-455304.62</v>
      </c>
      <c r="F20" s="14">
        <f>-1795397.01+91940.86+455304.62</f>
        <v>-1248151.5299999998</v>
      </c>
      <c r="G20" s="14">
        <v>-1321428.3700000001</v>
      </c>
      <c r="H20" s="14">
        <v>-1321428.3700000001</v>
      </c>
    </row>
    <row r="21" spans="1:8" s="13" customFormat="1" ht="20" customHeight="1" x14ac:dyDescent="0.2">
      <c r="A21" s="31" t="s">
        <v>56</v>
      </c>
      <c r="B21" s="33"/>
      <c r="C21" s="32">
        <f>C14+C15</f>
        <v>4773179.3499999996</v>
      </c>
      <c r="D21" s="32">
        <f>D14+D15</f>
        <v>10228379.68</v>
      </c>
      <c r="E21" s="32">
        <f>E14+E15</f>
        <v>17602592.830000009</v>
      </c>
      <c r="F21" s="32">
        <f>F14+F15</f>
        <v>9646620.9500000104</v>
      </c>
      <c r="G21" s="32">
        <f>G14+G15</f>
        <v>9723769.5500000156</v>
      </c>
      <c r="H21" s="32">
        <f>H14+H15</f>
        <v>4958465.0800000019</v>
      </c>
    </row>
    <row r="22" spans="1:8" s="11" customFormat="1" ht="20" customHeight="1" x14ac:dyDescent="0.2">
      <c r="A22" s="27" t="s">
        <v>55</v>
      </c>
      <c r="B22" s="27"/>
      <c r="C22" s="16">
        <f>SUM(C23,C24,C25,C26)</f>
        <v>-2235099.8299999996</v>
      </c>
      <c r="D22" s="16">
        <f>SUM(D23,D24,D25,D26)</f>
        <v>-3191247.6999999997</v>
      </c>
      <c r="E22" s="16">
        <f>SUM(E23,E24,E25,E26)</f>
        <v>-5267618.8000000007</v>
      </c>
      <c r="F22" s="16">
        <f>SUM(F23,F24,F25,F26)</f>
        <v>-8503842.7899999991</v>
      </c>
      <c r="G22" s="16">
        <f>SUM(G23,G24,G25,G26)</f>
        <v>-8384252.6900000004</v>
      </c>
      <c r="H22" s="16">
        <f>SUM(H23,H24,H25,H26)</f>
        <v>-8405034.8100000024</v>
      </c>
    </row>
    <row r="23" spans="1:8" s="13" customFormat="1" ht="20" customHeight="1" x14ac:dyDescent="0.2">
      <c r="B23" s="13" t="s">
        <v>25</v>
      </c>
      <c r="C23" s="14">
        <v>285602.46999999997</v>
      </c>
      <c r="D23" s="14">
        <v>561340.68000000005</v>
      </c>
      <c r="E23" s="14">
        <v>1159669.3999999999</v>
      </c>
      <c r="F23" s="14">
        <v>2367226.23</v>
      </c>
      <c r="G23" s="14">
        <v>1762659.9</v>
      </c>
      <c r="H23" s="14">
        <v>2532109.6799999997</v>
      </c>
    </row>
    <row r="24" spans="1:8" s="13" customFormat="1" ht="20" customHeight="1" x14ac:dyDescent="0.2">
      <c r="B24" s="15" t="s">
        <v>26</v>
      </c>
      <c r="C24" s="14">
        <v>-2550073.8199999998</v>
      </c>
      <c r="D24" s="14">
        <v>-3758281.02</v>
      </c>
      <c r="E24" s="14">
        <v>-6429779.8600000003</v>
      </c>
      <c r="F24" s="14">
        <v>-9760411.9399999995</v>
      </c>
      <c r="G24" s="14">
        <v>-10905319.82</v>
      </c>
      <c r="H24" s="14">
        <v>-11677346.610000001</v>
      </c>
    </row>
    <row r="25" spans="1:8" s="13" customFormat="1" ht="20" customHeight="1" x14ac:dyDescent="0.2">
      <c r="B25" s="13" t="s">
        <v>53</v>
      </c>
      <c r="C25" s="14">
        <v>29371.52</v>
      </c>
      <c r="D25" s="14">
        <v>5692.64</v>
      </c>
      <c r="E25" s="14">
        <v>2491.66</v>
      </c>
      <c r="F25" s="14">
        <v>219893.68</v>
      </c>
      <c r="G25" s="14">
        <v>902336.93</v>
      </c>
      <c r="H25" s="14">
        <v>930928.35</v>
      </c>
    </row>
    <row r="26" spans="1:8" s="13" customFormat="1" ht="20" customHeight="1" x14ac:dyDescent="0.2">
      <c r="B26" s="13" t="s">
        <v>54</v>
      </c>
      <c r="C26" s="14">
        <v>0</v>
      </c>
      <c r="D26" s="14">
        <v>0</v>
      </c>
      <c r="E26" s="14">
        <v>0</v>
      </c>
      <c r="F26" s="14">
        <v>-1330550.76</v>
      </c>
      <c r="G26" s="14">
        <v>-143929.70000000001</v>
      </c>
      <c r="H26" s="14">
        <v>-190726.22999999998</v>
      </c>
    </row>
    <row r="27" spans="1:8" s="13" customFormat="1" ht="20" customHeight="1" x14ac:dyDescent="0.2">
      <c r="A27" s="31" t="s">
        <v>57</v>
      </c>
      <c r="B27" s="33"/>
      <c r="C27" s="32">
        <f>C21+C22</f>
        <v>2538079.52</v>
      </c>
      <c r="D27" s="32">
        <f>D21+D22</f>
        <v>7037131.9800000004</v>
      </c>
      <c r="E27" s="32">
        <f>E21+E22</f>
        <v>12334974.030000009</v>
      </c>
      <c r="F27" s="32">
        <f>F21+F22</f>
        <v>1142778.1600000113</v>
      </c>
      <c r="G27" s="32">
        <f>G21+G22</f>
        <v>1339516.8600000152</v>
      </c>
      <c r="H27" s="32">
        <f>H21+H22</f>
        <v>-3446569.7300000004</v>
      </c>
    </row>
    <row r="28" spans="1:8" s="13" customFormat="1" ht="20" customHeight="1" x14ac:dyDescent="0.2">
      <c r="B28" s="28" t="s">
        <v>41</v>
      </c>
      <c r="C28" s="14">
        <v>-1055674.05</v>
      </c>
      <c r="D28" s="14">
        <v>-1649686.41</v>
      </c>
      <c r="E28" s="14">
        <v>-3603815.59</v>
      </c>
      <c r="F28" s="14">
        <f>-618280.85-226884.55</f>
        <v>-845165.39999999991</v>
      </c>
      <c r="G28" s="14">
        <f>-698728.42-253702.23</f>
        <v>-952430.65</v>
      </c>
      <c r="H28" s="14">
        <v>-449794.45999999996</v>
      </c>
    </row>
    <row r="29" spans="1:8" s="11" customFormat="1" ht="20" customHeight="1" x14ac:dyDescent="0.2">
      <c r="A29" s="31" t="s">
        <v>67</v>
      </c>
      <c r="B29" s="37"/>
      <c r="C29" s="32">
        <f>C27+C28</f>
        <v>1482405.47</v>
      </c>
      <c r="D29" s="32">
        <f>D27+D28</f>
        <v>5387445.5700000003</v>
      </c>
      <c r="E29" s="32">
        <f>E27+E28</f>
        <v>8731158.4400000088</v>
      </c>
      <c r="F29" s="32">
        <f>F27+F28</f>
        <v>297612.76000001142</v>
      </c>
      <c r="G29" s="32">
        <f>G27+G28</f>
        <v>387086.21000001521</v>
      </c>
      <c r="H29" s="32">
        <f>H27+H28</f>
        <v>-3896364.1900000004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scale="9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Balanço Patrimonial</vt:lpstr>
      <vt:lpstr>DRE</vt:lpstr>
      <vt:lpstr>DRE!Area_de_impressao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Auxiliar Financeiro</dc:creator>
  <cp:keywords/>
  <dc:description/>
  <cp:lastModifiedBy>Marcelo Souza</cp:lastModifiedBy>
  <cp:lastPrinted>2024-04-19T22:40:59Z</cp:lastPrinted>
  <dcterms:created xsi:type="dcterms:W3CDTF">2022-09-30T18:23:24Z</dcterms:created>
  <dcterms:modified xsi:type="dcterms:W3CDTF">2025-03-21T20:19:59Z</dcterms:modified>
  <cp:category/>
</cp:coreProperties>
</file>