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Analise_de_Investimento_Excel\"/>
    </mc:Choice>
  </mc:AlternateContent>
  <xr:revisionPtr revIDLastSave="0" documentId="13_ncr:1_{10CEF593-3CDF-4C00-B43C-E801AF3DFC0F}" xr6:coauthVersionLast="47" xr6:coauthVersionMax="47" xr10:uidLastSave="{00000000-0000-0000-0000-000000000000}"/>
  <bookViews>
    <workbookView xWindow="-120" yWindow="-120" windowWidth="20730" windowHeight="10710" xr2:uid="{53C8AE05-40CC-41F5-B645-159906FFE7AD}"/>
  </bookViews>
  <sheets>
    <sheet name="Premissas" sheetId="5" r:id="rId1"/>
    <sheet name="Modelagem " sheetId="1" r:id="rId2"/>
    <sheet name="Respostas --&gt;" sheetId="10" r:id="rId3"/>
    <sheet name="Questao1" sheetId="6" r:id="rId4"/>
    <sheet name="ModelagemCustoAdicional" sheetId="9" r:id="rId5"/>
    <sheet name="Questao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" i="9" l="1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29" i="5"/>
  <c r="C29" i="5" s="1"/>
  <c r="D29" i="5" s="1"/>
  <c r="E29" i="5" s="1"/>
  <c r="F29" i="5" s="1"/>
  <c r="B22" i="5"/>
  <c r="B17" i="9"/>
  <c r="B16" i="9" s="1"/>
  <c r="B18" i="9" s="1"/>
  <c r="W16" i="9"/>
  <c r="W18" i="9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V2" i="9"/>
  <c r="V6" i="9" s="1"/>
  <c r="V15" i="9" s="1"/>
  <c r="U2" i="9"/>
  <c r="U6" i="9" s="1"/>
  <c r="U15" i="9" s="1"/>
  <c r="T2" i="9"/>
  <c r="T6" i="9" s="1"/>
  <c r="S2" i="9"/>
  <c r="S6" i="9" s="1"/>
  <c r="R2" i="9"/>
  <c r="R6" i="9" s="1"/>
  <c r="Q2" i="9"/>
  <c r="Q6" i="9" s="1"/>
  <c r="P2" i="9"/>
  <c r="P6" i="9" s="1"/>
  <c r="O2" i="9"/>
  <c r="O6" i="9" s="1"/>
  <c r="N2" i="9"/>
  <c r="N6" i="9" s="1"/>
  <c r="N15" i="9" s="1"/>
  <c r="M2" i="9"/>
  <c r="M6" i="9" s="1"/>
  <c r="M15" i="9" s="1"/>
  <c r="L2" i="9"/>
  <c r="L6" i="9" s="1"/>
  <c r="K2" i="9"/>
  <c r="K6" i="9" s="1"/>
  <c r="J2" i="9"/>
  <c r="J6" i="9" s="1"/>
  <c r="I2" i="9"/>
  <c r="I6" i="9" s="1"/>
  <c r="H2" i="9"/>
  <c r="H6" i="9" s="1"/>
  <c r="G2" i="9"/>
  <c r="G6" i="9" s="1"/>
  <c r="F2" i="9"/>
  <c r="F6" i="9" s="1"/>
  <c r="F15" i="9" s="1"/>
  <c r="E2" i="9"/>
  <c r="E6" i="9" s="1"/>
  <c r="E15" i="9" s="1"/>
  <c r="D2" i="9"/>
  <c r="D6" i="9" s="1"/>
  <c r="C2" i="9"/>
  <c r="C6" i="9" s="1"/>
  <c r="C31" i="6"/>
  <c r="C29" i="6"/>
  <c r="C28" i="6"/>
  <c r="M7" i="9" l="1"/>
  <c r="N7" i="9"/>
  <c r="N5" i="9" s="1"/>
  <c r="E9" i="9"/>
  <c r="E8" i="9" s="1"/>
  <c r="F9" i="9"/>
  <c r="F8" i="9"/>
  <c r="K15" i="9"/>
  <c r="K9" i="9"/>
  <c r="K7" i="9"/>
  <c r="K5" i="9" s="1"/>
  <c r="L15" i="9"/>
  <c r="L9" i="9"/>
  <c r="L7" i="9"/>
  <c r="L5" i="9"/>
  <c r="J15" i="9"/>
  <c r="J9" i="9"/>
  <c r="J7" i="9"/>
  <c r="J5" i="9" s="1"/>
  <c r="V7" i="9"/>
  <c r="V5" i="9" s="1"/>
  <c r="N9" i="9"/>
  <c r="G15" i="9"/>
  <c r="G9" i="9"/>
  <c r="G7" i="9"/>
  <c r="G5" i="9"/>
  <c r="U9" i="9"/>
  <c r="C15" i="9"/>
  <c r="C9" i="9"/>
  <c r="C8" i="9" s="1"/>
  <c r="C7" i="9"/>
  <c r="C5" i="9"/>
  <c r="T15" i="9"/>
  <c r="T9" i="9"/>
  <c r="T7" i="9"/>
  <c r="T5" i="9"/>
  <c r="M9" i="9"/>
  <c r="O15" i="9"/>
  <c r="O9" i="9"/>
  <c r="O7" i="9"/>
  <c r="O5" i="9" s="1"/>
  <c r="R15" i="9"/>
  <c r="R9" i="9"/>
  <c r="R7" i="9"/>
  <c r="R5" i="9" s="1"/>
  <c r="I15" i="9"/>
  <c r="I9" i="9"/>
  <c r="I7" i="9"/>
  <c r="I5" i="9" s="1"/>
  <c r="Q15" i="9"/>
  <c r="Q9" i="9"/>
  <c r="Q7" i="9"/>
  <c r="Q5" i="9"/>
  <c r="P15" i="9"/>
  <c r="P9" i="9"/>
  <c r="P7" i="9"/>
  <c r="P5" i="9" s="1"/>
  <c r="V9" i="9"/>
  <c r="M5" i="9"/>
  <c r="E7" i="9"/>
  <c r="S15" i="9"/>
  <c r="S9" i="9"/>
  <c r="S7" i="9"/>
  <c r="S5" i="9" s="1"/>
  <c r="D15" i="9"/>
  <c r="D9" i="9"/>
  <c r="D7" i="9"/>
  <c r="D5" i="9" s="1"/>
  <c r="U7" i="9"/>
  <c r="U5" i="9" s="1"/>
  <c r="E5" i="9"/>
  <c r="H15" i="9"/>
  <c r="H9" i="9"/>
  <c r="H7" i="9"/>
  <c r="H5" i="9" s="1"/>
  <c r="F7" i="9"/>
  <c r="F5" i="9" s="1"/>
  <c r="B20" i="9"/>
  <c r="E18" i="9" l="1"/>
  <c r="D8" i="9"/>
  <c r="D18" i="9" s="1"/>
  <c r="C18" i="9"/>
  <c r="C20" i="9" s="1"/>
  <c r="F18" i="9"/>
  <c r="D20" i="9" l="1"/>
  <c r="E20" i="9" s="1"/>
  <c r="F20" i="9" s="1"/>
  <c r="V14" i="1" l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F10" i="1"/>
  <c r="F14" i="1"/>
  <c r="E14" i="1"/>
  <c r="D14" i="1"/>
  <c r="F13" i="1"/>
  <c r="E13" i="1"/>
  <c r="D13" i="1"/>
  <c r="F12" i="1"/>
  <c r="E12" i="1"/>
  <c r="D12" i="1"/>
  <c r="F11" i="1"/>
  <c r="E11" i="1"/>
  <c r="D11" i="1"/>
  <c r="E10" i="1"/>
  <c r="D10" i="1"/>
  <c r="C14" i="1"/>
  <c r="C13" i="1"/>
  <c r="C12" i="1"/>
  <c r="C11" i="1"/>
  <c r="C10" i="1"/>
  <c r="C22" i="5" l="1"/>
  <c r="C26" i="5"/>
  <c r="D26" i="5" s="1"/>
  <c r="E26" i="5" s="1"/>
  <c r="F26" i="5" s="1"/>
  <c r="C25" i="5"/>
  <c r="D25" i="5" s="1"/>
  <c r="E25" i="5" s="1"/>
  <c r="F25" i="5" s="1"/>
  <c r="C24" i="5"/>
  <c r="D24" i="5" s="1"/>
  <c r="E24" i="5" s="1"/>
  <c r="F24" i="5" s="1"/>
  <c r="C23" i="5"/>
  <c r="D23" i="5" s="1"/>
  <c r="E23" i="5" s="1"/>
  <c r="F23" i="5" s="1"/>
  <c r="H8" i="9" l="1"/>
  <c r="H18" i="9" s="1"/>
  <c r="D22" i="5"/>
  <c r="J8" i="9"/>
  <c r="J18" i="9" s="1"/>
  <c r="I8" i="9"/>
  <c r="I18" i="9" s="1"/>
  <c r="G8" i="9"/>
  <c r="G18" i="9" s="1"/>
  <c r="H10" i="1"/>
  <c r="G10" i="1"/>
  <c r="I10" i="1"/>
  <c r="J10" i="1"/>
  <c r="V2" i="1"/>
  <c r="V6" i="1" s="1"/>
  <c r="U2" i="1"/>
  <c r="U6" i="1" s="1"/>
  <c r="T2" i="1"/>
  <c r="T6" i="1" s="1"/>
  <c r="S2" i="1"/>
  <c r="S6" i="1" s="1"/>
  <c r="R2" i="1"/>
  <c r="R6" i="1" s="1"/>
  <c r="Q2" i="1"/>
  <c r="Q6" i="1" s="1"/>
  <c r="P2" i="1"/>
  <c r="P6" i="1" s="1"/>
  <c r="O2" i="1"/>
  <c r="O6" i="1" s="1"/>
  <c r="N2" i="1"/>
  <c r="N6" i="1" s="1"/>
  <c r="M2" i="1"/>
  <c r="M6" i="1" s="1"/>
  <c r="L2" i="1"/>
  <c r="L6" i="1" s="1"/>
  <c r="K2" i="1"/>
  <c r="K6" i="1" s="1"/>
  <c r="J2" i="1"/>
  <c r="J6" i="1" s="1"/>
  <c r="I2" i="1"/>
  <c r="I6" i="1" s="1"/>
  <c r="H2" i="1"/>
  <c r="H6" i="1" s="1"/>
  <c r="G2" i="1"/>
  <c r="G6" i="1" s="1"/>
  <c r="F2" i="1"/>
  <c r="F6" i="1" s="1"/>
  <c r="E2" i="1"/>
  <c r="E6" i="1" s="1"/>
  <c r="D2" i="1"/>
  <c r="D6" i="1" s="1"/>
  <c r="C2" i="1"/>
  <c r="C6" i="1" s="1"/>
  <c r="J15" i="1" l="1"/>
  <c r="J7" i="1"/>
  <c r="J9" i="1"/>
  <c r="C15" i="1"/>
  <c r="C7" i="1"/>
  <c r="C9" i="1"/>
  <c r="S15" i="1"/>
  <c r="S7" i="1"/>
  <c r="S9" i="1"/>
  <c r="V9" i="1"/>
  <c r="V15" i="1"/>
  <c r="V7" i="1"/>
  <c r="F9" i="1"/>
  <c r="F15" i="1"/>
  <c r="F7" i="1"/>
  <c r="G9" i="1"/>
  <c r="G15" i="1"/>
  <c r="G7" i="1"/>
  <c r="O9" i="1"/>
  <c r="O15" i="1"/>
  <c r="O7" i="1"/>
  <c r="L15" i="1"/>
  <c r="L7" i="1"/>
  <c r="L9" i="1"/>
  <c r="E9" i="1"/>
  <c r="E15" i="1"/>
  <c r="E7" i="1"/>
  <c r="U9" i="1"/>
  <c r="U15" i="1"/>
  <c r="U7" i="1"/>
  <c r="H9" i="1"/>
  <c r="H15" i="1"/>
  <c r="H7" i="1"/>
  <c r="P9" i="1"/>
  <c r="P15" i="1"/>
  <c r="P7" i="1"/>
  <c r="R15" i="1"/>
  <c r="R7" i="1"/>
  <c r="R9" i="1"/>
  <c r="K15" i="1"/>
  <c r="K7" i="1"/>
  <c r="K9" i="1"/>
  <c r="D15" i="1"/>
  <c r="D7" i="1"/>
  <c r="D5" i="1" s="1"/>
  <c r="D9" i="1"/>
  <c r="T15" i="1"/>
  <c r="T7" i="1"/>
  <c r="T9" i="1"/>
  <c r="M9" i="1"/>
  <c r="M15" i="1"/>
  <c r="M7" i="1"/>
  <c r="N9" i="1"/>
  <c r="N15" i="1"/>
  <c r="N7" i="1"/>
  <c r="I15" i="1"/>
  <c r="I7" i="1"/>
  <c r="I9" i="1"/>
  <c r="Q15" i="1"/>
  <c r="Q7" i="1"/>
  <c r="Q9" i="1"/>
  <c r="L8" i="9"/>
  <c r="L18" i="9" s="1"/>
  <c r="M8" i="9"/>
  <c r="M18" i="9" s="1"/>
  <c r="K8" i="9"/>
  <c r="K18" i="9" s="1"/>
  <c r="N8" i="9"/>
  <c r="N18" i="9" s="1"/>
  <c r="G20" i="9"/>
  <c r="H20" i="9" s="1"/>
  <c r="I20" i="9" s="1"/>
  <c r="J20" i="9" s="1"/>
  <c r="E22" i="5"/>
  <c r="M10" i="1"/>
  <c r="L10" i="1"/>
  <c r="N10" i="1"/>
  <c r="K10" i="1"/>
  <c r="B17" i="1"/>
  <c r="W16" i="1"/>
  <c r="W18" i="1" s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8" i="9" l="1"/>
  <c r="P18" i="9" s="1"/>
  <c r="F22" i="5"/>
  <c r="R8" i="9"/>
  <c r="R18" i="9" s="1"/>
  <c r="Q8" i="9"/>
  <c r="Q18" i="9" s="1"/>
  <c r="O8" i="9"/>
  <c r="O18" i="9" s="1"/>
  <c r="P10" i="1"/>
  <c r="O10" i="1"/>
  <c r="R10" i="1"/>
  <c r="Q10" i="1"/>
  <c r="K20" i="9"/>
  <c r="L20" i="9" s="1"/>
  <c r="M20" i="9" s="1"/>
  <c r="N20" i="9" s="1"/>
  <c r="C5" i="1"/>
  <c r="B16" i="1"/>
  <c r="B18" i="1" s="1"/>
  <c r="S8" i="9" l="1"/>
  <c r="S18" i="9" s="1"/>
  <c r="B24" i="9" s="1"/>
  <c r="O20" i="9"/>
  <c r="P20" i="9" s="1"/>
  <c r="Q20" i="9" s="1"/>
  <c r="R20" i="9" s="1"/>
  <c r="T8" i="9"/>
  <c r="T18" i="9" s="1"/>
  <c r="V8" i="9"/>
  <c r="V18" i="9" s="1"/>
  <c r="U8" i="9"/>
  <c r="U18" i="9" s="1"/>
  <c r="T10" i="1"/>
  <c r="V10" i="1"/>
  <c r="U10" i="1"/>
  <c r="S10" i="1"/>
  <c r="B20" i="1"/>
  <c r="E5" i="1"/>
  <c r="B26" i="9" l="1"/>
  <c r="B27" i="9" s="1"/>
  <c r="S20" i="9"/>
  <c r="T20" i="9" s="1"/>
  <c r="U20" i="9" s="1"/>
  <c r="V20" i="9" s="1"/>
  <c r="W20" i="9" s="1"/>
  <c r="F5" i="1"/>
  <c r="G5" i="1" l="1"/>
  <c r="H5" i="1" l="1"/>
  <c r="I5" i="1" l="1"/>
  <c r="J5" i="1" l="1"/>
  <c r="K5" i="1" l="1"/>
  <c r="L5" i="1" l="1"/>
  <c r="C8" i="1"/>
  <c r="C18" i="1" s="1"/>
  <c r="M5" i="1" l="1"/>
  <c r="C20" i="1"/>
  <c r="D8" i="1"/>
  <c r="N5" i="1" l="1"/>
  <c r="D18" i="1"/>
  <c r="F8" i="1"/>
  <c r="E8" i="1"/>
  <c r="O5" i="1" l="1"/>
  <c r="F18" i="1"/>
  <c r="D20" i="1"/>
  <c r="E18" i="1"/>
  <c r="G8" i="1"/>
  <c r="P5" i="1" l="1"/>
  <c r="E20" i="1"/>
  <c r="F20" i="1" s="1"/>
  <c r="G18" i="1"/>
  <c r="H8" i="1"/>
  <c r="Q5" i="1" l="1"/>
  <c r="G20" i="1"/>
  <c r="H18" i="1"/>
  <c r="I8" i="1"/>
  <c r="R5" i="1" l="1"/>
  <c r="I18" i="1"/>
  <c r="H20" i="1"/>
  <c r="J8" i="1"/>
  <c r="S5" i="1" l="1"/>
  <c r="I20" i="1"/>
  <c r="J18" i="1"/>
  <c r="K8" i="1"/>
  <c r="J20" i="1" l="1"/>
  <c r="T5" i="1"/>
  <c r="K18" i="1"/>
  <c r="L8" i="1"/>
  <c r="V5" i="1" l="1"/>
  <c r="U5" i="1"/>
  <c r="L18" i="1"/>
  <c r="K20" i="1"/>
  <c r="M8" i="1"/>
  <c r="M18" i="1" l="1"/>
  <c r="L20" i="1"/>
  <c r="N8" i="1"/>
  <c r="M20" i="1" l="1"/>
  <c r="N18" i="1"/>
  <c r="O8" i="1"/>
  <c r="N20" i="1" l="1"/>
  <c r="O18" i="1"/>
  <c r="P8" i="1"/>
  <c r="O20" i="1" l="1"/>
  <c r="P18" i="1"/>
  <c r="Q8" i="1"/>
  <c r="P20" i="1" l="1"/>
  <c r="Q18" i="1"/>
  <c r="R8" i="1"/>
  <c r="Q20" i="1" l="1"/>
  <c r="R18" i="1"/>
  <c r="S8" i="1"/>
  <c r="R20" i="1" l="1"/>
  <c r="S18" i="1"/>
  <c r="T8" i="1"/>
  <c r="S20" i="1" l="1"/>
  <c r="T18" i="1"/>
  <c r="U8" i="1"/>
  <c r="T20" i="1" l="1"/>
  <c r="U18" i="1"/>
  <c r="V8" i="1"/>
  <c r="U20" i="1" l="1"/>
  <c r="V18" i="1"/>
  <c r="B24" i="1" l="1"/>
  <c r="B26" i="1"/>
  <c r="B27" i="1" s="1"/>
  <c r="V20" i="1"/>
  <c r="W20" i="1" s="1"/>
</calcChain>
</file>

<file path=xl/sharedStrings.xml><?xml version="1.0" encoding="utf-8"?>
<sst xmlns="http://schemas.openxmlformats.org/spreadsheetml/2006/main" count="148" uniqueCount="82">
  <si>
    <t>FCF - Fluxo de Caixa Livre do Projeto</t>
  </si>
  <si>
    <t>Investimento Inicial</t>
  </si>
  <si>
    <t>Manutenção</t>
  </si>
  <si>
    <t>(-) CMV</t>
  </si>
  <si>
    <t>(-) Funcionários</t>
  </si>
  <si>
    <t>(-) Manutenção</t>
  </si>
  <si>
    <t>(-) Outros custos operacionais</t>
  </si>
  <si>
    <t>Simples Nacional</t>
  </si>
  <si>
    <t>Ano 1</t>
  </si>
  <si>
    <t>(-) Imposto Simples Nacional</t>
  </si>
  <si>
    <t>Investimento</t>
  </si>
  <si>
    <t xml:space="preserve">(-) Desembolso Custos </t>
  </si>
  <si>
    <t>(+) Ingresso de Vendas</t>
  </si>
  <si>
    <t xml:space="preserve">(+) Receita de Vendas </t>
  </si>
  <si>
    <t>1T20</t>
  </si>
  <si>
    <t>2T20</t>
  </si>
  <si>
    <t>3T20</t>
  </si>
  <si>
    <t>4T20</t>
  </si>
  <si>
    <t>1T21</t>
  </si>
  <si>
    <t>2T21</t>
  </si>
  <si>
    <t>3T21</t>
  </si>
  <si>
    <t>4T21</t>
  </si>
  <si>
    <t>1T22</t>
  </si>
  <si>
    <t>2T22</t>
  </si>
  <si>
    <t>3T22</t>
  </si>
  <si>
    <t>4T22</t>
  </si>
  <si>
    <t>1T23</t>
  </si>
  <si>
    <t>2T23</t>
  </si>
  <si>
    <t>3T23</t>
  </si>
  <si>
    <t>4T23</t>
  </si>
  <si>
    <t>1T24</t>
  </si>
  <si>
    <t>2T24</t>
  </si>
  <si>
    <t>3T24</t>
  </si>
  <si>
    <t>4T24</t>
  </si>
  <si>
    <t>(-) Fluxo de caixa de Investimento</t>
  </si>
  <si>
    <t>(-) Investimento</t>
  </si>
  <si>
    <t>Ticket médio (R$/cliente)</t>
  </si>
  <si>
    <t>Acumulado de Caixa</t>
  </si>
  <si>
    <t>Total dias de operação por trimestre</t>
  </si>
  <si>
    <t>Custo Mercadoria Vendida (CMV)</t>
  </si>
  <si>
    <t>---&gt; Percentual da Receita de Vendas pago para Franquia</t>
  </si>
  <si>
    <t>---&gt; Percentual da Receita de Vendas pago para o Governo</t>
  </si>
  <si>
    <t>---&gt; Percentual da Receita de Vendas para arcar com os custos da mercadoria</t>
  </si>
  <si>
    <t>Custos associados ao faturamento</t>
  </si>
  <si>
    <t>Outros custos operacionais</t>
  </si>
  <si>
    <t>Média de clientes por dia (curva de crescimento)</t>
  </si>
  <si>
    <t>Ano 2</t>
  </si>
  <si>
    <t>Ano 3</t>
  </si>
  <si>
    <t>Ano 4</t>
  </si>
  <si>
    <t>Premissas de Vendas</t>
  </si>
  <si>
    <t>---&gt; Valor médio de vendas por cliente</t>
  </si>
  <si>
    <t>---&gt; Dias que a empresa está funcionando em um trimestre</t>
  </si>
  <si>
    <t>---&gt; Valor investido para cobrir os investimentos e abertura da empresa</t>
  </si>
  <si>
    <t>Ano 5</t>
  </si>
  <si>
    <t>Premissas para considerar</t>
  </si>
  <si>
    <t>*Custos de funcionários não considera Pró-Labore</t>
  </si>
  <si>
    <t>Outros custos</t>
  </si>
  <si>
    <t>Funcionários*</t>
  </si>
  <si>
    <t>Valores do Trimestre de Cada Ano</t>
  </si>
  <si>
    <t>Royalties</t>
  </si>
  <si>
    <t>Despesas administrativas</t>
  </si>
  <si>
    <t>(-) Despesas administrativas</t>
  </si>
  <si>
    <t xml:space="preserve">(-) Royalties </t>
  </si>
  <si>
    <t>Aluguel  + Estrutura</t>
  </si>
  <si>
    <t>(-) Aluguel + Estrutura</t>
  </si>
  <si>
    <t>Venda</t>
  </si>
  <si>
    <t>Valor Presente Líquido VPL @ 2,4% a.t</t>
  </si>
  <si>
    <t>Taxa Interna de Retorno TIR a.t</t>
  </si>
  <si>
    <t>Taxa Interna de Retorno TIR a.a</t>
  </si>
  <si>
    <t>Não, com esse ajuste o Payback da nova simulação será alterado para um novo prazo.</t>
  </si>
  <si>
    <t>Para Calcular o novo Período em meses precisamos considerar as variações incrementais dentro do trimestre de forma linear</t>
  </si>
  <si>
    <t>Período</t>
  </si>
  <si>
    <t>Saldo Trimestre</t>
  </si>
  <si>
    <t>Acumulado</t>
  </si>
  <si>
    <t>Payback (Meses)</t>
  </si>
  <si>
    <t>--&gt;Novo Payback do Projeto</t>
  </si>
  <si>
    <t>É possível dizer que esse investimento é financeiramente viável?</t>
  </si>
  <si>
    <t>Funcionários com Pró-Labore</t>
  </si>
  <si>
    <r>
      <rPr>
        <b/>
        <sz val="10"/>
        <color theme="1" tint="4.9989318521683403E-2"/>
        <rFont val="Calibri"/>
        <family val="2"/>
        <scheme val="minor"/>
      </rPr>
      <t>Contexto</t>
    </r>
    <r>
      <rPr>
        <sz val="10"/>
        <color theme="1" tint="4.9989318521683403E-2"/>
        <rFont val="Calibri"/>
        <family val="2"/>
        <scheme val="minor"/>
      </rPr>
      <t xml:space="preserve">: Você possui </t>
    </r>
    <r>
      <rPr>
        <b/>
        <sz val="10"/>
        <color theme="1" tint="4.9989318521683403E-2"/>
        <rFont val="Calibri"/>
        <family val="2"/>
        <scheme val="minor"/>
      </rPr>
      <t>R$ 320.000</t>
    </r>
    <r>
      <rPr>
        <sz val="10"/>
        <color theme="1" tint="4.9989318521683403E-2"/>
        <rFont val="Calibri"/>
        <family val="2"/>
        <scheme val="minor"/>
      </rPr>
      <t xml:space="preserve"> e deseja investir esse valor em uma franquia no ramo alimentício. Após diversas conversas com algumas empresas a franquia </t>
    </r>
    <r>
      <rPr>
        <b/>
        <i/>
        <sz val="10"/>
        <color theme="1" tint="4.9989318521683403E-2"/>
        <rFont val="Calibri"/>
        <family val="2"/>
        <scheme val="minor"/>
      </rPr>
      <t>PizzaX</t>
    </r>
    <r>
      <rPr>
        <sz val="10"/>
        <color theme="1" tint="4.9989318521683403E-2"/>
        <rFont val="Calibri"/>
        <family val="2"/>
        <scheme val="minor"/>
      </rPr>
      <t xml:space="preserve"> aparentou ser uma boa oportunidade. A única exigência é que você deverá atuar como gerente da Unidade.
Conversando com alguns franqueados você descobriu que no início do </t>
    </r>
    <r>
      <rPr>
        <b/>
        <sz val="10"/>
        <color theme="1" tint="4.9989318521683403E-2"/>
        <rFont val="Calibri"/>
        <family val="2"/>
        <scheme val="minor"/>
      </rPr>
      <t>Sexto Ano</t>
    </r>
    <r>
      <rPr>
        <sz val="10"/>
        <color theme="1" tint="4.9989318521683403E-2"/>
        <rFont val="Calibri"/>
        <family val="2"/>
        <scheme val="minor"/>
      </rPr>
      <t xml:space="preserve"> de operação é necessário fazer um investimento aproximado de </t>
    </r>
    <r>
      <rPr>
        <b/>
        <sz val="10"/>
        <color theme="1" tint="4.9989318521683403E-2"/>
        <rFont val="Calibri"/>
        <family val="2"/>
        <scheme val="minor"/>
      </rPr>
      <t>R$ 200.000</t>
    </r>
    <r>
      <rPr>
        <sz val="10"/>
        <color theme="1" tint="4.9989318521683403E-2"/>
        <rFont val="Calibri"/>
        <family val="2"/>
        <scheme val="minor"/>
      </rPr>
      <t xml:space="preserve"> para substituição do maquinário e reforma da estrutura física. Você então decide vender  esta franquia pelo valor estimado em  </t>
    </r>
    <r>
      <rPr>
        <b/>
        <sz val="10"/>
        <color theme="1" tint="4.9989318521683403E-2"/>
        <rFont val="Calibri"/>
        <family val="2"/>
        <scheme val="minor"/>
      </rPr>
      <t xml:space="preserve">R$150.000 </t>
    </r>
    <r>
      <rPr>
        <sz val="10"/>
        <color theme="1" tint="4.9989318521683403E-2"/>
        <rFont val="Calibri"/>
        <family val="2"/>
        <scheme val="minor"/>
      </rPr>
      <t>pelo mercado.</t>
    </r>
  </si>
  <si>
    <t>Com esse reajuste, o Payback* do projeto permenecerá o mesmo? Se mudar, qual será o novo prazo?</t>
  </si>
  <si>
    <t>Sim, considerando as premissas avaliadas, o projeto possui um VPL positivo.</t>
  </si>
  <si>
    <t>Análise de Investimento em uma Franquia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</si>
</sst>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R$&quot;\ #,##0;\-&quot;R$&quot;\ #,##0"/>
    <numFmt numFmtId="43" formatCode="_-* #,##0.00_-;\-* #,##0.00_-;_-* &quot;-&quot;??_-;_-@_-"/>
    <numFmt numFmtId="164" formatCode="&quot;R$&quot;#,##0.00;[Red]\-&quot;R$&quot;#,##0.00"/>
    <numFmt numFmtId="165" formatCode="#,##0;\(#,##0\)\ "/>
    <numFmt numFmtId="166" formatCode="0.0%"/>
    <numFmt numFmtId="167" formatCode="_-* #,##0_-;\-* #,##0_-;_-* &quot;-&quot;??_-;_-@_-"/>
    <numFmt numFmtId="168" formatCode="[$-416]mmm\-yy;@"/>
    <numFmt numFmtId="169" formatCode="_-[$R$-416]\ * #,##0.00_-;\-[$R$-416]\ * #,##0.00_-;_-[$R$-416]\ * &quot;-&quot;??_-;_-@_-"/>
    <numFmt numFmtId="170" formatCode="_-[$R$-416]\ * #,##0_-;\-[$R$-416]\ * #,##0_-;_-[$R$-416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5" fontId="3" fillId="2" borderId="1" xfId="0" applyNumberFormat="1" applyFont="1" applyFill="1" applyBorder="1"/>
    <xf numFmtId="5" fontId="0" fillId="3" borderId="1" xfId="0" applyNumberFormat="1" applyFill="1" applyBorder="1" applyAlignment="1">
      <alignment horizontal="left" indent="2"/>
    </xf>
    <xf numFmtId="5" fontId="0" fillId="3" borderId="1" xfId="0" applyNumberFormat="1" applyFill="1" applyBorder="1" applyAlignment="1">
      <alignment horizontal="left" indent="1"/>
    </xf>
    <xf numFmtId="5" fontId="5" fillId="4" borderId="2" xfId="0" applyNumberFormat="1" applyFont="1" applyFill="1" applyBorder="1"/>
    <xf numFmtId="167" fontId="0" fillId="0" borderId="0" xfId="1" applyNumberFormat="1" applyFont="1"/>
    <xf numFmtId="0" fontId="0" fillId="0" borderId="0" xfId="0" applyAlignment="1">
      <alignment horizontal="center"/>
    </xf>
    <xf numFmtId="0" fontId="4" fillId="5" borderId="0" xfId="0" applyFont="1" applyFill="1"/>
    <xf numFmtId="0" fontId="2" fillId="5" borderId="0" xfId="0" applyFont="1" applyFill="1"/>
    <xf numFmtId="165" fontId="6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/>
    <xf numFmtId="165" fontId="8" fillId="4" borderId="3" xfId="0" applyNumberFormat="1" applyFont="1" applyFill="1" applyBorder="1"/>
    <xf numFmtId="165" fontId="7" fillId="3" borderId="1" xfId="0" applyNumberFormat="1" applyFont="1" applyFill="1" applyBorder="1"/>
    <xf numFmtId="164" fontId="0" fillId="0" borderId="0" xfId="0" applyNumberFormat="1"/>
    <xf numFmtId="168" fontId="2" fillId="5" borderId="0" xfId="0" applyNumberFormat="1" applyFont="1" applyFill="1" applyAlignment="1">
      <alignment horizontal="center"/>
    </xf>
    <xf numFmtId="0" fontId="9" fillId="0" borderId="0" xfId="0" applyFont="1"/>
    <xf numFmtId="167" fontId="7" fillId="3" borderId="0" xfId="1" applyNumberFormat="1" applyFont="1" applyFill="1"/>
    <xf numFmtId="167" fontId="7" fillId="3" borderId="1" xfId="1" applyNumberFormat="1" applyFont="1" applyFill="1" applyBorder="1"/>
    <xf numFmtId="5" fontId="3" fillId="2" borderId="1" xfId="0" applyNumberFormat="1" applyFont="1" applyFill="1" applyBorder="1" applyAlignment="1">
      <alignment horizontal="left"/>
    </xf>
    <xf numFmtId="168" fontId="2" fillId="6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8" fontId="2" fillId="5" borderId="1" xfId="0" applyNumberFormat="1" applyFont="1" applyFill="1" applyBorder="1" applyAlignment="1">
      <alignment horizontal="center"/>
    </xf>
    <xf numFmtId="5" fontId="5" fillId="4" borderId="0" xfId="0" applyNumberFormat="1" applyFont="1" applyFill="1"/>
    <xf numFmtId="165" fontId="8" fillId="4" borderId="0" xfId="0" applyNumberFormat="1" applyFont="1" applyFill="1"/>
    <xf numFmtId="43" fontId="8" fillId="4" borderId="3" xfId="1" applyFont="1" applyFill="1" applyBorder="1"/>
    <xf numFmtId="43" fontId="8" fillId="4" borderId="2" xfId="1" applyFont="1" applyFill="1" applyBorder="1"/>
    <xf numFmtId="167" fontId="8" fillId="4" borderId="3" xfId="1" applyNumberFormat="1" applyFont="1" applyFill="1" applyBorder="1"/>
    <xf numFmtId="167" fontId="8" fillId="4" borderId="2" xfId="1" applyNumberFormat="1" applyFont="1" applyFill="1" applyBorder="1"/>
    <xf numFmtId="0" fontId="0" fillId="3" borderId="0" xfId="0" applyFill="1"/>
    <xf numFmtId="1" fontId="2" fillId="5" borderId="0" xfId="0" applyNumberFormat="1" applyFont="1" applyFill="1" applyAlignment="1">
      <alignment horizontal="center"/>
    </xf>
    <xf numFmtId="0" fontId="3" fillId="0" borderId="0" xfId="0" applyFont="1"/>
    <xf numFmtId="167" fontId="3" fillId="0" borderId="0" xfId="0" applyNumberFormat="1" applyFont="1"/>
    <xf numFmtId="170" fontId="0" fillId="0" borderId="0" xfId="1" applyNumberFormat="1" applyFont="1"/>
    <xf numFmtId="49" fontId="7" fillId="0" borderId="0" xfId="0" applyNumberFormat="1" applyFont="1"/>
    <xf numFmtId="0" fontId="7" fillId="2" borderId="4" xfId="0" applyFont="1" applyFill="1" applyBorder="1" applyAlignment="1">
      <alignment horizontal="left" indent="2"/>
    </xf>
    <xf numFmtId="9" fontId="7" fillId="2" borderId="4" xfId="0" applyNumberFormat="1" applyFont="1" applyFill="1" applyBorder="1" applyAlignment="1">
      <alignment horizontal="center"/>
    </xf>
    <xf numFmtId="166" fontId="7" fillId="2" borderId="4" xfId="0" applyNumberFormat="1" applyFont="1" applyFill="1" applyBorder="1" applyAlignment="1">
      <alignment horizontal="center"/>
    </xf>
    <xf numFmtId="169" fontId="7" fillId="2" borderId="4" xfId="0" applyNumberFormat="1" applyFont="1" applyFill="1" applyBorder="1"/>
    <xf numFmtId="16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2" fillId="7" borderId="5" xfId="0" applyFont="1" applyFill="1" applyBorder="1"/>
    <xf numFmtId="0" fontId="2" fillId="7" borderId="4" xfId="0" applyFont="1" applyFill="1" applyBorder="1"/>
    <xf numFmtId="170" fontId="2" fillId="7" borderId="4" xfId="1" applyNumberFormat="1" applyFont="1" applyFill="1" applyBorder="1"/>
    <xf numFmtId="0" fontId="13" fillId="8" borderId="0" xfId="0" applyFont="1" applyFill="1" applyAlignment="1">
      <alignment vertical="top" wrapText="1"/>
    </xf>
    <xf numFmtId="0" fontId="0" fillId="8" borderId="0" xfId="0" applyFill="1"/>
    <xf numFmtId="167" fontId="7" fillId="2" borderId="0" xfId="1" applyNumberFormat="1" applyFont="1" applyFill="1"/>
    <xf numFmtId="167" fontId="7" fillId="2" borderId="1" xfId="1" applyNumberFormat="1" applyFont="1" applyFill="1" applyBorder="1"/>
    <xf numFmtId="167" fontId="6" fillId="2" borderId="0" xfId="1" applyNumberFormat="1" applyFont="1" applyFill="1"/>
    <xf numFmtId="167" fontId="6" fillId="2" borderId="1" xfId="1" applyNumberFormat="1" applyFont="1" applyFill="1" applyBorder="1"/>
    <xf numFmtId="0" fontId="17" fillId="3" borderId="7" xfId="0" applyFont="1" applyFill="1" applyBorder="1" applyAlignment="1">
      <alignment horizontal="left" indent="2"/>
    </xf>
    <xf numFmtId="49" fontId="17" fillId="0" borderId="0" xfId="0" applyNumberFormat="1" applyFont="1"/>
    <xf numFmtId="0" fontId="17" fillId="0" borderId="0" xfId="0" applyFont="1"/>
    <xf numFmtId="0" fontId="14" fillId="0" borderId="0" xfId="0" applyFont="1" applyAlignment="1">
      <alignment vertical="top" wrapText="1"/>
    </xf>
    <xf numFmtId="0" fontId="17" fillId="3" borderId="0" xfId="0" applyFont="1" applyFill="1" applyAlignment="1">
      <alignment horizontal="left" indent="2"/>
    </xf>
    <xf numFmtId="168" fontId="2" fillId="8" borderId="0" xfId="0" applyNumberFormat="1" applyFont="1" applyFill="1" applyAlignment="1">
      <alignment horizontal="center"/>
    </xf>
    <xf numFmtId="168" fontId="2" fillId="8" borderId="1" xfId="0" applyNumberFormat="1" applyFont="1" applyFill="1" applyBorder="1" applyAlignment="1">
      <alignment horizontal="center"/>
    </xf>
    <xf numFmtId="0" fontId="18" fillId="0" borderId="0" xfId="0" applyFont="1"/>
    <xf numFmtId="1" fontId="18" fillId="0" borderId="0" xfId="0" applyNumberFormat="1" applyFont="1" applyAlignment="1">
      <alignment horizontal="center"/>
    </xf>
    <xf numFmtId="170" fontId="0" fillId="9" borderId="0" xfId="1" applyNumberFormat="1" applyFont="1" applyFill="1" applyAlignment="1">
      <alignment horizontal="center"/>
    </xf>
    <xf numFmtId="166" fontId="0" fillId="9" borderId="0" xfId="0" applyNumberFormat="1" applyFill="1" applyAlignment="1">
      <alignment horizontal="center"/>
    </xf>
    <xf numFmtId="166" fontId="0" fillId="9" borderId="0" xfId="2" applyNumberFormat="1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5" fontId="0" fillId="0" borderId="0" xfId="0" applyNumberFormat="1"/>
    <xf numFmtId="0" fontId="19" fillId="0" borderId="0" xfId="0" applyFont="1"/>
    <xf numFmtId="0" fontId="2" fillId="10" borderId="0" xfId="0" applyFont="1" applyFill="1" applyAlignment="1">
      <alignment vertical="center"/>
    </xf>
    <xf numFmtId="0" fontId="3" fillId="11" borderId="0" xfId="0" applyFont="1" applyFill="1" applyAlignment="1">
      <alignment horizontal="left"/>
    </xf>
    <xf numFmtId="0" fontId="0" fillId="11" borderId="0" xfId="0" applyFill="1"/>
    <xf numFmtId="1" fontId="0" fillId="11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1" applyNumberFormat="1" applyFont="1" applyAlignment="1">
      <alignment horizontal="center"/>
    </xf>
    <xf numFmtId="0" fontId="2" fillId="10" borderId="0" xfId="0" applyFont="1" applyFill="1" applyAlignment="1">
      <alignment horizontal="center"/>
    </xf>
    <xf numFmtId="0" fontId="20" fillId="5" borderId="0" xfId="0" applyFont="1" applyFill="1"/>
    <xf numFmtId="0" fontId="21" fillId="5" borderId="0" xfId="0" applyFont="1" applyFill="1"/>
    <xf numFmtId="0" fontId="0" fillId="0" borderId="0" xfId="0" applyAlignment="1">
      <alignment vertical="top" wrapText="1"/>
    </xf>
    <xf numFmtId="0" fontId="22" fillId="0" borderId="0" xfId="0" applyFont="1"/>
    <xf numFmtId="0" fontId="0" fillId="0" borderId="0" xfId="0" applyAlignment="1">
      <alignment vertical="top"/>
    </xf>
    <xf numFmtId="0" fontId="14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F99BAF7B-D24C-4B24-AF01-F67B06C222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  <a:r>
              <a:rPr lang="en-US" baseline="0"/>
              <a:t> do Projeto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Fluxo</c:v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'Modelagem '!$C$4:$W$4</c:f>
              <c:strCache>
                <c:ptCount val="21"/>
                <c:pt idx="0">
                  <c:v>1T20</c:v>
                </c:pt>
                <c:pt idx="1">
                  <c:v>2T20</c:v>
                </c:pt>
                <c:pt idx="2">
                  <c:v>3T20</c:v>
                </c:pt>
                <c:pt idx="3">
                  <c:v>4T20</c:v>
                </c:pt>
                <c:pt idx="4">
                  <c:v>1T21</c:v>
                </c:pt>
                <c:pt idx="5">
                  <c:v>2T21</c:v>
                </c:pt>
                <c:pt idx="6">
                  <c:v>3T21</c:v>
                </c:pt>
                <c:pt idx="7">
                  <c:v>4T21</c:v>
                </c:pt>
                <c:pt idx="8">
                  <c:v>1T22</c:v>
                </c:pt>
                <c:pt idx="9">
                  <c:v>2T22</c:v>
                </c:pt>
                <c:pt idx="10">
                  <c:v>3T22</c:v>
                </c:pt>
                <c:pt idx="11">
                  <c:v>4T22</c:v>
                </c:pt>
                <c:pt idx="12">
                  <c:v>1T23</c:v>
                </c:pt>
                <c:pt idx="13">
                  <c:v>2T23</c:v>
                </c:pt>
                <c:pt idx="14">
                  <c:v>3T23</c:v>
                </c:pt>
                <c:pt idx="15">
                  <c:v>4T23</c:v>
                </c:pt>
                <c:pt idx="16">
                  <c:v>1T24</c:v>
                </c:pt>
                <c:pt idx="17">
                  <c:v>2T24</c:v>
                </c:pt>
                <c:pt idx="18">
                  <c:v>3T24</c:v>
                </c:pt>
                <c:pt idx="19">
                  <c:v>4T24</c:v>
                </c:pt>
                <c:pt idx="20">
                  <c:v>Venda</c:v>
                </c:pt>
              </c:strCache>
            </c:strRef>
          </c:cat>
          <c:val>
            <c:numRef>
              <c:f>'Modelagem '!$C$20:$W$20</c:f>
              <c:numCache>
                <c:formatCode>#,##0;\(#,##0\)\ </c:formatCode>
                <c:ptCount val="21"/>
                <c:pt idx="0">
                  <c:v>-319693.75</c:v>
                </c:pt>
                <c:pt idx="1">
                  <c:v>-304087.5</c:v>
                </c:pt>
                <c:pt idx="2">
                  <c:v>-288800</c:v>
                </c:pt>
                <c:pt idx="3">
                  <c:v>-266245</c:v>
                </c:pt>
                <c:pt idx="4">
                  <c:v>-244290</c:v>
                </c:pt>
                <c:pt idx="5">
                  <c:v>-222335</c:v>
                </c:pt>
                <c:pt idx="6">
                  <c:v>-192730</c:v>
                </c:pt>
                <c:pt idx="7">
                  <c:v>-163125</c:v>
                </c:pt>
                <c:pt idx="8">
                  <c:v>-132202.70000000004</c:v>
                </c:pt>
                <c:pt idx="9">
                  <c:v>-101280.40000000008</c:v>
                </c:pt>
                <c:pt idx="10">
                  <c:v>-70358.100000000122</c:v>
                </c:pt>
                <c:pt idx="11">
                  <c:v>-39435.800000000163</c:v>
                </c:pt>
                <c:pt idx="12">
                  <c:v>-9373.9120000001276</c:v>
                </c:pt>
                <c:pt idx="13">
                  <c:v>20687.975999999908</c:v>
                </c:pt>
                <c:pt idx="14">
                  <c:v>50749.863999999943</c:v>
                </c:pt>
                <c:pt idx="15">
                  <c:v>80811.751999999979</c:v>
                </c:pt>
                <c:pt idx="16">
                  <c:v>107819.60327999998</c:v>
                </c:pt>
                <c:pt idx="17">
                  <c:v>134827.45455999998</c:v>
                </c:pt>
                <c:pt idx="18">
                  <c:v>161835.30583999999</c:v>
                </c:pt>
                <c:pt idx="19">
                  <c:v>188843.15711999999</c:v>
                </c:pt>
                <c:pt idx="20">
                  <c:v>338843.15711999999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C-4C8A-8C3C-1FE0750B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30944"/>
        <c:axId val="585443376"/>
      </c:lineChart>
      <c:catAx>
        <c:axId val="9161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2">
                <a:lumMod val="75000"/>
              </a:schemeClr>
            </a:solidFill>
            <a:round/>
            <a:headEnd type="none"/>
          </a:ln>
          <a:effectLst>
            <a:outerShdw blurRad="50800" dist="50800" dir="5400000" algn="ctr" rotWithShape="0">
              <a:schemeClr val="bg1">
                <a:alpha val="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43376"/>
        <c:crosses val="autoZero"/>
        <c:auto val="0"/>
        <c:lblAlgn val="ctr"/>
        <c:lblOffset val="100"/>
        <c:tickLblSkip val="1"/>
        <c:noMultiLvlLbl val="0"/>
      </c:catAx>
      <c:valAx>
        <c:axId val="585443376"/>
        <c:scaling>
          <c:orientation val="minMax"/>
        </c:scaling>
        <c:delete val="0"/>
        <c:axPos val="l"/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  <a:alpha val="59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  <a:r>
              <a:rPr lang="en-US" baseline="0"/>
              <a:t> do Projeto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Fluxo</c:v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'Modelagem '!$C$4:$W$4</c:f>
              <c:strCache>
                <c:ptCount val="21"/>
                <c:pt idx="0">
                  <c:v>1T20</c:v>
                </c:pt>
                <c:pt idx="1">
                  <c:v>2T20</c:v>
                </c:pt>
                <c:pt idx="2">
                  <c:v>3T20</c:v>
                </c:pt>
                <c:pt idx="3">
                  <c:v>4T20</c:v>
                </c:pt>
                <c:pt idx="4">
                  <c:v>1T21</c:v>
                </c:pt>
                <c:pt idx="5">
                  <c:v>2T21</c:v>
                </c:pt>
                <c:pt idx="6">
                  <c:v>3T21</c:v>
                </c:pt>
                <c:pt idx="7">
                  <c:v>4T21</c:v>
                </c:pt>
                <c:pt idx="8">
                  <c:v>1T22</c:v>
                </c:pt>
                <c:pt idx="9">
                  <c:v>2T22</c:v>
                </c:pt>
                <c:pt idx="10">
                  <c:v>3T22</c:v>
                </c:pt>
                <c:pt idx="11">
                  <c:v>4T22</c:v>
                </c:pt>
                <c:pt idx="12">
                  <c:v>1T23</c:v>
                </c:pt>
                <c:pt idx="13">
                  <c:v>2T23</c:v>
                </c:pt>
                <c:pt idx="14">
                  <c:v>3T23</c:v>
                </c:pt>
                <c:pt idx="15">
                  <c:v>4T23</c:v>
                </c:pt>
                <c:pt idx="16">
                  <c:v>1T24</c:v>
                </c:pt>
                <c:pt idx="17">
                  <c:v>2T24</c:v>
                </c:pt>
                <c:pt idx="18">
                  <c:v>3T24</c:v>
                </c:pt>
                <c:pt idx="19">
                  <c:v>4T24</c:v>
                </c:pt>
                <c:pt idx="20">
                  <c:v>Venda</c:v>
                </c:pt>
              </c:strCache>
            </c:strRef>
          </c:cat>
          <c:val>
            <c:numRef>
              <c:f>'Modelagem '!$C$20:$W$20</c:f>
              <c:numCache>
                <c:formatCode>#,##0;\(#,##0\)\ </c:formatCode>
                <c:ptCount val="21"/>
                <c:pt idx="0">
                  <c:v>-319693.75</c:v>
                </c:pt>
                <c:pt idx="1">
                  <c:v>-304087.5</c:v>
                </c:pt>
                <c:pt idx="2">
                  <c:v>-288800</c:v>
                </c:pt>
                <c:pt idx="3">
                  <c:v>-266245</c:v>
                </c:pt>
                <c:pt idx="4">
                  <c:v>-244290</c:v>
                </c:pt>
                <c:pt idx="5">
                  <c:v>-222335</c:v>
                </c:pt>
                <c:pt idx="6">
                  <c:v>-192730</c:v>
                </c:pt>
                <c:pt idx="7">
                  <c:v>-163125</c:v>
                </c:pt>
                <c:pt idx="8">
                  <c:v>-132202.70000000004</c:v>
                </c:pt>
                <c:pt idx="9">
                  <c:v>-101280.40000000008</c:v>
                </c:pt>
                <c:pt idx="10">
                  <c:v>-70358.100000000122</c:v>
                </c:pt>
                <c:pt idx="11">
                  <c:v>-39435.800000000163</c:v>
                </c:pt>
                <c:pt idx="12">
                  <c:v>-9373.9120000001276</c:v>
                </c:pt>
                <c:pt idx="13">
                  <c:v>20687.975999999908</c:v>
                </c:pt>
                <c:pt idx="14">
                  <c:v>50749.863999999943</c:v>
                </c:pt>
                <c:pt idx="15">
                  <c:v>80811.751999999979</c:v>
                </c:pt>
                <c:pt idx="16">
                  <c:v>107819.60327999998</c:v>
                </c:pt>
                <c:pt idx="17">
                  <c:v>134827.45455999998</c:v>
                </c:pt>
                <c:pt idx="18">
                  <c:v>161835.30583999999</c:v>
                </c:pt>
                <c:pt idx="19">
                  <c:v>188843.15711999999</c:v>
                </c:pt>
                <c:pt idx="20">
                  <c:v>338843.15711999999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7-448E-8ED9-465E600A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30944"/>
        <c:axId val="585443376"/>
      </c:lineChart>
      <c:catAx>
        <c:axId val="9161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2">
                <a:lumMod val="75000"/>
              </a:schemeClr>
            </a:solidFill>
            <a:round/>
            <a:headEnd type="none"/>
          </a:ln>
          <a:effectLst>
            <a:outerShdw blurRad="50800" dist="50800" dir="5400000" algn="ctr" rotWithShape="0">
              <a:schemeClr val="bg1">
                <a:alpha val="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43376"/>
        <c:crosses val="autoZero"/>
        <c:auto val="0"/>
        <c:lblAlgn val="ctr"/>
        <c:lblOffset val="100"/>
        <c:tickLblSkip val="1"/>
        <c:noMultiLvlLbl val="0"/>
      </c:catAx>
      <c:valAx>
        <c:axId val="585443376"/>
        <c:scaling>
          <c:orientation val="minMax"/>
        </c:scaling>
        <c:delete val="0"/>
        <c:axPos val="l"/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  <a:alpha val="59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  <a:r>
              <a:rPr lang="en-US" baseline="0"/>
              <a:t> do Projeto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Fluxo</c:v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ModelagemCustoAdicional!$C$4:$W$4</c:f>
              <c:strCache>
                <c:ptCount val="21"/>
                <c:pt idx="0">
                  <c:v>1T20</c:v>
                </c:pt>
                <c:pt idx="1">
                  <c:v>2T20</c:v>
                </c:pt>
                <c:pt idx="2">
                  <c:v>3T20</c:v>
                </c:pt>
                <c:pt idx="3">
                  <c:v>4T20</c:v>
                </c:pt>
                <c:pt idx="4">
                  <c:v>1T21</c:v>
                </c:pt>
                <c:pt idx="5">
                  <c:v>2T21</c:v>
                </c:pt>
                <c:pt idx="6">
                  <c:v>3T21</c:v>
                </c:pt>
                <c:pt idx="7">
                  <c:v>4T21</c:v>
                </c:pt>
                <c:pt idx="8">
                  <c:v>1T22</c:v>
                </c:pt>
                <c:pt idx="9">
                  <c:v>2T22</c:v>
                </c:pt>
                <c:pt idx="10">
                  <c:v>3T22</c:v>
                </c:pt>
                <c:pt idx="11">
                  <c:v>4T22</c:v>
                </c:pt>
                <c:pt idx="12">
                  <c:v>1T23</c:v>
                </c:pt>
                <c:pt idx="13">
                  <c:v>2T23</c:v>
                </c:pt>
                <c:pt idx="14">
                  <c:v>3T23</c:v>
                </c:pt>
                <c:pt idx="15">
                  <c:v>4T23</c:v>
                </c:pt>
                <c:pt idx="16">
                  <c:v>1T24</c:v>
                </c:pt>
                <c:pt idx="17">
                  <c:v>2T24</c:v>
                </c:pt>
                <c:pt idx="18">
                  <c:v>3T24</c:v>
                </c:pt>
                <c:pt idx="19">
                  <c:v>4T24</c:v>
                </c:pt>
                <c:pt idx="20">
                  <c:v>Venda</c:v>
                </c:pt>
              </c:strCache>
            </c:strRef>
          </c:cat>
          <c:val>
            <c:numRef>
              <c:f>ModelagemCustoAdicional!$C$20:$W$20</c:f>
              <c:numCache>
                <c:formatCode>#,##0;\(#,##0\)\ </c:formatCode>
                <c:ptCount val="21"/>
                <c:pt idx="0">
                  <c:v>-331693.75</c:v>
                </c:pt>
                <c:pt idx="1">
                  <c:v>-328087.5</c:v>
                </c:pt>
                <c:pt idx="2">
                  <c:v>-324800</c:v>
                </c:pt>
                <c:pt idx="3">
                  <c:v>-314245</c:v>
                </c:pt>
                <c:pt idx="4">
                  <c:v>-305010</c:v>
                </c:pt>
                <c:pt idx="5">
                  <c:v>-295775</c:v>
                </c:pt>
                <c:pt idx="6">
                  <c:v>-278890</c:v>
                </c:pt>
                <c:pt idx="7">
                  <c:v>-262005</c:v>
                </c:pt>
                <c:pt idx="8">
                  <c:v>-244565.90000000005</c:v>
                </c:pt>
                <c:pt idx="9">
                  <c:v>-227126.8000000001</c:v>
                </c:pt>
                <c:pt idx="10">
                  <c:v>-209687.70000000016</c:v>
                </c:pt>
                <c:pt idx="11">
                  <c:v>-192248.60000000021</c:v>
                </c:pt>
                <c:pt idx="12">
                  <c:v>-176478.90400000018</c:v>
                </c:pt>
                <c:pt idx="13">
                  <c:v>-160709.20800000016</c:v>
                </c:pt>
                <c:pt idx="14">
                  <c:v>-144939.51200000013</c:v>
                </c:pt>
                <c:pt idx="15">
                  <c:v>-129169.81600000011</c:v>
                </c:pt>
                <c:pt idx="16">
                  <c:v>-117311.6882400001</c:v>
                </c:pt>
                <c:pt idx="17">
                  <c:v>-105453.5604800001</c:v>
                </c:pt>
                <c:pt idx="18">
                  <c:v>-93595.432720000099</c:v>
                </c:pt>
                <c:pt idx="19">
                  <c:v>-81737.304960000096</c:v>
                </c:pt>
                <c:pt idx="20">
                  <c:v>68262.695039999904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3-4D57-86ED-0A7A4F0F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30944"/>
        <c:axId val="585443376"/>
      </c:lineChart>
      <c:catAx>
        <c:axId val="9161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2">
                <a:lumMod val="75000"/>
              </a:schemeClr>
            </a:solidFill>
            <a:round/>
            <a:headEnd type="none"/>
          </a:ln>
          <a:effectLst>
            <a:outerShdw blurRad="50800" dist="50800" dir="5400000" algn="ctr" rotWithShape="0">
              <a:schemeClr val="bg1">
                <a:alpha val="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43376"/>
        <c:crosses val="autoZero"/>
        <c:auto val="0"/>
        <c:lblAlgn val="ctr"/>
        <c:lblOffset val="100"/>
        <c:tickLblSkip val="1"/>
        <c:noMultiLvlLbl val="0"/>
      </c:catAx>
      <c:valAx>
        <c:axId val="585443376"/>
        <c:scaling>
          <c:orientation val="minMax"/>
        </c:scaling>
        <c:delete val="0"/>
        <c:axPos val="l"/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  <a:alpha val="59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310054</xdr:colOff>
      <xdr:row>21</xdr:row>
      <xdr:rowOff>47064</xdr:rowOff>
    </xdr:from>
    <xdr:to>
      <xdr:col>13</xdr:col>
      <xdr:colOff>116540</xdr:colOff>
      <xdr:row>42</xdr:row>
      <xdr:rowOff>116541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900F8-5BA4-46EA-B40D-378E3E31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38101</xdr:rowOff>
    </xdr:from>
    <xdr:to>
      <xdr:col>12</xdr:col>
      <xdr:colOff>95162</xdr:colOff>
      <xdr:row>21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E1A307-23AD-4651-8DF1-44DE7C2A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310054</xdr:colOff>
      <xdr:row>21</xdr:row>
      <xdr:rowOff>47064</xdr:rowOff>
    </xdr:from>
    <xdr:to>
      <xdr:col>13</xdr:col>
      <xdr:colOff>116540</xdr:colOff>
      <xdr:row>42</xdr:row>
      <xdr:rowOff>116541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FD8B0-6C5F-41A6-B8CB-F128409B5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1E21-DB0F-4612-81C1-DE62907C2BC5}">
  <sheetPr>
    <tabColor theme="3" tint="-0.249977111117893"/>
  </sheetPr>
  <dimension ref="A1:W35"/>
  <sheetViews>
    <sheetView showGridLines="0" tabSelected="1" zoomScale="90" zoomScaleNormal="90" workbookViewId="0">
      <selection activeCell="A2" sqref="A2"/>
    </sheetView>
  </sheetViews>
  <sheetFormatPr defaultRowHeight="15" x14ac:dyDescent="0.25"/>
  <cols>
    <col min="1" max="1" width="44.28515625" customWidth="1"/>
    <col min="2" max="2" width="12.42578125" bestFit="1" customWidth="1"/>
    <col min="3" max="3" width="14.28515625" customWidth="1"/>
    <col min="4" max="6" width="12.42578125" bestFit="1" customWidth="1"/>
  </cols>
  <sheetData>
    <row r="1" spans="1:23" x14ac:dyDescent="0.25">
      <c r="A1" s="8" t="s">
        <v>81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3" spans="1:23" ht="72" customHeight="1" x14ac:dyDescent="0.25">
      <c r="A3" s="79" t="s">
        <v>78</v>
      </c>
      <c r="B3" s="79"/>
      <c r="C3" s="79"/>
      <c r="D3" s="79"/>
      <c r="E3" s="79"/>
      <c r="F3" s="79"/>
      <c r="G3" s="79"/>
    </row>
    <row r="4" spans="1:23" x14ac:dyDescent="0.25">
      <c r="A4" s="79"/>
      <c r="B4" s="79"/>
      <c r="C4" s="79"/>
      <c r="D4" s="79"/>
      <c r="E4" s="79"/>
      <c r="F4" s="79"/>
      <c r="G4" s="79"/>
    </row>
    <row r="5" spans="1:23" x14ac:dyDescent="0.25">
      <c r="A5" s="79"/>
      <c r="B5" s="79"/>
      <c r="C5" s="79"/>
      <c r="D5" s="79"/>
      <c r="E5" s="79"/>
      <c r="F5" s="79"/>
      <c r="G5" s="79"/>
    </row>
    <row r="6" spans="1:23" s="47" customFormat="1" ht="3.6" customHeight="1" x14ac:dyDescent="0.25">
      <c r="A6" s="46"/>
      <c r="B6" s="46"/>
      <c r="C6" s="46"/>
      <c r="D6" s="46"/>
      <c r="E6" s="46"/>
      <c r="F6" s="46"/>
    </row>
    <row r="7" spans="1:23" x14ac:dyDescent="0.25">
      <c r="A7" s="80" t="s">
        <v>54</v>
      </c>
      <c r="B7" s="80"/>
      <c r="C7" s="80"/>
      <c r="D7" s="80"/>
      <c r="E7" s="80"/>
      <c r="F7" s="80"/>
      <c r="G7" s="80"/>
    </row>
    <row r="9" spans="1:23" x14ac:dyDescent="0.25">
      <c r="A9" s="44" t="s">
        <v>1</v>
      </c>
      <c r="B9" s="45">
        <v>320000</v>
      </c>
      <c r="C9" s="53" t="s">
        <v>52</v>
      </c>
    </row>
    <row r="10" spans="1:23" x14ac:dyDescent="0.25">
      <c r="B10" s="33"/>
      <c r="C10" s="53"/>
    </row>
    <row r="11" spans="1:23" x14ac:dyDescent="0.25">
      <c r="A11" s="83" t="s">
        <v>49</v>
      </c>
      <c r="B11" s="84"/>
      <c r="C11" s="54"/>
    </row>
    <row r="12" spans="1:23" x14ac:dyDescent="0.25">
      <c r="A12" s="35" t="s">
        <v>36</v>
      </c>
      <c r="B12" s="39">
        <v>25</v>
      </c>
      <c r="C12" s="53" t="s">
        <v>50</v>
      </c>
    </row>
    <row r="13" spans="1:23" x14ac:dyDescent="0.25">
      <c r="A13" s="35" t="s">
        <v>38</v>
      </c>
      <c r="B13" s="40">
        <v>75</v>
      </c>
      <c r="C13" s="53" t="s">
        <v>51</v>
      </c>
    </row>
    <row r="14" spans="1:23" x14ac:dyDescent="0.25">
      <c r="B14" s="33"/>
      <c r="C14" s="54"/>
    </row>
    <row r="15" spans="1:23" x14ac:dyDescent="0.25">
      <c r="A15" s="81" t="s">
        <v>43</v>
      </c>
      <c r="B15" s="82"/>
      <c r="C15" s="54"/>
    </row>
    <row r="16" spans="1:23" x14ac:dyDescent="0.25">
      <c r="A16" s="35" t="s">
        <v>39</v>
      </c>
      <c r="B16" s="36">
        <v>0.34</v>
      </c>
      <c r="C16" s="53" t="s">
        <v>42</v>
      </c>
    </row>
    <row r="17" spans="1:21" x14ac:dyDescent="0.25">
      <c r="A17" s="35" t="s">
        <v>59</v>
      </c>
      <c r="B17" s="37">
        <v>7.0000000000000007E-2</v>
      </c>
      <c r="C17" s="53" t="s">
        <v>40</v>
      </c>
    </row>
    <row r="18" spans="1:21" x14ac:dyDescent="0.25">
      <c r="A18" s="35" t="s">
        <v>7</v>
      </c>
      <c r="B18" s="37">
        <v>0.08</v>
      </c>
      <c r="C18" s="53" t="s">
        <v>41</v>
      </c>
    </row>
    <row r="19" spans="1:21" x14ac:dyDescent="0.25">
      <c r="A19" s="34"/>
      <c r="B19" s="34"/>
      <c r="C19" s="34"/>
    </row>
    <row r="20" spans="1:21" s="29" customFormat="1" x14ac:dyDescent="0.25">
      <c r="B20" s="85" t="s">
        <v>58</v>
      </c>
      <c r="C20" s="86"/>
      <c r="D20" s="86"/>
      <c r="E20" s="86"/>
      <c r="F20" s="87"/>
      <c r="K20"/>
      <c r="L20"/>
      <c r="M20"/>
    </row>
    <row r="21" spans="1:21" x14ac:dyDescent="0.25">
      <c r="A21" s="43" t="s">
        <v>56</v>
      </c>
      <c r="B21" s="41" t="s">
        <v>8</v>
      </c>
      <c r="C21" s="42" t="s">
        <v>46</v>
      </c>
      <c r="D21" s="42" t="s">
        <v>47</v>
      </c>
      <c r="E21" s="42" t="s">
        <v>48</v>
      </c>
      <c r="F21" s="42" t="s">
        <v>53</v>
      </c>
    </row>
    <row r="22" spans="1:21" x14ac:dyDescent="0.25">
      <c r="A22" s="35" t="s">
        <v>57</v>
      </c>
      <c r="B22" s="38">
        <f>36000</f>
        <v>36000</v>
      </c>
      <c r="C22" s="38">
        <f>+B22*(1+6%)</f>
        <v>38160</v>
      </c>
      <c r="D22" s="38">
        <f t="shared" ref="D22:F22" si="0">+C22*(1+6%)</f>
        <v>40449.599999999999</v>
      </c>
      <c r="E22" s="38">
        <f t="shared" si="0"/>
        <v>42876.576000000001</v>
      </c>
      <c r="F22" s="38">
        <f t="shared" si="0"/>
        <v>45449.170560000006</v>
      </c>
      <c r="G22" s="34"/>
    </row>
    <row r="23" spans="1:21" x14ac:dyDescent="0.25">
      <c r="A23" s="35" t="s">
        <v>2</v>
      </c>
      <c r="B23" s="38">
        <v>7000</v>
      </c>
      <c r="C23" s="38">
        <f t="shared" ref="C23:F23" si="1">+B23*(1+6%)</f>
        <v>7420</v>
      </c>
      <c r="D23" s="38">
        <f t="shared" si="1"/>
        <v>7865.2000000000007</v>
      </c>
      <c r="E23" s="38">
        <f t="shared" si="1"/>
        <v>8337.112000000001</v>
      </c>
      <c r="F23" s="38">
        <f t="shared" si="1"/>
        <v>8837.3387200000016</v>
      </c>
    </row>
    <row r="24" spans="1:21" x14ac:dyDescent="0.25">
      <c r="A24" s="35" t="s">
        <v>44</v>
      </c>
      <c r="B24" s="38">
        <v>5000</v>
      </c>
      <c r="C24" s="38">
        <f t="shared" ref="C24:F24" si="2">+B24*(1+6%)</f>
        <v>5300</v>
      </c>
      <c r="D24" s="38">
        <f t="shared" si="2"/>
        <v>5618</v>
      </c>
      <c r="E24" s="38">
        <f t="shared" si="2"/>
        <v>5955.08</v>
      </c>
      <c r="F24" s="38">
        <f t="shared" si="2"/>
        <v>6312.3847999999998</v>
      </c>
    </row>
    <row r="25" spans="1:21" x14ac:dyDescent="0.25">
      <c r="A25" s="35" t="s">
        <v>63</v>
      </c>
      <c r="B25" s="38">
        <v>16500</v>
      </c>
      <c r="C25" s="38">
        <f t="shared" ref="C25:F25" si="3">+B25*(1+6%)</f>
        <v>17490</v>
      </c>
      <c r="D25" s="38">
        <f t="shared" si="3"/>
        <v>18539.400000000001</v>
      </c>
      <c r="E25" s="38">
        <f t="shared" si="3"/>
        <v>19651.764000000003</v>
      </c>
      <c r="F25" s="38">
        <f t="shared" si="3"/>
        <v>20830.869840000003</v>
      </c>
    </row>
    <row r="26" spans="1:21" x14ac:dyDescent="0.25">
      <c r="A26" s="35" t="s">
        <v>60</v>
      </c>
      <c r="B26" s="38">
        <v>5000</v>
      </c>
      <c r="C26" s="38">
        <f t="shared" ref="C26:F26" si="4">+B26*(1+6%)</f>
        <v>5300</v>
      </c>
      <c r="D26" s="38">
        <f t="shared" si="4"/>
        <v>5618</v>
      </c>
      <c r="E26" s="38">
        <f t="shared" si="4"/>
        <v>5955.08</v>
      </c>
      <c r="F26" s="38">
        <f t="shared" si="4"/>
        <v>6312.3847999999998</v>
      </c>
    </row>
    <row r="27" spans="1:21" x14ac:dyDescent="0.25">
      <c r="A27" s="52" t="s">
        <v>55</v>
      </c>
    </row>
    <row r="28" spans="1:21" x14ac:dyDescent="0.25">
      <c r="A28" s="56"/>
    </row>
    <row r="29" spans="1:21" x14ac:dyDescent="0.25">
      <c r="A29" s="35" t="s">
        <v>77</v>
      </c>
      <c r="B29" s="38">
        <f>36000 + 12000</f>
        <v>48000</v>
      </c>
      <c r="C29" s="38">
        <f>+B29*(1+6%)</f>
        <v>50880</v>
      </c>
      <c r="D29" s="38">
        <f t="shared" ref="D29" si="5">+C29*(1+6%)</f>
        <v>53932.800000000003</v>
      </c>
      <c r="E29" s="38">
        <f t="shared" ref="E29" si="6">+D29*(1+6%)</f>
        <v>57168.768000000004</v>
      </c>
      <c r="F29" s="38">
        <f t="shared" ref="F29" si="7">+E29*(1+6%)</f>
        <v>60598.894080000005</v>
      </c>
    </row>
    <row r="30" spans="1:21" x14ac:dyDescent="0.25">
      <c r="A30" s="56"/>
    </row>
    <row r="31" spans="1:21" x14ac:dyDescent="0.25">
      <c r="B31" s="57" t="s">
        <v>14</v>
      </c>
      <c r="C31" s="57" t="s">
        <v>15</v>
      </c>
      <c r="D31" s="57" t="s">
        <v>16</v>
      </c>
      <c r="E31" s="57" t="s">
        <v>17</v>
      </c>
      <c r="F31" s="58" t="s">
        <v>18</v>
      </c>
      <c r="G31" s="57" t="s">
        <v>19</v>
      </c>
      <c r="H31" s="57" t="s">
        <v>20</v>
      </c>
      <c r="I31" s="57" t="s">
        <v>21</v>
      </c>
      <c r="J31" s="58" t="s">
        <v>22</v>
      </c>
      <c r="K31" s="57" t="s">
        <v>23</v>
      </c>
      <c r="L31" s="57" t="s">
        <v>24</v>
      </c>
      <c r="M31" s="57" t="s">
        <v>25</v>
      </c>
      <c r="N31" s="57" t="s">
        <v>26</v>
      </c>
      <c r="O31" s="57" t="s">
        <v>27</v>
      </c>
      <c r="P31" s="57" t="s">
        <v>28</v>
      </c>
      <c r="Q31" s="57" t="s">
        <v>29</v>
      </c>
      <c r="R31" s="58" t="s">
        <v>30</v>
      </c>
      <c r="S31" s="57" t="s">
        <v>31</v>
      </c>
      <c r="T31" s="57" t="s">
        <v>32</v>
      </c>
      <c r="U31" s="57" t="s">
        <v>33</v>
      </c>
    </row>
    <row r="32" spans="1:21" x14ac:dyDescent="0.25">
      <c r="A32" s="59" t="s">
        <v>45</v>
      </c>
      <c r="B32" s="60">
        <v>73</v>
      </c>
      <c r="C32" s="60">
        <v>89</v>
      </c>
      <c r="D32" s="60">
        <v>88.666666666666657</v>
      </c>
      <c r="E32" s="60">
        <v>96.266666666666652</v>
      </c>
      <c r="F32" s="60">
        <v>100</v>
      </c>
      <c r="G32" s="60">
        <v>100</v>
      </c>
      <c r="H32" s="60">
        <v>108</v>
      </c>
      <c r="I32" s="60">
        <v>108</v>
      </c>
      <c r="J32" s="60">
        <v>113.99999999999997</v>
      </c>
      <c r="K32" s="60">
        <v>113.99999999999997</v>
      </c>
      <c r="L32" s="60">
        <v>113.99999999999997</v>
      </c>
      <c r="M32" s="60">
        <v>113.99999999999997</v>
      </c>
      <c r="N32" s="60">
        <v>118</v>
      </c>
      <c r="O32" s="60">
        <v>118</v>
      </c>
      <c r="P32" s="60">
        <v>118</v>
      </c>
      <c r="Q32" s="60">
        <v>118</v>
      </c>
      <c r="R32" s="60">
        <v>120</v>
      </c>
      <c r="S32" s="60">
        <v>120</v>
      </c>
      <c r="T32" s="60">
        <v>120</v>
      </c>
      <c r="U32" s="60">
        <v>120</v>
      </c>
    </row>
    <row r="35" spans="1:1" x14ac:dyDescent="0.25">
      <c r="A35" s="66"/>
    </row>
  </sheetData>
  <mergeCells count="5">
    <mergeCell ref="A3:G5"/>
    <mergeCell ref="A7:G7"/>
    <mergeCell ref="A15:B15"/>
    <mergeCell ref="A11:B11"/>
    <mergeCell ref="B20:F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A7C8-12D8-4FDA-9472-AD33B450EAFA}">
  <dimension ref="A2:BJ40"/>
  <sheetViews>
    <sheetView showGridLines="0" topLeftCell="A21" zoomScale="85" zoomScaleNormal="85" workbookViewId="0">
      <pane xSplit="1" topLeftCell="B1" activePane="topRight" state="frozen"/>
      <selection pane="topRight" activeCell="B10" sqref="B10"/>
    </sheetView>
  </sheetViews>
  <sheetFormatPr defaultColWidth="0" defaultRowHeight="15" outlineLevelRow="1" x14ac:dyDescent="0.25"/>
  <cols>
    <col min="1" max="1" width="39.5703125" customWidth="1"/>
    <col min="2" max="2" width="15.42578125" customWidth="1"/>
    <col min="3" max="3" width="12.42578125" customWidth="1"/>
    <col min="4" max="6" width="12.42578125" bestFit="1" customWidth="1"/>
    <col min="7" max="10" width="10.42578125" bestFit="1" customWidth="1"/>
    <col min="11" max="11" width="10.140625" bestFit="1" customWidth="1"/>
    <col min="12" max="12" width="12.42578125" customWidth="1"/>
    <col min="13" max="13" width="12.42578125" bestFit="1" customWidth="1"/>
    <col min="14" max="14" width="11.42578125" bestFit="1" customWidth="1"/>
    <col min="15" max="15" width="10.42578125" bestFit="1" customWidth="1"/>
    <col min="16" max="16" width="11.42578125" bestFit="1" customWidth="1"/>
    <col min="17" max="22" width="10.42578125" bestFit="1" customWidth="1"/>
    <col min="23" max="23" width="11.140625" bestFit="1" customWidth="1"/>
    <col min="24" max="26" width="8.85546875" customWidth="1"/>
    <col min="27" max="62" width="8.85546875" hidden="1"/>
  </cols>
  <sheetData>
    <row r="2" spans="1:23" x14ac:dyDescent="0.25">
      <c r="A2" s="16" t="s">
        <v>45</v>
      </c>
      <c r="B2" s="16"/>
      <c r="C2" s="21">
        <f>Premissas!B32</f>
        <v>73</v>
      </c>
      <c r="D2" s="21">
        <f>Premissas!C32</f>
        <v>89</v>
      </c>
      <c r="E2" s="21">
        <f>Premissas!D32</f>
        <v>88.666666666666657</v>
      </c>
      <c r="F2" s="21">
        <f>Premissas!E32</f>
        <v>96.266666666666652</v>
      </c>
      <c r="G2" s="21">
        <f>Premissas!F32</f>
        <v>100</v>
      </c>
      <c r="H2" s="21">
        <f>Premissas!G32</f>
        <v>100</v>
      </c>
      <c r="I2" s="21">
        <f>Premissas!H32</f>
        <v>108</v>
      </c>
      <c r="J2" s="21">
        <f>Premissas!I32</f>
        <v>108</v>
      </c>
      <c r="K2" s="21">
        <f>Premissas!J32</f>
        <v>113.99999999999997</v>
      </c>
      <c r="L2" s="21">
        <f>Premissas!K32</f>
        <v>113.99999999999997</v>
      </c>
      <c r="M2" s="21">
        <f>Premissas!L32</f>
        <v>113.99999999999997</v>
      </c>
      <c r="N2" s="21">
        <f>Premissas!M32</f>
        <v>113.99999999999997</v>
      </c>
      <c r="O2" s="21">
        <f>Premissas!N32</f>
        <v>118</v>
      </c>
      <c r="P2" s="21">
        <f>Premissas!O32</f>
        <v>118</v>
      </c>
      <c r="Q2" s="21">
        <f>Premissas!P32</f>
        <v>118</v>
      </c>
      <c r="R2" s="21">
        <f>Premissas!Q32</f>
        <v>118</v>
      </c>
      <c r="S2" s="21">
        <f>Premissas!R32</f>
        <v>120</v>
      </c>
      <c r="T2" s="21">
        <f>Premissas!S32</f>
        <v>120</v>
      </c>
      <c r="U2" s="21">
        <f>Premissas!T32</f>
        <v>120</v>
      </c>
      <c r="V2" s="21">
        <f>Premissas!U32</f>
        <v>120</v>
      </c>
    </row>
    <row r="3" spans="1:23" x14ac:dyDescent="0.25">
      <c r="B3" s="6"/>
    </row>
    <row r="4" spans="1:23" x14ac:dyDescent="0.25">
      <c r="A4" s="8"/>
      <c r="B4" s="15" t="s">
        <v>10</v>
      </c>
      <c r="C4" s="20" t="s">
        <v>14</v>
      </c>
      <c r="D4" s="15" t="s">
        <v>15</v>
      </c>
      <c r="E4" s="15" t="s">
        <v>16</v>
      </c>
      <c r="F4" s="15" t="s">
        <v>17</v>
      </c>
      <c r="G4" s="22" t="s">
        <v>18</v>
      </c>
      <c r="H4" s="15" t="s">
        <v>19</v>
      </c>
      <c r="I4" s="15" t="s">
        <v>20</v>
      </c>
      <c r="J4" s="15" t="s">
        <v>21</v>
      </c>
      <c r="K4" s="22" t="s">
        <v>22</v>
      </c>
      <c r="L4" s="15" t="s">
        <v>23</v>
      </c>
      <c r="M4" s="15" t="s">
        <v>24</v>
      </c>
      <c r="N4" s="15" t="s">
        <v>25</v>
      </c>
      <c r="O4" s="15" t="s">
        <v>26</v>
      </c>
      <c r="P4" s="15" t="s">
        <v>27</v>
      </c>
      <c r="Q4" s="15" t="s">
        <v>28</v>
      </c>
      <c r="R4" s="15" t="s">
        <v>29</v>
      </c>
      <c r="S4" s="22" t="s">
        <v>30</v>
      </c>
      <c r="T4" s="15" t="s">
        <v>31</v>
      </c>
      <c r="U4" s="15" t="s">
        <v>32</v>
      </c>
      <c r="V4" s="15" t="s">
        <v>33</v>
      </c>
      <c r="W4" s="30" t="s">
        <v>65</v>
      </c>
    </row>
    <row r="5" spans="1:23" outlineLevel="1" x14ac:dyDescent="0.25">
      <c r="A5" s="19" t="s">
        <v>12</v>
      </c>
      <c r="B5" s="10"/>
      <c r="C5" s="48">
        <f>C6-C7</f>
        <v>125925</v>
      </c>
      <c r="D5" s="48">
        <f t="shared" ref="D5:V5" si="0">D6-D7</f>
        <v>153525</v>
      </c>
      <c r="E5" s="48">
        <f t="shared" si="0"/>
        <v>152949.99999999997</v>
      </c>
      <c r="F5" s="48">
        <f t="shared" si="0"/>
        <v>166059.99999999997</v>
      </c>
      <c r="G5" s="49">
        <f t="shared" si="0"/>
        <v>172500</v>
      </c>
      <c r="H5" s="48">
        <f t="shared" si="0"/>
        <v>172500</v>
      </c>
      <c r="I5" s="48">
        <f t="shared" si="0"/>
        <v>186300</v>
      </c>
      <c r="J5" s="48">
        <f t="shared" si="0"/>
        <v>186300</v>
      </c>
      <c r="K5" s="49">
        <f t="shared" si="0"/>
        <v>196649.99999999994</v>
      </c>
      <c r="L5" s="48">
        <f t="shared" si="0"/>
        <v>196649.99999999994</v>
      </c>
      <c r="M5" s="48">
        <f t="shared" si="0"/>
        <v>196649.99999999994</v>
      </c>
      <c r="N5" s="48">
        <f t="shared" si="0"/>
        <v>196649.99999999994</v>
      </c>
      <c r="O5" s="49">
        <f t="shared" si="0"/>
        <v>203550</v>
      </c>
      <c r="P5" s="48">
        <f t="shared" si="0"/>
        <v>203550</v>
      </c>
      <c r="Q5" s="48">
        <f t="shared" si="0"/>
        <v>203550</v>
      </c>
      <c r="R5" s="48">
        <f t="shared" si="0"/>
        <v>203550</v>
      </c>
      <c r="S5" s="49">
        <f t="shared" si="0"/>
        <v>207000</v>
      </c>
      <c r="T5" s="48">
        <f t="shared" si="0"/>
        <v>207000</v>
      </c>
      <c r="U5" s="48">
        <f t="shared" si="0"/>
        <v>207000</v>
      </c>
      <c r="V5" s="48">
        <f t="shared" si="0"/>
        <v>207000</v>
      </c>
      <c r="W5" s="9">
        <v>150000</v>
      </c>
    </row>
    <row r="6" spans="1:23" outlineLevel="1" x14ac:dyDescent="0.25">
      <c r="A6" s="2" t="s">
        <v>13</v>
      </c>
      <c r="B6" s="11"/>
      <c r="C6" s="11">
        <f>Premissas!$B$12*Premissas!$B$13*'Modelagem '!C2</f>
        <v>136875</v>
      </c>
      <c r="D6" s="11">
        <f>Premissas!$B$12*Premissas!$B$13*'Modelagem '!D2</f>
        <v>166875</v>
      </c>
      <c r="E6" s="11">
        <f>Premissas!$B$12*Premissas!$B$13*'Modelagem '!E2</f>
        <v>166249.99999999997</v>
      </c>
      <c r="F6" s="11">
        <f>Premissas!$B$12*Premissas!$B$13*'Modelagem '!F2</f>
        <v>180499.99999999997</v>
      </c>
      <c r="G6" s="11">
        <f>Premissas!$B$12*Premissas!$B$13*'Modelagem '!G2</f>
        <v>187500</v>
      </c>
      <c r="H6" s="11">
        <f>Premissas!$B$12*Premissas!$B$13*'Modelagem '!H2</f>
        <v>187500</v>
      </c>
      <c r="I6" s="11">
        <f>Premissas!$B$12*Premissas!$B$13*'Modelagem '!I2</f>
        <v>202500</v>
      </c>
      <c r="J6" s="11">
        <f>Premissas!$B$12*Premissas!$B$13*'Modelagem '!J2</f>
        <v>202500</v>
      </c>
      <c r="K6" s="11">
        <f>Premissas!$B$12*Premissas!$B$13*'Modelagem '!K2</f>
        <v>213749.99999999994</v>
      </c>
      <c r="L6" s="11">
        <f>Premissas!$B$12*Premissas!$B$13*'Modelagem '!L2</f>
        <v>213749.99999999994</v>
      </c>
      <c r="M6" s="11">
        <f>Premissas!$B$12*Premissas!$B$13*'Modelagem '!M2</f>
        <v>213749.99999999994</v>
      </c>
      <c r="N6" s="11">
        <f>Premissas!$B$12*Premissas!$B$13*'Modelagem '!N2</f>
        <v>213749.99999999994</v>
      </c>
      <c r="O6" s="11">
        <f>Premissas!$B$12*Premissas!$B$13*'Modelagem '!O2</f>
        <v>221250</v>
      </c>
      <c r="P6" s="11">
        <f>Premissas!$B$12*Premissas!$B$13*'Modelagem '!P2</f>
        <v>221250</v>
      </c>
      <c r="Q6" s="11">
        <f>Premissas!$B$12*Premissas!$B$13*'Modelagem '!Q2</f>
        <v>221250</v>
      </c>
      <c r="R6" s="11">
        <f>Premissas!$B$12*Premissas!$B$13*'Modelagem '!R2</f>
        <v>221250</v>
      </c>
      <c r="S6" s="11">
        <f>Premissas!$B$12*Premissas!$B$13*'Modelagem '!S2</f>
        <v>225000</v>
      </c>
      <c r="T6" s="11">
        <f>Premissas!$B$12*Premissas!$B$13*'Modelagem '!T2</f>
        <v>225000</v>
      </c>
      <c r="U6" s="11">
        <f>Premissas!$B$12*Premissas!$B$13*'Modelagem '!U2</f>
        <v>225000</v>
      </c>
      <c r="V6" s="11">
        <f>Premissas!$B$12*Premissas!$B$13*'Modelagem '!V2</f>
        <v>225000</v>
      </c>
      <c r="W6" s="11"/>
    </row>
    <row r="7" spans="1:23" outlineLevel="1" x14ac:dyDescent="0.25">
      <c r="A7" s="2" t="s">
        <v>9</v>
      </c>
      <c r="B7" s="11"/>
      <c r="C7" s="11">
        <f>C6*Premissas!$B$18</f>
        <v>10950</v>
      </c>
      <c r="D7" s="11">
        <f>D6*Premissas!$B$18</f>
        <v>13350</v>
      </c>
      <c r="E7" s="11">
        <f>E6*Premissas!$B$18</f>
        <v>13299.999999999998</v>
      </c>
      <c r="F7" s="11">
        <f>F6*Premissas!$B$18</f>
        <v>14439.999999999998</v>
      </c>
      <c r="G7" s="11">
        <f>G6*Premissas!$B$18</f>
        <v>15000</v>
      </c>
      <c r="H7" s="11">
        <f>H6*Premissas!$B$18</f>
        <v>15000</v>
      </c>
      <c r="I7" s="11">
        <f>I6*Premissas!$B$18</f>
        <v>16200</v>
      </c>
      <c r="J7" s="11">
        <f>J6*Premissas!$B$18</f>
        <v>16200</v>
      </c>
      <c r="K7" s="11">
        <f>K6*Premissas!$B$18</f>
        <v>17099.999999999996</v>
      </c>
      <c r="L7" s="11">
        <f>L6*Premissas!$B$18</f>
        <v>17099.999999999996</v>
      </c>
      <c r="M7" s="11">
        <f>M6*Premissas!$B$18</f>
        <v>17099.999999999996</v>
      </c>
      <c r="N7" s="11">
        <f>N6*Premissas!$B$18</f>
        <v>17099.999999999996</v>
      </c>
      <c r="O7" s="11">
        <f>O6*Premissas!$B$18</f>
        <v>17700</v>
      </c>
      <c r="P7" s="11">
        <f>P6*Premissas!$B$18</f>
        <v>17700</v>
      </c>
      <c r="Q7" s="11">
        <f>Q6*Premissas!$B$18</f>
        <v>17700</v>
      </c>
      <c r="R7" s="11">
        <f>R6*Premissas!$B$18</f>
        <v>17700</v>
      </c>
      <c r="S7" s="11">
        <f>S6*Premissas!$B$18</f>
        <v>18000</v>
      </c>
      <c r="T7" s="11">
        <f>T6*Premissas!$B$18</f>
        <v>18000</v>
      </c>
      <c r="U7" s="11">
        <f>U6*Premissas!$B$18</f>
        <v>18000</v>
      </c>
      <c r="V7" s="11">
        <f>V6*Premissas!$B$18</f>
        <v>18000</v>
      </c>
      <c r="W7" s="11"/>
    </row>
    <row r="8" spans="1:23" x14ac:dyDescent="0.25">
      <c r="A8" s="1" t="s">
        <v>11</v>
      </c>
      <c r="B8" s="9"/>
      <c r="C8" s="50">
        <f>SUM(C9:C15)</f>
        <v>125618.75</v>
      </c>
      <c r="D8" s="50">
        <f t="shared" ref="D8:V8" si="1">SUM(D9:D15)</f>
        <v>137918.75</v>
      </c>
      <c r="E8" s="50">
        <f t="shared" si="1"/>
        <v>137662.5</v>
      </c>
      <c r="F8" s="50">
        <f t="shared" si="1"/>
        <v>143505</v>
      </c>
      <c r="G8" s="51">
        <f t="shared" si="1"/>
        <v>150545</v>
      </c>
      <c r="H8" s="50">
        <f t="shared" si="1"/>
        <v>150545</v>
      </c>
      <c r="I8" s="50">
        <f t="shared" si="1"/>
        <v>156695</v>
      </c>
      <c r="J8" s="50">
        <f t="shared" si="1"/>
        <v>156695</v>
      </c>
      <c r="K8" s="51">
        <f t="shared" si="1"/>
        <v>165727.69999999998</v>
      </c>
      <c r="L8" s="50">
        <f t="shared" si="1"/>
        <v>165727.69999999998</v>
      </c>
      <c r="M8" s="50">
        <f t="shared" si="1"/>
        <v>165727.69999999998</v>
      </c>
      <c r="N8" s="50">
        <f t="shared" si="1"/>
        <v>165727.69999999998</v>
      </c>
      <c r="O8" s="51">
        <f t="shared" si="1"/>
        <v>173488.11199999996</v>
      </c>
      <c r="P8" s="50">
        <f t="shared" si="1"/>
        <v>173488.11199999996</v>
      </c>
      <c r="Q8" s="50">
        <f t="shared" si="1"/>
        <v>173488.11199999996</v>
      </c>
      <c r="R8" s="50">
        <f t="shared" si="1"/>
        <v>173488.11199999996</v>
      </c>
      <c r="S8" s="51">
        <f t="shared" si="1"/>
        <v>179992.14872</v>
      </c>
      <c r="T8" s="50">
        <f t="shared" si="1"/>
        <v>179992.14872</v>
      </c>
      <c r="U8" s="50">
        <f t="shared" si="1"/>
        <v>179992.14872</v>
      </c>
      <c r="V8" s="50">
        <f t="shared" si="1"/>
        <v>179992.14872</v>
      </c>
      <c r="W8" s="9"/>
    </row>
    <row r="9" spans="1:23" outlineLevel="1" x14ac:dyDescent="0.25">
      <c r="A9" s="3" t="s">
        <v>3</v>
      </c>
      <c r="B9" s="11"/>
      <c r="C9" s="11">
        <f>+C6*Premissas!$B$16</f>
        <v>46537.5</v>
      </c>
      <c r="D9" s="11">
        <f>+D6*Premissas!$B$16</f>
        <v>56737.500000000007</v>
      </c>
      <c r="E9" s="11">
        <f>+E6*Premissas!$B$16</f>
        <v>56524.999999999993</v>
      </c>
      <c r="F9" s="11">
        <f>+F6*Premissas!$B$16</f>
        <v>61369.999999999993</v>
      </c>
      <c r="G9" s="11">
        <f>+G6*Premissas!$B$16</f>
        <v>63750.000000000007</v>
      </c>
      <c r="H9" s="11">
        <f>+H6*Premissas!$B$16</f>
        <v>63750.000000000007</v>
      </c>
      <c r="I9" s="11">
        <f>+I6*Premissas!$B$16</f>
        <v>68850</v>
      </c>
      <c r="J9" s="11">
        <f>+J6*Premissas!$B$16</f>
        <v>68850</v>
      </c>
      <c r="K9" s="11">
        <f>+K6*Premissas!$B$16</f>
        <v>72674.999999999985</v>
      </c>
      <c r="L9" s="11">
        <f>+L6*Premissas!$B$16</f>
        <v>72674.999999999985</v>
      </c>
      <c r="M9" s="11">
        <f>+M6*Premissas!$B$16</f>
        <v>72674.999999999985</v>
      </c>
      <c r="N9" s="11">
        <f>+N6*Premissas!$B$16</f>
        <v>72674.999999999985</v>
      </c>
      <c r="O9" s="11">
        <f>+O6*Premissas!$B$16</f>
        <v>75225</v>
      </c>
      <c r="P9" s="11">
        <f>+P6*Premissas!$B$16</f>
        <v>75225</v>
      </c>
      <c r="Q9" s="11">
        <f>+Q6*Premissas!$B$16</f>
        <v>75225</v>
      </c>
      <c r="R9" s="11">
        <f>+R6*Premissas!$B$16</f>
        <v>75225</v>
      </c>
      <c r="S9" s="11">
        <f>+S6*Premissas!$B$16</f>
        <v>76500</v>
      </c>
      <c r="T9" s="11">
        <f>+T6*Premissas!$B$16</f>
        <v>76500</v>
      </c>
      <c r="U9" s="11">
        <f>+U6*Premissas!$B$16</f>
        <v>76500</v>
      </c>
      <c r="V9" s="11">
        <f>+V6*Premissas!$B$16</f>
        <v>76500</v>
      </c>
      <c r="W9" s="11"/>
    </row>
    <row r="10" spans="1:23" outlineLevel="1" x14ac:dyDescent="0.25">
      <c r="A10" s="3" t="s">
        <v>4</v>
      </c>
      <c r="B10" s="11"/>
      <c r="C10" s="11">
        <f>+Premissas!$B22</f>
        <v>36000</v>
      </c>
      <c r="D10" s="11">
        <f>+Premissas!$B22</f>
        <v>36000</v>
      </c>
      <c r="E10" s="11">
        <f>+Premissas!$B22</f>
        <v>36000</v>
      </c>
      <c r="F10" s="11">
        <f>+Premissas!$B22</f>
        <v>36000</v>
      </c>
      <c r="G10" s="13">
        <f>+Premissas!$C22</f>
        <v>38160</v>
      </c>
      <c r="H10" s="11">
        <f>+Premissas!$C22</f>
        <v>38160</v>
      </c>
      <c r="I10" s="11">
        <f>+Premissas!$C22</f>
        <v>38160</v>
      </c>
      <c r="J10" s="11">
        <f>+Premissas!$C22</f>
        <v>38160</v>
      </c>
      <c r="K10" s="13">
        <f>+Premissas!$D22</f>
        <v>40449.599999999999</v>
      </c>
      <c r="L10" s="11">
        <f>+Premissas!$D22</f>
        <v>40449.599999999999</v>
      </c>
      <c r="M10" s="11">
        <f>+Premissas!$D22</f>
        <v>40449.599999999999</v>
      </c>
      <c r="N10" s="11">
        <f>+Premissas!$D22</f>
        <v>40449.599999999999</v>
      </c>
      <c r="O10" s="13">
        <f>+Premissas!$E22</f>
        <v>42876.576000000001</v>
      </c>
      <c r="P10" s="11">
        <f>+Premissas!$E22</f>
        <v>42876.576000000001</v>
      </c>
      <c r="Q10" s="11">
        <f>+Premissas!$E22</f>
        <v>42876.576000000001</v>
      </c>
      <c r="R10" s="11">
        <f>+Premissas!$E22</f>
        <v>42876.576000000001</v>
      </c>
      <c r="S10" s="13">
        <f>+Premissas!$F22</f>
        <v>45449.170560000006</v>
      </c>
      <c r="T10" s="11">
        <f>+Premissas!$F22</f>
        <v>45449.170560000006</v>
      </c>
      <c r="U10" s="11">
        <f>+Premissas!$F22</f>
        <v>45449.170560000006</v>
      </c>
      <c r="V10" s="11">
        <f>+Premissas!$F22</f>
        <v>45449.170560000006</v>
      </c>
      <c r="W10" s="11"/>
    </row>
    <row r="11" spans="1:23" outlineLevel="1" x14ac:dyDescent="0.25">
      <c r="A11" s="3" t="s">
        <v>5</v>
      </c>
      <c r="B11" s="11"/>
      <c r="C11" s="11">
        <f>+Premissas!$B23</f>
        <v>7000</v>
      </c>
      <c r="D11" s="11">
        <f>+Premissas!$B23</f>
        <v>7000</v>
      </c>
      <c r="E11" s="11">
        <f>+Premissas!$B23</f>
        <v>7000</v>
      </c>
      <c r="F11" s="11">
        <f>+Premissas!$B23</f>
        <v>7000</v>
      </c>
      <c r="G11" s="13">
        <f>+Premissas!$C23</f>
        <v>7420</v>
      </c>
      <c r="H11" s="11">
        <f>+Premissas!$C23</f>
        <v>7420</v>
      </c>
      <c r="I11" s="11">
        <f>+Premissas!$C23</f>
        <v>7420</v>
      </c>
      <c r="J11" s="11">
        <f>+Premissas!$C23</f>
        <v>7420</v>
      </c>
      <c r="K11" s="13">
        <f>+Premissas!$D23</f>
        <v>7865.2000000000007</v>
      </c>
      <c r="L11" s="11">
        <f>+Premissas!$D23</f>
        <v>7865.2000000000007</v>
      </c>
      <c r="M11" s="11">
        <f>+Premissas!$D23</f>
        <v>7865.2000000000007</v>
      </c>
      <c r="N11" s="11">
        <f>+Premissas!$D23</f>
        <v>7865.2000000000007</v>
      </c>
      <c r="O11" s="13">
        <f>+Premissas!$E23</f>
        <v>8337.112000000001</v>
      </c>
      <c r="P11" s="11">
        <f>+Premissas!$E23</f>
        <v>8337.112000000001</v>
      </c>
      <c r="Q11" s="11">
        <f>+Premissas!$E23</f>
        <v>8337.112000000001</v>
      </c>
      <c r="R11" s="11">
        <f>+Premissas!$E23</f>
        <v>8337.112000000001</v>
      </c>
      <c r="S11" s="13">
        <f>+Premissas!$F23</f>
        <v>8837.3387200000016</v>
      </c>
      <c r="T11" s="11">
        <f>+Premissas!$F23</f>
        <v>8837.3387200000016</v>
      </c>
      <c r="U11" s="11">
        <f>+Premissas!$F23</f>
        <v>8837.3387200000016</v>
      </c>
      <c r="V11" s="11">
        <f>+Premissas!$F23</f>
        <v>8837.3387200000016</v>
      </c>
      <c r="W11" s="11"/>
    </row>
    <row r="12" spans="1:23" outlineLevel="1" x14ac:dyDescent="0.25">
      <c r="A12" s="3" t="s">
        <v>6</v>
      </c>
      <c r="B12" s="11"/>
      <c r="C12" s="11">
        <f>+Premissas!$B24</f>
        <v>5000</v>
      </c>
      <c r="D12" s="11">
        <f>+Premissas!$B24</f>
        <v>5000</v>
      </c>
      <c r="E12" s="11">
        <f>+Premissas!$B24</f>
        <v>5000</v>
      </c>
      <c r="F12" s="11">
        <f>+Premissas!$B24</f>
        <v>5000</v>
      </c>
      <c r="G12" s="13">
        <f>+Premissas!$C24</f>
        <v>5300</v>
      </c>
      <c r="H12" s="11">
        <f>+Premissas!$C24</f>
        <v>5300</v>
      </c>
      <c r="I12" s="11">
        <f>+Premissas!$C24</f>
        <v>5300</v>
      </c>
      <c r="J12" s="11">
        <f>+Premissas!$C24</f>
        <v>5300</v>
      </c>
      <c r="K12" s="13">
        <f>+Premissas!$D24</f>
        <v>5618</v>
      </c>
      <c r="L12" s="11">
        <f>+Premissas!$D24</f>
        <v>5618</v>
      </c>
      <c r="M12" s="11">
        <f>+Premissas!$D24</f>
        <v>5618</v>
      </c>
      <c r="N12" s="11">
        <f>+Premissas!$D24</f>
        <v>5618</v>
      </c>
      <c r="O12" s="13">
        <f>+Premissas!$E24</f>
        <v>5955.08</v>
      </c>
      <c r="P12" s="11">
        <f>+Premissas!$E24</f>
        <v>5955.08</v>
      </c>
      <c r="Q12" s="11">
        <f>+Premissas!$E24</f>
        <v>5955.08</v>
      </c>
      <c r="R12" s="11">
        <f>+Premissas!$E24</f>
        <v>5955.08</v>
      </c>
      <c r="S12" s="13">
        <f>+Premissas!$F24</f>
        <v>6312.3847999999998</v>
      </c>
      <c r="T12" s="11">
        <f>+Premissas!$F24</f>
        <v>6312.3847999999998</v>
      </c>
      <c r="U12" s="11">
        <f>+Premissas!$F24</f>
        <v>6312.3847999999998</v>
      </c>
      <c r="V12" s="11">
        <f>+Premissas!$F24</f>
        <v>6312.3847999999998</v>
      </c>
      <c r="W12" s="11"/>
    </row>
    <row r="13" spans="1:23" outlineLevel="1" x14ac:dyDescent="0.25">
      <c r="A13" s="3" t="s">
        <v>64</v>
      </c>
      <c r="C13" s="11">
        <f>+Premissas!$B25</f>
        <v>16500</v>
      </c>
      <c r="D13" s="17">
        <f>+Premissas!$B25</f>
        <v>16500</v>
      </c>
      <c r="E13" s="17">
        <f>+Premissas!$B25</f>
        <v>16500</v>
      </c>
      <c r="F13" s="17">
        <f>+Premissas!$B25</f>
        <v>16500</v>
      </c>
      <c r="G13" s="18">
        <f>+Premissas!$C25</f>
        <v>17490</v>
      </c>
      <c r="H13" s="17">
        <f>+Premissas!$C25</f>
        <v>17490</v>
      </c>
      <c r="I13" s="17">
        <f>+Premissas!$C25</f>
        <v>17490</v>
      </c>
      <c r="J13" s="17">
        <f>+Premissas!$C25</f>
        <v>17490</v>
      </c>
      <c r="K13" s="13">
        <f>+Premissas!$D25</f>
        <v>18539.400000000001</v>
      </c>
      <c r="L13" s="17">
        <f>+Premissas!$D25</f>
        <v>18539.400000000001</v>
      </c>
      <c r="M13" s="17">
        <f>+Premissas!$D25</f>
        <v>18539.400000000001</v>
      </c>
      <c r="N13" s="17">
        <f>+Premissas!$D25</f>
        <v>18539.400000000001</v>
      </c>
      <c r="O13" s="18">
        <f>+Premissas!$E25</f>
        <v>19651.764000000003</v>
      </c>
      <c r="P13" s="17">
        <f>+Premissas!$E25</f>
        <v>19651.764000000003</v>
      </c>
      <c r="Q13" s="17">
        <f>+Premissas!$E25</f>
        <v>19651.764000000003</v>
      </c>
      <c r="R13" s="17">
        <f>+Premissas!$E25</f>
        <v>19651.764000000003</v>
      </c>
      <c r="S13" s="13">
        <f>+Premissas!$F25</f>
        <v>20830.869840000003</v>
      </c>
      <c r="T13" s="17">
        <f>+Premissas!$F25</f>
        <v>20830.869840000003</v>
      </c>
      <c r="U13" s="17">
        <f>+Premissas!$F25</f>
        <v>20830.869840000003</v>
      </c>
      <c r="V13" s="17">
        <f>+Premissas!$F25</f>
        <v>20830.869840000003</v>
      </c>
      <c r="W13" s="17"/>
    </row>
    <row r="14" spans="1:23" outlineLevel="1" x14ac:dyDescent="0.25">
      <c r="A14" s="3" t="s">
        <v>61</v>
      </c>
      <c r="C14" s="11">
        <f>+Premissas!$B26</f>
        <v>5000</v>
      </c>
      <c r="D14" s="17">
        <f>+Premissas!$B26</f>
        <v>5000</v>
      </c>
      <c r="E14" s="17">
        <f>+Premissas!$B26</f>
        <v>5000</v>
      </c>
      <c r="F14" s="17">
        <f>+Premissas!$B26</f>
        <v>5000</v>
      </c>
      <c r="G14" s="18">
        <f>+Premissas!$C26</f>
        <v>5300</v>
      </c>
      <c r="H14" s="17">
        <f>+Premissas!$C26</f>
        <v>5300</v>
      </c>
      <c r="I14" s="17">
        <f>+Premissas!$C26</f>
        <v>5300</v>
      </c>
      <c r="J14" s="17">
        <f>+Premissas!$C26</f>
        <v>5300</v>
      </c>
      <c r="K14" s="13">
        <f>+Premissas!$D26</f>
        <v>5618</v>
      </c>
      <c r="L14" s="17">
        <f>+Premissas!$D26</f>
        <v>5618</v>
      </c>
      <c r="M14" s="17">
        <f>+Premissas!$D26</f>
        <v>5618</v>
      </c>
      <c r="N14" s="17">
        <f>+Premissas!$D26</f>
        <v>5618</v>
      </c>
      <c r="O14" s="18">
        <f>+Premissas!$E26</f>
        <v>5955.08</v>
      </c>
      <c r="P14" s="17">
        <f>+Premissas!$E26</f>
        <v>5955.08</v>
      </c>
      <c r="Q14" s="17">
        <f>+Premissas!$E26</f>
        <v>5955.08</v>
      </c>
      <c r="R14" s="17">
        <f>+Premissas!$E26</f>
        <v>5955.08</v>
      </c>
      <c r="S14" s="13">
        <f>+Premissas!$F26</f>
        <v>6312.3847999999998</v>
      </c>
      <c r="T14" s="17">
        <f>+Premissas!$F26</f>
        <v>6312.3847999999998</v>
      </c>
      <c r="U14" s="17">
        <f>+Premissas!$F26</f>
        <v>6312.3847999999998</v>
      </c>
      <c r="V14" s="17">
        <f>+Premissas!$F26</f>
        <v>6312.3847999999998</v>
      </c>
      <c r="W14" s="17"/>
    </row>
    <row r="15" spans="1:23" outlineLevel="1" x14ac:dyDescent="0.25">
      <c r="A15" s="3" t="s">
        <v>62</v>
      </c>
      <c r="B15" s="11"/>
      <c r="C15" s="17">
        <f>C6*Premissas!$B$17</f>
        <v>9581.2500000000018</v>
      </c>
      <c r="D15" s="17">
        <f>D6*Premissas!$B$17</f>
        <v>11681.250000000002</v>
      </c>
      <c r="E15" s="17">
        <f>E6*Premissas!$B$17</f>
        <v>11637.499999999998</v>
      </c>
      <c r="F15" s="17">
        <f>F6*Premissas!$B$17</f>
        <v>12635</v>
      </c>
      <c r="G15" s="17">
        <f>G6*Premissas!$B$17</f>
        <v>13125.000000000002</v>
      </c>
      <c r="H15" s="17">
        <f>H6*Premissas!$B$17</f>
        <v>13125.000000000002</v>
      </c>
      <c r="I15" s="17">
        <f>I6*Premissas!$B$17</f>
        <v>14175.000000000002</v>
      </c>
      <c r="J15" s="17">
        <f>J6*Premissas!$B$17</f>
        <v>14175.000000000002</v>
      </c>
      <c r="K15" s="17">
        <f>K6*Premissas!$B$17</f>
        <v>14962.499999999998</v>
      </c>
      <c r="L15" s="17">
        <f>L6*Premissas!$B$17</f>
        <v>14962.499999999998</v>
      </c>
      <c r="M15" s="17">
        <f>M6*Premissas!$B$17</f>
        <v>14962.499999999998</v>
      </c>
      <c r="N15" s="17">
        <f>N6*Premissas!$B$17</f>
        <v>14962.499999999998</v>
      </c>
      <c r="O15" s="17">
        <f>O6*Premissas!$B$17</f>
        <v>15487.500000000002</v>
      </c>
      <c r="P15" s="17">
        <f>P6*Premissas!$B$17</f>
        <v>15487.500000000002</v>
      </c>
      <c r="Q15" s="17">
        <f>Q6*Premissas!$B$17</f>
        <v>15487.500000000002</v>
      </c>
      <c r="R15" s="17">
        <f>R6*Premissas!$B$17</f>
        <v>15487.500000000002</v>
      </c>
      <c r="S15" s="17">
        <f>S6*Premissas!$B$17</f>
        <v>15750.000000000002</v>
      </c>
      <c r="T15" s="17">
        <f>T6*Premissas!$B$17</f>
        <v>15750.000000000002</v>
      </c>
      <c r="U15" s="17">
        <f>U6*Premissas!$B$17</f>
        <v>15750.000000000002</v>
      </c>
      <c r="V15" s="17">
        <f>V6*Premissas!$B$17</f>
        <v>15750.000000000002</v>
      </c>
      <c r="W15" s="17"/>
    </row>
    <row r="16" spans="1:23" ht="15.75" thickBot="1" x14ac:dyDescent="0.3">
      <c r="A16" s="4" t="s">
        <v>34</v>
      </c>
      <c r="B16" s="27">
        <f>+B17</f>
        <v>320000</v>
      </c>
      <c r="C16" s="27">
        <f t="shared" ref="C16:W16" si="2">+C17</f>
        <v>0</v>
      </c>
      <c r="D16" s="27">
        <f t="shared" si="2"/>
        <v>0</v>
      </c>
      <c r="E16" s="27">
        <f t="shared" si="2"/>
        <v>0</v>
      </c>
      <c r="F16" s="27">
        <f t="shared" si="2"/>
        <v>0</v>
      </c>
      <c r="G16" s="28">
        <f t="shared" si="2"/>
        <v>0</v>
      </c>
      <c r="H16" s="27">
        <f t="shared" si="2"/>
        <v>0</v>
      </c>
      <c r="I16" s="27">
        <f t="shared" si="2"/>
        <v>0</v>
      </c>
      <c r="J16" s="27">
        <f t="shared" si="2"/>
        <v>0</v>
      </c>
      <c r="K16" s="28">
        <f t="shared" si="2"/>
        <v>0</v>
      </c>
      <c r="L16" s="27">
        <f t="shared" si="2"/>
        <v>0</v>
      </c>
      <c r="M16" s="27">
        <f t="shared" si="2"/>
        <v>0</v>
      </c>
      <c r="N16" s="27">
        <f t="shared" si="2"/>
        <v>0</v>
      </c>
      <c r="O16" s="28">
        <f t="shared" si="2"/>
        <v>0</v>
      </c>
      <c r="P16" s="27">
        <f t="shared" si="2"/>
        <v>0</v>
      </c>
      <c r="Q16" s="27">
        <f t="shared" si="2"/>
        <v>0</v>
      </c>
      <c r="R16" s="27">
        <f t="shared" si="2"/>
        <v>0</v>
      </c>
      <c r="S16" s="28">
        <f t="shared" si="2"/>
        <v>0</v>
      </c>
      <c r="T16" s="27">
        <f t="shared" si="2"/>
        <v>0</v>
      </c>
      <c r="U16" s="27">
        <f t="shared" si="2"/>
        <v>0</v>
      </c>
      <c r="V16" s="27">
        <f t="shared" si="2"/>
        <v>0</v>
      </c>
      <c r="W16" s="27">
        <f t="shared" si="2"/>
        <v>0</v>
      </c>
    </row>
    <row r="17" spans="1:24" outlineLevel="1" x14ac:dyDescent="0.25">
      <c r="A17" s="3" t="s">
        <v>35</v>
      </c>
      <c r="B17" s="11">
        <f>+Premissas!B9</f>
        <v>320000</v>
      </c>
      <c r="C17" s="11"/>
      <c r="D17" s="11"/>
      <c r="E17" s="11"/>
      <c r="F17" s="11"/>
      <c r="G17" s="13"/>
      <c r="H17" s="11"/>
      <c r="I17" s="11"/>
      <c r="J17" s="11"/>
      <c r="K17" s="13"/>
      <c r="L17" s="11"/>
      <c r="M17" s="11"/>
      <c r="N17" s="11"/>
      <c r="O17" s="13"/>
      <c r="P17" s="11"/>
      <c r="Q17" s="11"/>
      <c r="R17" s="11"/>
      <c r="S17" s="13"/>
      <c r="T17" s="11"/>
      <c r="U17" s="11"/>
      <c r="V17" s="11"/>
      <c r="W17" s="11"/>
    </row>
    <row r="18" spans="1:24" ht="15.75" thickBot="1" x14ac:dyDescent="0.3">
      <c r="A18" s="4" t="s">
        <v>0</v>
      </c>
      <c r="B18" s="12">
        <f>+B5-B8-B16</f>
        <v>-320000</v>
      </c>
      <c r="C18" s="25">
        <f t="shared" ref="C18:V18" si="3">+C5-C8-C16</f>
        <v>306.25</v>
      </c>
      <c r="D18" s="25">
        <f t="shared" si="3"/>
        <v>15606.25</v>
      </c>
      <c r="E18" s="25">
        <f t="shared" si="3"/>
        <v>15287.499999999971</v>
      </c>
      <c r="F18" s="25">
        <f t="shared" si="3"/>
        <v>22554.999999999971</v>
      </c>
      <c r="G18" s="26">
        <f t="shared" si="3"/>
        <v>21955</v>
      </c>
      <c r="H18" s="25">
        <f t="shared" si="3"/>
        <v>21955</v>
      </c>
      <c r="I18" s="25">
        <f t="shared" si="3"/>
        <v>29605</v>
      </c>
      <c r="J18" s="25">
        <f t="shared" si="3"/>
        <v>29605</v>
      </c>
      <c r="K18" s="26">
        <f t="shared" si="3"/>
        <v>30922.299999999959</v>
      </c>
      <c r="L18" s="25">
        <f t="shared" si="3"/>
        <v>30922.299999999959</v>
      </c>
      <c r="M18" s="25">
        <f t="shared" si="3"/>
        <v>30922.299999999959</v>
      </c>
      <c r="N18" s="25">
        <f t="shared" si="3"/>
        <v>30922.299999999959</v>
      </c>
      <c r="O18" s="26">
        <f t="shared" si="3"/>
        <v>30061.888000000035</v>
      </c>
      <c r="P18" s="25">
        <f t="shared" si="3"/>
        <v>30061.888000000035</v>
      </c>
      <c r="Q18" s="25">
        <f t="shared" si="3"/>
        <v>30061.888000000035</v>
      </c>
      <c r="R18" s="25">
        <f t="shared" si="3"/>
        <v>30061.888000000035</v>
      </c>
      <c r="S18" s="26">
        <f t="shared" si="3"/>
        <v>27007.851280000003</v>
      </c>
      <c r="T18" s="25">
        <f t="shared" si="3"/>
        <v>27007.851280000003</v>
      </c>
      <c r="U18" s="25">
        <f t="shared" si="3"/>
        <v>27007.851280000003</v>
      </c>
      <c r="V18" s="25">
        <f t="shared" si="3"/>
        <v>27007.851280000003</v>
      </c>
      <c r="W18" s="27">
        <f>+W5-W8-W16</f>
        <v>150000</v>
      </c>
    </row>
    <row r="20" spans="1:24" x14ac:dyDescent="0.25">
      <c r="A20" s="23" t="s">
        <v>37</v>
      </c>
      <c r="B20" s="24">
        <f>+B18</f>
        <v>-320000</v>
      </c>
      <c r="C20" s="24">
        <f>+C18+B20</f>
        <v>-319693.75</v>
      </c>
      <c r="D20" s="24">
        <f t="shared" ref="D20:W20" si="4">+D18+C20</f>
        <v>-304087.5</v>
      </c>
      <c r="E20" s="24">
        <f t="shared" si="4"/>
        <v>-288800</v>
      </c>
      <c r="F20" s="24">
        <f t="shared" si="4"/>
        <v>-266245</v>
      </c>
      <c r="G20" s="24">
        <f t="shared" si="4"/>
        <v>-244290</v>
      </c>
      <c r="H20" s="24">
        <f t="shared" si="4"/>
        <v>-222335</v>
      </c>
      <c r="I20" s="24">
        <f t="shared" si="4"/>
        <v>-192730</v>
      </c>
      <c r="J20" s="24">
        <f t="shared" si="4"/>
        <v>-163125</v>
      </c>
      <c r="K20" s="24">
        <f t="shared" si="4"/>
        <v>-132202.70000000004</v>
      </c>
      <c r="L20" s="24">
        <f t="shared" si="4"/>
        <v>-101280.40000000008</v>
      </c>
      <c r="M20" s="24">
        <f t="shared" si="4"/>
        <v>-70358.100000000122</v>
      </c>
      <c r="N20" s="24">
        <f t="shared" si="4"/>
        <v>-39435.800000000163</v>
      </c>
      <c r="O20" s="24">
        <f t="shared" si="4"/>
        <v>-9373.9120000001276</v>
      </c>
      <c r="P20" s="24">
        <f t="shared" si="4"/>
        <v>20687.975999999908</v>
      </c>
      <c r="Q20" s="24">
        <f t="shared" si="4"/>
        <v>50749.863999999943</v>
      </c>
      <c r="R20" s="24">
        <f t="shared" si="4"/>
        <v>80811.751999999979</v>
      </c>
      <c r="S20" s="24">
        <f t="shared" si="4"/>
        <v>107819.60327999998</v>
      </c>
      <c r="T20" s="24">
        <f t="shared" si="4"/>
        <v>134827.45455999998</v>
      </c>
      <c r="U20" s="24">
        <f t="shared" si="4"/>
        <v>161835.30583999999</v>
      </c>
      <c r="V20" s="24">
        <f t="shared" si="4"/>
        <v>188843.15711999999</v>
      </c>
      <c r="W20" s="24">
        <f t="shared" si="4"/>
        <v>338843.15711999999</v>
      </c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3" spans="1:24" x14ac:dyDescent="0.25">
      <c r="P23" s="65"/>
    </row>
    <row r="24" spans="1:24" x14ac:dyDescent="0.25">
      <c r="A24" s="64" t="s">
        <v>66</v>
      </c>
      <c r="B24" s="61">
        <f>NPV(2.4%,C18:W18) +B18</f>
        <v>160629.90818318044</v>
      </c>
    </row>
    <row r="25" spans="1:24" x14ac:dyDescent="0.25">
      <c r="B25" s="14"/>
      <c r="E25" s="5"/>
    </row>
    <row r="26" spans="1:24" x14ac:dyDescent="0.25">
      <c r="A26" s="64" t="s">
        <v>67</v>
      </c>
      <c r="B26" s="62">
        <f>IRR(B18:W18)</f>
        <v>5.8559953454940361E-2</v>
      </c>
    </row>
    <row r="27" spans="1:24" x14ac:dyDescent="0.25">
      <c r="A27" s="64" t="s">
        <v>68</v>
      </c>
      <c r="B27" s="63">
        <f>+POWER((1+B26),4) - 1</f>
        <v>0.2556304537243419</v>
      </c>
    </row>
    <row r="30" spans="1:24" x14ac:dyDescent="0.25">
      <c r="A30" s="31"/>
      <c r="B30" s="32"/>
    </row>
    <row r="34" spans="1:7" x14ac:dyDescent="0.25">
      <c r="A34" s="31"/>
    </row>
    <row r="35" spans="1:7" ht="14.45" customHeight="1" x14ac:dyDescent="0.25">
      <c r="A35" s="55"/>
      <c r="B35" s="55"/>
      <c r="C35" s="55"/>
      <c r="D35" s="55"/>
      <c r="E35" s="55"/>
      <c r="F35" s="55"/>
      <c r="G35" s="55"/>
    </row>
    <row r="36" spans="1:7" x14ac:dyDescent="0.25">
      <c r="A36" s="55"/>
      <c r="B36" s="55"/>
      <c r="C36" s="55"/>
      <c r="D36" s="55"/>
      <c r="E36" s="55"/>
      <c r="F36" s="55"/>
      <c r="G36" s="55"/>
    </row>
    <row r="37" spans="1:7" x14ac:dyDescent="0.25">
      <c r="A37" s="55"/>
      <c r="B37" s="55"/>
      <c r="C37" s="55"/>
      <c r="D37" s="55"/>
      <c r="E37" s="55"/>
      <c r="F37" s="55"/>
      <c r="G37" s="55"/>
    </row>
    <row r="38" spans="1:7" x14ac:dyDescent="0.25">
      <c r="A38" s="55"/>
      <c r="B38" s="55"/>
      <c r="C38" s="55"/>
      <c r="D38" s="55"/>
      <c r="E38" s="55"/>
      <c r="F38" s="55"/>
      <c r="G38" s="55"/>
    </row>
    <row r="39" spans="1:7" x14ac:dyDescent="0.25">
      <c r="A39" s="55"/>
      <c r="B39" s="55"/>
      <c r="C39" s="55"/>
      <c r="D39" s="55"/>
      <c r="E39" s="55"/>
      <c r="F39" s="55"/>
      <c r="G39" s="55"/>
    </row>
    <row r="40" spans="1:7" x14ac:dyDescent="0.25">
      <c r="A40" s="55"/>
      <c r="B40" s="55"/>
      <c r="C40" s="55"/>
      <c r="D40" s="55"/>
      <c r="E40" s="55"/>
      <c r="F40" s="55"/>
      <c r="G40" s="55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EA1A-E62E-4074-86C5-2987A12047CC}">
  <sheetPr>
    <tabColor theme="9" tint="-0.499984740745262"/>
  </sheetPr>
  <dimension ref="A1"/>
  <sheetViews>
    <sheetView showGridLines="0" workbookViewId="0">
      <selection activeCell="E16" sqref="E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C554-74E6-4E80-86A1-C24161B6F5B4}">
  <dimension ref="A1:K31"/>
  <sheetViews>
    <sheetView showGridLines="0" topLeftCell="A3" workbookViewId="0">
      <selection activeCell="O15" sqref="O15"/>
    </sheetView>
  </sheetViews>
  <sheetFormatPr defaultRowHeight="15" x14ac:dyDescent="0.25"/>
  <cols>
    <col min="1" max="1" width="12.7109375" customWidth="1"/>
    <col min="2" max="2" width="14.140625" bestFit="1" customWidth="1"/>
    <col min="3" max="3" width="13" customWidth="1"/>
  </cols>
  <sheetData>
    <row r="1" spans="1:11" ht="21" customHeight="1" x14ac:dyDescent="0.25">
      <c r="A1" s="67" t="s">
        <v>79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x14ac:dyDescent="0.25">
      <c r="A2" t="s">
        <v>69</v>
      </c>
    </row>
    <row r="24" spans="1:4" x14ac:dyDescent="0.25">
      <c r="A24" t="s">
        <v>70</v>
      </c>
    </row>
    <row r="26" spans="1:4" x14ac:dyDescent="0.25">
      <c r="A26" s="73" t="s">
        <v>71</v>
      </c>
      <c r="B26" s="73" t="s">
        <v>72</v>
      </c>
      <c r="C26" s="73" t="s">
        <v>73</v>
      </c>
    </row>
    <row r="27" spans="1:4" x14ac:dyDescent="0.25">
      <c r="A27" s="71" t="s">
        <v>25</v>
      </c>
      <c r="B27" s="72">
        <v>30922.299999999959</v>
      </c>
      <c r="C27" s="72">
        <v>-39435.800000000163</v>
      </c>
    </row>
    <row r="28" spans="1:4" x14ac:dyDescent="0.25">
      <c r="A28" s="71" t="s">
        <v>26</v>
      </c>
      <c r="B28" s="72">
        <v>30061.888000000035</v>
      </c>
      <c r="C28" s="72">
        <f>+B28+C27</f>
        <v>-9373.9120000001276</v>
      </c>
    </row>
    <row r="29" spans="1:4" x14ac:dyDescent="0.25">
      <c r="A29" s="71" t="s">
        <v>27</v>
      </c>
      <c r="B29" s="72">
        <v>30061.888000000035</v>
      </c>
      <c r="C29" s="72">
        <f>+B29+C28</f>
        <v>20687.975999999908</v>
      </c>
    </row>
    <row r="30" spans="1:4" x14ac:dyDescent="0.25">
      <c r="B30" s="65"/>
    </row>
    <row r="31" spans="1:4" x14ac:dyDescent="0.25">
      <c r="A31" s="68" t="s">
        <v>74</v>
      </c>
      <c r="B31" s="69"/>
      <c r="C31" s="70">
        <f>39 - (C28/B29)*3</f>
        <v>39.935461405484588</v>
      </c>
      <c r="D31" s="34" t="s">
        <v>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15DB-C195-4F5C-91A3-788B819A9227}">
  <dimension ref="A2:BJ40"/>
  <sheetViews>
    <sheetView showGridLines="0" topLeftCell="A24" zoomScale="85" zoomScaleNormal="85" workbookViewId="0">
      <pane xSplit="1" topLeftCell="B1" activePane="topRight" state="frozen"/>
      <selection pane="topRight" activeCell="O30" sqref="O30"/>
    </sheetView>
  </sheetViews>
  <sheetFormatPr defaultColWidth="0" defaultRowHeight="15" outlineLevelRow="1" x14ac:dyDescent="0.25"/>
  <cols>
    <col min="1" max="1" width="39.5703125" customWidth="1"/>
    <col min="2" max="2" width="15.42578125" customWidth="1"/>
    <col min="3" max="3" width="12.42578125" customWidth="1"/>
    <col min="4" max="6" width="12.42578125" bestFit="1" customWidth="1"/>
    <col min="7" max="10" width="10.42578125" bestFit="1" customWidth="1"/>
    <col min="11" max="11" width="10.140625" bestFit="1" customWidth="1"/>
    <col min="12" max="12" width="12.42578125" customWidth="1"/>
    <col min="13" max="13" width="12.42578125" bestFit="1" customWidth="1"/>
    <col min="14" max="14" width="11.42578125" bestFit="1" customWidth="1"/>
    <col min="15" max="15" width="10.42578125" bestFit="1" customWidth="1"/>
    <col min="16" max="16" width="11.42578125" bestFit="1" customWidth="1"/>
    <col min="17" max="22" width="10.42578125" bestFit="1" customWidth="1"/>
    <col min="23" max="23" width="11.140625" bestFit="1" customWidth="1"/>
    <col min="24" max="26" width="8.85546875" customWidth="1"/>
    <col min="27" max="62" width="8.85546875" hidden="1"/>
  </cols>
  <sheetData>
    <row r="2" spans="1:23" x14ac:dyDescent="0.25">
      <c r="A2" s="16" t="s">
        <v>45</v>
      </c>
      <c r="B2" s="16"/>
      <c r="C2" s="21">
        <f>Premissas!B32</f>
        <v>73</v>
      </c>
      <c r="D2" s="21">
        <f>Premissas!C32</f>
        <v>89</v>
      </c>
      <c r="E2" s="21">
        <f>Premissas!D32</f>
        <v>88.666666666666657</v>
      </c>
      <c r="F2" s="21">
        <f>Premissas!E32</f>
        <v>96.266666666666652</v>
      </c>
      <c r="G2" s="21">
        <f>Premissas!F32</f>
        <v>100</v>
      </c>
      <c r="H2" s="21">
        <f>Premissas!G32</f>
        <v>100</v>
      </c>
      <c r="I2" s="21">
        <f>Premissas!H32</f>
        <v>108</v>
      </c>
      <c r="J2" s="21">
        <f>Premissas!I32</f>
        <v>108</v>
      </c>
      <c r="K2" s="21">
        <f>Premissas!J32</f>
        <v>113.99999999999997</v>
      </c>
      <c r="L2" s="21">
        <f>Premissas!K32</f>
        <v>113.99999999999997</v>
      </c>
      <c r="M2" s="21">
        <f>Premissas!L32</f>
        <v>113.99999999999997</v>
      </c>
      <c r="N2" s="21">
        <f>Premissas!M32</f>
        <v>113.99999999999997</v>
      </c>
      <c r="O2" s="21">
        <f>Premissas!N32</f>
        <v>118</v>
      </c>
      <c r="P2" s="21">
        <f>Premissas!O32</f>
        <v>118</v>
      </c>
      <c r="Q2" s="21">
        <f>Premissas!P32</f>
        <v>118</v>
      </c>
      <c r="R2" s="21">
        <f>Premissas!Q32</f>
        <v>118</v>
      </c>
      <c r="S2" s="21">
        <f>Premissas!R32</f>
        <v>120</v>
      </c>
      <c r="T2" s="21">
        <f>Premissas!S32</f>
        <v>120</v>
      </c>
      <c r="U2" s="21">
        <f>Premissas!T32</f>
        <v>120</v>
      </c>
      <c r="V2" s="21">
        <f>Premissas!U32</f>
        <v>120</v>
      </c>
    </row>
    <row r="3" spans="1:23" x14ac:dyDescent="0.25">
      <c r="B3" s="6"/>
    </row>
    <row r="4" spans="1:23" x14ac:dyDescent="0.25">
      <c r="A4" s="8"/>
      <c r="B4" s="15" t="s">
        <v>10</v>
      </c>
      <c r="C4" s="20" t="s">
        <v>14</v>
      </c>
      <c r="D4" s="15" t="s">
        <v>15</v>
      </c>
      <c r="E4" s="15" t="s">
        <v>16</v>
      </c>
      <c r="F4" s="15" t="s">
        <v>17</v>
      </c>
      <c r="G4" s="22" t="s">
        <v>18</v>
      </c>
      <c r="H4" s="15" t="s">
        <v>19</v>
      </c>
      <c r="I4" s="15" t="s">
        <v>20</v>
      </c>
      <c r="J4" s="15" t="s">
        <v>21</v>
      </c>
      <c r="K4" s="22" t="s">
        <v>22</v>
      </c>
      <c r="L4" s="15" t="s">
        <v>23</v>
      </c>
      <c r="M4" s="15" t="s">
        <v>24</v>
      </c>
      <c r="N4" s="15" t="s">
        <v>25</v>
      </c>
      <c r="O4" s="15" t="s">
        <v>26</v>
      </c>
      <c r="P4" s="15" t="s">
        <v>27</v>
      </c>
      <c r="Q4" s="15" t="s">
        <v>28</v>
      </c>
      <c r="R4" s="15" t="s">
        <v>29</v>
      </c>
      <c r="S4" s="22" t="s">
        <v>30</v>
      </c>
      <c r="T4" s="15" t="s">
        <v>31</v>
      </c>
      <c r="U4" s="15" t="s">
        <v>32</v>
      </c>
      <c r="V4" s="15" t="s">
        <v>33</v>
      </c>
      <c r="W4" s="30" t="s">
        <v>65</v>
      </c>
    </row>
    <row r="5" spans="1:23" outlineLevel="1" x14ac:dyDescent="0.25">
      <c r="A5" s="19" t="s">
        <v>12</v>
      </c>
      <c r="B5" s="10"/>
      <c r="C5" s="48">
        <f>C6-C7</f>
        <v>125925</v>
      </c>
      <c r="D5" s="48">
        <f t="shared" ref="D5:V5" si="0">D6-D7</f>
        <v>153525</v>
      </c>
      <c r="E5" s="48">
        <f t="shared" si="0"/>
        <v>152949.99999999997</v>
      </c>
      <c r="F5" s="48">
        <f t="shared" si="0"/>
        <v>166059.99999999997</v>
      </c>
      <c r="G5" s="49">
        <f t="shared" si="0"/>
        <v>172500</v>
      </c>
      <c r="H5" s="48">
        <f t="shared" si="0"/>
        <v>172500</v>
      </c>
      <c r="I5" s="48">
        <f t="shared" si="0"/>
        <v>186300</v>
      </c>
      <c r="J5" s="48">
        <f t="shared" si="0"/>
        <v>186300</v>
      </c>
      <c r="K5" s="49">
        <f t="shared" si="0"/>
        <v>196649.99999999994</v>
      </c>
      <c r="L5" s="48">
        <f t="shared" si="0"/>
        <v>196649.99999999994</v>
      </c>
      <c r="M5" s="48">
        <f t="shared" si="0"/>
        <v>196649.99999999994</v>
      </c>
      <c r="N5" s="48">
        <f t="shared" si="0"/>
        <v>196649.99999999994</v>
      </c>
      <c r="O5" s="49">
        <f t="shared" si="0"/>
        <v>203550</v>
      </c>
      <c r="P5" s="48">
        <f t="shared" si="0"/>
        <v>203550</v>
      </c>
      <c r="Q5" s="48">
        <f t="shared" si="0"/>
        <v>203550</v>
      </c>
      <c r="R5" s="48">
        <f t="shared" si="0"/>
        <v>203550</v>
      </c>
      <c r="S5" s="49">
        <f t="shared" si="0"/>
        <v>207000</v>
      </c>
      <c r="T5" s="48">
        <f t="shared" si="0"/>
        <v>207000</v>
      </c>
      <c r="U5" s="48">
        <f t="shared" si="0"/>
        <v>207000</v>
      </c>
      <c r="V5" s="48">
        <f t="shared" si="0"/>
        <v>207000</v>
      </c>
      <c r="W5" s="9">
        <v>150000</v>
      </c>
    </row>
    <row r="6" spans="1:23" outlineLevel="1" x14ac:dyDescent="0.25">
      <c r="A6" s="2" t="s">
        <v>13</v>
      </c>
      <c r="B6" s="11"/>
      <c r="C6" s="11">
        <f>Premissas!$B$12*Premissas!$B$13*ModelagemCustoAdicional!C2</f>
        <v>136875</v>
      </c>
      <c r="D6" s="11">
        <f>Premissas!$B$12*Premissas!$B$13*ModelagemCustoAdicional!D2</f>
        <v>166875</v>
      </c>
      <c r="E6" s="11">
        <f>Premissas!$B$12*Premissas!$B$13*ModelagemCustoAdicional!E2</f>
        <v>166249.99999999997</v>
      </c>
      <c r="F6" s="11">
        <f>Premissas!$B$12*Premissas!$B$13*ModelagemCustoAdicional!F2</f>
        <v>180499.99999999997</v>
      </c>
      <c r="G6" s="11">
        <f>Premissas!$B$12*Premissas!$B$13*ModelagemCustoAdicional!G2</f>
        <v>187500</v>
      </c>
      <c r="H6" s="11">
        <f>Premissas!$B$12*Premissas!$B$13*ModelagemCustoAdicional!H2</f>
        <v>187500</v>
      </c>
      <c r="I6" s="11">
        <f>Premissas!$B$12*Premissas!$B$13*ModelagemCustoAdicional!I2</f>
        <v>202500</v>
      </c>
      <c r="J6" s="11">
        <f>Premissas!$B$12*Premissas!$B$13*ModelagemCustoAdicional!J2</f>
        <v>202500</v>
      </c>
      <c r="K6" s="11">
        <f>Premissas!$B$12*Premissas!$B$13*ModelagemCustoAdicional!K2</f>
        <v>213749.99999999994</v>
      </c>
      <c r="L6" s="11">
        <f>Premissas!$B$12*Premissas!$B$13*ModelagemCustoAdicional!L2</f>
        <v>213749.99999999994</v>
      </c>
      <c r="M6" s="11">
        <f>Premissas!$B$12*Premissas!$B$13*ModelagemCustoAdicional!M2</f>
        <v>213749.99999999994</v>
      </c>
      <c r="N6" s="11">
        <f>Premissas!$B$12*Premissas!$B$13*ModelagemCustoAdicional!N2</f>
        <v>213749.99999999994</v>
      </c>
      <c r="O6" s="11">
        <f>Premissas!$B$12*Premissas!$B$13*ModelagemCustoAdicional!O2</f>
        <v>221250</v>
      </c>
      <c r="P6" s="11">
        <f>Premissas!$B$12*Premissas!$B$13*ModelagemCustoAdicional!P2</f>
        <v>221250</v>
      </c>
      <c r="Q6" s="11">
        <f>Premissas!$B$12*Premissas!$B$13*ModelagemCustoAdicional!Q2</f>
        <v>221250</v>
      </c>
      <c r="R6" s="11">
        <f>Premissas!$B$12*Premissas!$B$13*ModelagemCustoAdicional!R2</f>
        <v>221250</v>
      </c>
      <c r="S6" s="11">
        <f>Premissas!$B$12*Premissas!$B$13*ModelagemCustoAdicional!S2</f>
        <v>225000</v>
      </c>
      <c r="T6" s="11">
        <f>Premissas!$B$12*Premissas!$B$13*ModelagemCustoAdicional!T2</f>
        <v>225000</v>
      </c>
      <c r="U6" s="11">
        <f>Premissas!$B$12*Premissas!$B$13*ModelagemCustoAdicional!U2</f>
        <v>225000</v>
      </c>
      <c r="V6" s="11">
        <f>Premissas!$B$12*Premissas!$B$13*ModelagemCustoAdicional!V2</f>
        <v>225000</v>
      </c>
      <c r="W6" s="11"/>
    </row>
    <row r="7" spans="1:23" outlineLevel="1" x14ac:dyDescent="0.25">
      <c r="A7" s="2" t="s">
        <v>9</v>
      </c>
      <c r="B7" s="11"/>
      <c r="C7" s="11">
        <f>C6*Premissas!$B$18</f>
        <v>10950</v>
      </c>
      <c r="D7" s="11">
        <f>D6*Premissas!$B$18</f>
        <v>13350</v>
      </c>
      <c r="E7" s="11">
        <f>E6*Premissas!$B$18</f>
        <v>13299.999999999998</v>
      </c>
      <c r="F7" s="11">
        <f>F6*Premissas!$B$18</f>
        <v>14439.999999999998</v>
      </c>
      <c r="G7" s="11">
        <f>G6*Premissas!$B$18</f>
        <v>15000</v>
      </c>
      <c r="H7" s="11">
        <f>H6*Premissas!$B$18</f>
        <v>15000</v>
      </c>
      <c r="I7" s="11">
        <f>I6*Premissas!$B$18</f>
        <v>16200</v>
      </c>
      <c r="J7" s="11">
        <f>J6*Premissas!$B$18</f>
        <v>16200</v>
      </c>
      <c r="K7" s="11">
        <f>K6*Premissas!$B$18</f>
        <v>17099.999999999996</v>
      </c>
      <c r="L7" s="11">
        <f>L6*Premissas!$B$18</f>
        <v>17099.999999999996</v>
      </c>
      <c r="M7" s="11">
        <f>M6*Premissas!$B$18</f>
        <v>17099.999999999996</v>
      </c>
      <c r="N7" s="11">
        <f>N6*Premissas!$B$18</f>
        <v>17099.999999999996</v>
      </c>
      <c r="O7" s="11">
        <f>O6*Premissas!$B$18</f>
        <v>17700</v>
      </c>
      <c r="P7" s="11">
        <f>P6*Premissas!$B$18</f>
        <v>17700</v>
      </c>
      <c r="Q7" s="11">
        <f>Q6*Premissas!$B$18</f>
        <v>17700</v>
      </c>
      <c r="R7" s="11">
        <f>R6*Premissas!$B$18</f>
        <v>17700</v>
      </c>
      <c r="S7" s="11">
        <f>S6*Premissas!$B$18</f>
        <v>18000</v>
      </c>
      <c r="T7" s="11">
        <f>T6*Premissas!$B$18</f>
        <v>18000</v>
      </c>
      <c r="U7" s="11">
        <f>U6*Premissas!$B$18</f>
        <v>18000</v>
      </c>
      <c r="V7" s="11">
        <f>V6*Premissas!$B$18</f>
        <v>18000</v>
      </c>
      <c r="W7" s="11"/>
    </row>
    <row r="8" spans="1:23" x14ac:dyDescent="0.25">
      <c r="A8" s="1" t="s">
        <v>11</v>
      </c>
      <c r="B8" s="9"/>
      <c r="C8" s="50">
        <f>SUM(C9:C15)</f>
        <v>137618.75</v>
      </c>
      <c r="D8" s="50">
        <f t="shared" ref="D8:V8" si="1">SUM(D9:D15)</f>
        <v>149918.75</v>
      </c>
      <c r="E8" s="50">
        <f t="shared" si="1"/>
        <v>149662.5</v>
      </c>
      <c r="F8" s="50">
        <f t="shared" si="1"/>
        <v>155505</v>
      </c>
      <c r="G8" s="51">
        <f t="shared" si="1"/>
        <v>163265</v>
      </c>
      <c r="H8" s="50">
        <f t="shared" si="1"/>
        <v>163265</v>
      </c>
      <c r="I8" s="50">
        <f t="shared" si="1"/>
        <v>169415</v>
      </c>
      <c r="J8" s="50">
        <f t="shared" si="1"/>
        <v>169415</v>
      </c>
      <c r="K8" s="51">
        <f t="shared" si="1"/>
        <v>179210.9</v>
      </c>
      <c r="L8" s="50">
        <f t="shared" si="1"/>
        <v>179210.9</v>
      </c>
      <c r="M8" s="50">
        <f t="shared" si="1"/>
        <v>179210.9</v>
      </c>
      <c r="N8" s="50">
        <f t="shared" si="1"/>
        <v>179210.9</v>
      </c>
      <c r="O8" s="51">
        <f t="shared" si="1"/>
        <v>187780.30399999997</v>
      </c>
      <c r="P8" s="50">
        <f t="shared" si="1"/>
        <v>187780.30399999997</v>
      </c>
      <c r="Q8" s="50">
        <f t="shared" si="1"/>
        <v>187780.30399999997</v>
      </c>
      <c r="R8" s="50">
        <f t="shared" si="1"/>
        <v>187780.30399999997</v>
      </c>
      <c r="S8" s="51">
        <f t="shared" si="1"/>
        <v>195141.87224</v>
      </c>
      <c r="T8" s="50">
        <f t="shared" si="1"/>
        <v>195141.87224</v>
      </c>
      <c r="U8" s="50">
        <f t="shared" si="1"/>
        <v>195141.87224</v>
      </c>
      <c r="V8" s="50">
        <f t="shared" si="1"/>
        <v>195141.87224</v>
      </c>
      <c r="W8" s="9"/>
    </row>
    <row r="9" spans="1:23" outlineLevel="1" x14ac:dyDescent="0.25">
      <c r="A9" s="3" t="s">
        <v>3</v>
      </c>
      <c r="B9" s="11"/>
      <c r="C9" s="11">
        <f>+C6*Premissas!$B$16</f>
        <v>46537.5</v>
      </c>
      <c r="D9" s="11">
        <f>+D6*Premissas!$B$16</f>
        <v>56737.500000000007</v>
      </c>
      <c r="E9" s="11">
        <f>+E6*Premissas!$B$16</f>
        <v>56524.999999999993</v>
      </c>
      <c r="F9" s="11">
        <f>+F6*Premissas!$B$16</f>
        <v>61369.999999999993</v>
      </c>
      <c r="G9" s="11">
        <f>+G6*Premissas!$B$16</f>
        <v>63750.000000000007</v>
      </c>
      <c r="H9" s="11">
        <f>+H6*Premissas!$B$16</f>
        <v>63750.000000000007</v>
      </c>
      <c r="I9" s="11">
        <f>+I6*Premissas!$B$16</f>
        <v>68850</v>
      </c>
      <c r="J9" s="11">
        <f>+J6*Premissas!$B$16</f>
        <v>68850</v>
      </c>
      <c r="K9" s="11">
        <f>+K6*Premissas!$B$16</f>
        <v>72674.999999999985</v>
      </c>
      <c r="L9" s="11">
        <f>+L6*Premissas!$B$16</f>
        <v>72674.999999999985</v>
      </c>
      <c r="M9" s="11">
        <f>+M6*Premissas!$B$16</f>
        <v>72674.999999999985</v>
      </c>
      <c r="N9" s="11">
        <f>+N6*Premissas!$B$16</f>
        <v>72674.999999999985</v>
      </c>
      <c r="O9" s="11">
        <f>+O6*Premissas!$B$16</f>
        <v>75225</v>
      </c>
      <c r="P9" s="11">
        <f>+P6*Premissas!$B$16</f>
        <v>75225</v>
      </c>
      <c r="Q9" s="11">
        <f>+Q6*Premissas!$B$16</f>
        <v>75225</v>
      </c>
      <c r="R9" s="11">
        <f>+R6*Premissas!$B$16</f>
        <v>75225</v>
      </c>
      <c r="S9" s="11">
        <f>+S6*Premissas!$B$16</f>
        <v>76500</v>
      </c>
      <c r="T9" s="11">
        <f>+T6*Premissas!$B$16</f>
        <v>76500</v>
      </c>
      <c r="U9" s="11">
        <f>+U6*Premissas!$B$16</f>
        <v>76500</v>
      </c>
      <c r="V9" s="11">
        <f>+V6*Premissas!$B$16</f>
        <v>76500</v>
      </c>
      <c r="W9" s="11"/>
    </row>
    <row r="10" spans="1:23" outlineLevel="1" x14ac:dyDescent="0.25">
      <c r="A10" s="3" t="s">
        <v>4</v>
      </c>
      <c r="B10" s="11"/>
      <c r="C10" s="11">
        <f>+Premissas!$B29</f>
        <v>48000</v>
      </c>
      <c r="D10" s="11">
        <f>+Premissas!$B29</f>
        <v>48000</v>
      </c>
      <c r="E10" s="11">
        <f>+Premissas!$B29</f>
        <v>48000</v>
      </c>
      <c r="F10" s="11">
        <f>+Premissas!$B29</f>
        <v>48000</v>
      </c>
      <c r="G10" s="13">
        <f>+Premissas!$C29</f>
        <v>50880</v>
      </c>
      <c r="H10" s="11">
        <f>+Premissas!$C29</f>
        <v>50880</v>
      </c>
      <c r="I10" s="11">
        <f>+Premissas!$C29</f>
        <v>50880</v>
      </c>
      <c r="J10" s="11">
        <f>+Premissas!$C29</f>
        <v>50880</v>
      </c>
      <c r="K10" s="13">
        <f>+Premissas!$D29</f>
        <v>53932.800000000003</v>
      </c>
      <c r="L10" s="11">
        <f>+Premissas!$D29</f>
        <v>53932.800000000003</v>
      </c>
      <c r="M10" s="11">
        <f>+Premissas!$D29</f>
        <v>53932.800000000003</v>
      </c>
      <c r="N10" s="11">
        <f>+Premissas!$D29</f>
        <v>53932.800000000003</v>
      </c>
      <c r="O10" s="13">
        <f>+Premissas!$E29</f>
        <v>57168.768000000004</v>
      </c>
      <c r="P10" s="11">
        <f>+Premissas!$E29</f>
        <v>57168.768000000004</v>
      </c>
      <c r="Q10" s="11">
        <f>+Premissas!$E29</f>
        <v>57168.768000000004</v>
      </c>
      <c r="R10" s="11">
        <f>+Premissas!$E29</f>
        <v>57168.768000000004</v>
      </c>
      <c r="S10" s="13">
        <f>+Premissas!$F29</f>
        <v>60598.894080000005</v>
      </c>
      <c r="T10" s="11">
        <f>+Premissas!$F29</f>
        <v>60598.894080000005</v>
      </c>
      <c r="U10" s="11">
        <f>+Premissas!$F29</f>
        <v>60598.894080000005</v>
      </c>
      <c r="V10" s="11">
        <f>+Premissas!$F29</f>
        <v>60598.894080000005</v>
      </c>
      <c r="W10" s="11"/>
    </row>
    <row r="11" spans="1:23" outlineLevel="1" x14ac:dyDescent="0.25">
      <c r="A11" s="3" t="s">
        <v>5</v>
      </c>
      <c r="B11" s="11"/>
      <c r="C11" s="11">
        <f>+Premissas!$B23</f>
        <v>7000</v>
      </c>
      <c r="D11" s="11">
        <f>+Premissas!$B23</f>
        <v>7000</v>
      </c>
      <c r="E11" s="11">
        <f>+Premissas!$B23</f>
        <v>7000</v>
      </c>
      <c r="F11" s="11">
        <f>+Premissas!$B23</f>
        <v>7000</v>
      </c>
      <c r="G11" s="13">
        <f>+Premissas!$C23</f>
        <v>7420</v>
      </c>
      <c r="H11" s="11">
        <f>+Premissas!$C23</f>
        <v>7420</v>
      </c>
      <c r="I11" s="11">
        <f>+Premissas!$C23</f>
        <v>7420</v>
      </c>
      <c r="J11" s="11">
        <f>+Premissas!$C23</f>
        <v>7420</v>
      </c>
      <c r="K11" s="13">
        <f>+Premissas!$D23</f>
        <v>7865.2000000000007</v>
      </c>
      <c r="L11" s="11">
        <f>+Premissas!$D23</f>
        <v>7865.2000000000007</v>
      </c>
      <c r="M11" s="11">
        <f>+Premissas!$D23</f>
        <v>7865.2000000000007</v>
      </c>
      <c r="N11" s="11">
        <f>+Premissas!$D23</f>
        <v>7865.2000000000007</v>
      </c>
      <c r="O11" s="13">
        <f>+Premissas!$E23</f>
        <v>8337.112000000001</v>
      </c>
      <c r="P11" s="11">
        <f>+Premissas!$E23</f>
        <v>8337.112000000001</v>
      </c>
      <c r="Q11" s="11">
        <f>+Premissas!$E23</f>
        <v>8337.112000000001</v>
      </c>
      <c r="R11" s="11">
        <f>+Premissas!$E23</f>
        <v>8337.112000000001</v>
      </c>
      <c r="S11" s="13">
        <f>+Premissas!$F23</f>
        <v>8837.3387200000016</v>
      </c>
      <c r="T11" s="11">
        <f>+Premissas!$F23</f>
        <v>8837.3387200000016</v>
      </c>
      <c r="U11" s="11">
        <f>+Premissas!$F23</f>
        <v>8837.3387200000016</v>
      </c>
      <c r="V11" s="11">
        <f>+Premissas!$F23</f>
        <v>8837.3387200000016</v>
      </c>
      <c r="W11" s="11"/>
    </row>
    <row r="12" spans="1:23" outlineLevel="1" x14ac:dyDescent="0.25">
      <c r="A12" s="3" t="s">
        <v>6</v>
      </c>
      <c r="B12" s="11"/>
      <c r="C12" s="11">
        <f>+Premissas!$B24</f>
        <v>5000</v>
      </c>
      <c r="D12" s="11">
        <f>+Premissas!$B24</f>
        <v>5000</v>
      </c>
      <c r="E12" s="11">
        <f>+Premissas!$B24</f>
        <v>5000</v>
      </c>
      <c r="F12" s="11">
        <f>+Premissas!$B24</f>
        <v>5000</v>
      </c>
      <c r="G12" s="13">
        <f>+Premissas!$C24</f>
        <v>5300</v>
      </c>
      <c r="H12" s="11">
        <f>+Premissas!$C24</f>
        <v>5300</v>
      </c>
      <c r="I12" s="11">
        <f>+Premissas!$C24</f>
        <v>5300</v>
      </c>
      <c r="J12" s="11">
        <f>+Premissas!$C24</f>
        <v>5300</v>
      </c>
      <c r="K12" s="13">
        <f>+Premissas!$D24</f>
        <v>5618</v>
      </c>
      <c r="L12" s="11">
        <f>+Premissas!$D24</f>
        <v>5618</v>
      </c>
      <c r="M12" s="11">
        <f>+Premissas!$D24</f>
        <v>5618</v>
      </c>
      <c r="N12" s="11">
        <f>+Premissas!$D24</f>
        <v>5618</v>
      </c>
      <c r="O12" s="13">
        <f>+Premissas!$E24</f>
        <v>5955.08</v>
      </c>
      <c r="P12" s="11">
        <f>+Premissas!$E24</f>
        <v>5955.08</v>
      </c>
      <c r="Q12" s="11">
        <f>+Premissas!$E24</f>
        <v>5955.08</v>
      </c>
      <c r="R12" s="11">
        <f>+Premissas!$E24</f>
        <v>5955.08</v>
      </c>
      <c r="S12" s="13">
        <f>+Premissas!$F24</f>
        <v>6312.3847999999998</v>
      </c>
      <c r="T12" s="11">
        <f>+Premissas!$F24</f>
        <v>6312.3847999999998</v>
      </c>
      <c r="U12" s="11">
        <f>+Premissas!$F24</f>
        <v>6312.3847999999998</v>
      </c>
      <c r="V12" s="11">
        <f>+Premissas!$F24</f>
        <v>6312.3847999999998</v>
      </c>
      <c r="W12" s="11"/>
    </row>
    <row r="13" spans="1:23" outlineLevel="1" x14ac:dyDescent="0.25">
      <c r="A13" s="3" t="s">
        <v>64</v>
      </c>
      <c r="C13" s="11">
        <f>+Premissas!$B25</f>
        <v>16500</v>
      </c>
      <c r="D13" s="17">
        <f>+Premissas!$B25</f>
        <v>16500</v>
      </c>
      <c r="E13" s="17">
        <f>+Premissas!$B25</f>
        <v>16500</v>
      </c>
      <c r="F13" s="17">
        <f>+Premissas!$B25</f>
        <v>16500</v>
      </c>
      <c r="G13" s="18">
        <f>+Premissas!$C25</f>
        <v>17490</v>
      </c>
      <c r="H13" s="17">
        <f>+Premissas!$C25</f>
        <v>17490</v>
      </c>
      <c r="I13" s="17">
        <f>+Premissas!$C25</f>
        <v>17490</v>
      </c>
      <c r="J13" s="17">
        <f>+Premissas!$C25</f>
        <v>17490</v>
      </c>
      <c r="K13" s="13">
        <f>+Premissas!$D25</f>
        <v>18539.400000000001</v>
      </c>
      <c r="L13" s="17">
        <f>+Premissas!$D25</f>
        <v>18539.400000000001</v>
      </c>
      <c r="M13" s="17">
        <f>+Premissas!$D25</f>
        <v>18539.400000000001</v>
      </c>
      <c r="N13" s="17">
        <f>+Premissas!$D25</f>
        <v>18539.400000000001</v>
      </c>
      <c r="O13" s="18">
        <f>+Premissas!$E25</f>
        <v>19651.764000000003</v>
      </c>
      <c r="P13" s="17">
        <f>+Premissas!$E25</f>
        <v>19651.764000000003</v>
      </c>
      <c r="Q13" s="17">
        <f>+Premissas!$E25</f>
        <v>19651.764000000003</v>
      </c>
      <c r="R13" s="17">
        <f>+Premissas!$E25</f>
        <v>19651.764000000003</v>
      </c>
      <c r="S13" s="13">
        <f>+Premissas!$F25</f>
        <v>20830.869840000003</v>
      </c>
      <c r="T13" s="17">
        <f>+Premissas!$F25</f>
        <v>20830.869840000003</v>
      </c>
      <c r="U13" s="17">
        <f>+Premissas!$F25</f>
        <v>20830.869840000003</v>
      </c>
      <c r="V13" s="17">
        <f>+Premissas!$F25</f>
        <v>20830.869840000003</v>
      </c>
      <c r="W13" s="17"/>
    </row>
    <row r="14" spans="1:23" outlineLevel="1" x14ac:dyDescent="0.25">
      <c r="A14" s="3" t="s">
        <v>61</v>
      </c>
      <c r="C14" s="11">
        <f>+Premissas!$B26</f>
        <v>5000</v>
      </c>
      <c r="D14" s="17">
        <f>+Premissas!$B26</f>
        <v>5000</v>
      </c>
      <c r="E14" s="17">
        <f>+Premissas!$B26</f>
        <v>5000</v>
      </c>
      <c r="F14" s="17">
        <f>+Premissas!$B26</f>
        <v>5000</v>
      </c>
      <c r="G14" s="18">
        <f>+Premissas!$C26</f>
        <v>5300</v>
      </c>
      <c r="H14" s="17">
        <f>+Premissas!$C26</f>
        <v>5300</v>
      </c>
      <c r="I14" s="17">
        <f>+Premissas!$C26</f>
        <v>5300</v>
      </c>
      <c r="J14" s="17">
        <f>+Premissas!$C26</f>
        <v>5300</v>
      </c>
      <c r="K14" s="13">
        <f>+Premissas!$D26</f>
        <v>5618</v>
      </c>
      <c r="L14" s="17">
        <f>+Premissas!$D26</f>
        <v>5618</v>
      </c>
      <c r="M14" s="17">
        <f>+Premissas!$D26</f>
        <v>5618</v>
      </c>
      <c r="N14" s="17">
        <f>+Premissas!$D26</f>
        <v>5618</v>
      </c>
      <c r="O14" s="18">
        <f>+Premissas!$E26</f>
        <v>5955.08</v>
      </c>
      <c r="P14" s="17">
        <f>+Premissas!$E26</f>
        <v>5955.08</v>
      </c>
      <c r="Q14" s="17">
        <f>+Premissas!$E26</f>
        <v>5955.08</v>
      </c>
      <c r="R14" s="17">
        <f>+Premissas!$E26</f>
        <v>5955.08</v>
      </c>
      <c r="S14" s="13">
        <f>+Premissas!$F26</f>
        <v>6312.3847999999998</v>
      </c>
      <c r="T14" s="17">
        <f>+Premissas!$F26</f>
        <v>6312.3847999999998</v>
      </c>
      <c r="U14" s="17">
        <f>+Premissas!$F26</f>
        <v>6312.3847999999998</v>
      </c>
      <c r="V14" s="17">
        <f>+Premissas!$F26</f>
        <v>6312.3847999999998</v>
      </c>
      <c r="W14" s="17"/>
    </row>
    <row r="15" spans="1:23" outlineLevel="1" x14ac:dyDescent="0.25">
      <c r="A15" s="3" t="s">
        <v>62</v>
      </c>
      <c r="B15" s="11"/>
      <c r="C15" s="17">
        <f>C6*Premissas!$B$17</f>
        <v>9581.2500000000018</v>
      </c>
      <c r="D15" s="17">
        <f>D6*Premissas!$B$17</f>
        <v>11681.250000000002</v>
      </c>
      <c r="E15" s="17">
        <f>E6*Premissas!$B$17</f>
        <v>11637.499999999998</v>
      </c>
      <c r="F15" s="17">
        <f>F6*Premissas!$B$17</f>
        <v>12635</v>
      </c>
      <c r="G15" s="17">
        <f>G6*Premissas!$B$17</f>
        <v>13125.000000000002</v>
      </c>
      <c r="H15" s="17">
        <f>H6*Premissas!$B$17</f>
        <v>13125.000000000002</v>
      </c>
      <c r="I15" s="17">
        <f>I6*Premissas!$B$17</f>
        <v>14175.000000000002</v>
      </c>
      <c r="J15" s="17">
        <f>J6*Premissas!$B$17</f>
        <v>14175.000000000002</v>
      </c>
      <c r="K15" s="17">
        <f>K6*Premissas!$B$17</f>
        <v>14962.499999999998</v>
      </c>
      <c r="L15" s="17">
        <f>L6*Premissas!$B$17</f>
        <v>14962.499999999998</v>
      </c>
      <c r="M15" s="17">
        <f>M6*Premissas!$B$17</f>
        <v>14962.499999999998</v>
      </c>
      <c r="N15" s="17">
        <f>N6*Premissas!$B$17</f>
        <v>14962.499999999998</v>
      </c>
      <c r="O15" s="17">
        <f>O6*Premissas!$B$17</f>
        <v>15487.500000000002</v>
      </c>
      <c r="P15" s="17">
        <f>P6*Premissas!$B$17</f>
        <v>15487.500000000002</v>
      </c>
      <c r="Q15" s="17">
        <f>Q6*Premissas!$B$17</f>
        <v>15487.500000000002</v>
      </c>
      <c r="R15" s="17">
        <f>R6*Premissas!$B$17</f>
        <v>15487.500000000002</v>
      </c>
      <c r="S15" s="17">
        <f>S6*Premissas!$B$17</f>
        <v>15750.000000000002</v>
      </c>
      <c r="T15" s="17">
        <f>T6*Premissas!$B$17</f>
        <v>15750.000000000002</v>
      </c>
      <c r="U15" s="17">
        <f>U6*Premissas!$B$17</f>
        <v>15750.000000000002</v>
      </c>
      <c r="V15" s="17">
        <f>V6*Premissas!$B$17</f>
        <v>15750.000000000002</v>
      </c>
      <c r="W15" s="17"/>
    </row>
    <row r="16" spans="1:23" ht="15.75" thickBot="1" x14ac:dyDescent="0.3">
      <c r="A16" s="4" t="s">
        <v>34</v>
      </c>
      <c r="B16" s="27">
        <f>+B17</f>
        <v>320000</v>
      </c>
      <c r="C16" s="27">
        <f t="shared" ref="C16:W16" si="2">+C17</f>
        <v>0</v>
      </c>
      <c r="D16" s="27">
        <f t="shared" si="2"/>
        <v>0</v>
      </c>
      <c r="E16" s="27">
        <f t="shared" si="2"/>
        <v>0</v>
      </c>
      <c r="F16" s="27">
        <f t="shared" si="2"/>
        <v>0</v>
      </c>
      <c r="G16" s="28">
        <f t="shared" si="2"/>
        <v>0</v>
      </c>
      <c r="H16" s="27">
        <f t="shared" si="2"/>
        <v>0</v>
      </c>
      <c r="I16" s="27">
        <f t="shared" si="2"/>
        <v>0</v>
      </c>
      <c r="J16" s="27">
        <f t="shared" si="2"/>
        <v>0</v>
      </c>
      <c r="K16" s="28">
        <f t="shared" si="2"/>
        <v>0</v>
      </c>
      <c r="L16" s="27">
        <f t="shared" si="2"/>
        <v>0</v>
      </c>
      <c r="M16" s="27">
        <f t="shared" si="2"/>
        <v>0</v>
      </c>
      <c r="N16" s="27">
        <f t="shared" si="2"/>
        <v>0</v>
      </c>
      <c r="O16" s="28">
        <f t="shared" si="2"/>
        <v>0</v>
      </c>
      <c r="P16" s="27">
        <f t="shared" si="2"/>
        <v>0</v>
      </c>
      <c r="Q16" s="27">
        <f t="shared" si="2"/>
        <v>0</v>
      </c>
      <c r="R16" s="27">
        <f t="shared" si="2"/>
        <v>0</v>
      </c>
      <c r="S16" s="28">
        <f t="shared" si="2"/>
        <v>0</v>
      </c>
      <c r="T16" s="27">
        <f t="shared" si="2"/>
        <v>0</v>
      </c>
      <c r="U16" s="27">
        <f t="shared" si="2"/>
        <v>0</v>
      </c>
      <c r="V16" s="27">
        <f t="shared" si="2"/>
        <v>0</v>
      </c>
      <c r="W16" s="27">
        <f t="shared" si="2"/>
        <v>0</v>
      </c>
    </row>
    <row r="17" spans="1:24" outlineLevel="1" x14ac:dyDescent="0.25">
      <c r="A17" s="3" t="s">
        <v>35</v>
      </c>
      <c r="B17" s="11">
        <f>+Premissas!B9</f>
        <v>320000</v>
      </c>
      <c r="C17" s="11"/>
      <c r="D17" s="11"/>
      <c r="E17" s="11"/>
      <c r="F17" s="11"/>
      <c r="G17" s="13"/>
      <c r="H17" s="11"/>
      <c r="I17" s="11"/>
      <c r="J17" s="11"/>
      <c r="K17" s="13"/>
      <c r="L17" s="11"/>
      <c r="M17" s="11"/>
      <c r="N17" s="11"/>
      <c r="O17" s="13"/>
      <c r="P17" s="11"/>
      <c r="Q17" s="11"/>
      <c r="R17" s="11"/>
      <c r="S17" s="13"/>
      <c r="T17" s="11"/>
      <c r="U17" s="11"/>
      <c r="V17" s="11"/>
      <c r="W17" s="11"/>
    </row>
    <row r="18" spans="1:24" ht="15.75" thickBot="1" x14ac:dyDescent="0.3">
      <c r="A18" s="4" t="s">
        <v>0</v>
      </c>
      <c r="B18" s="12">
        <f>+B5-B8-B16</f>
        <v>-320000</v>
      </c>
      <c r="C18" s="25">
        <f t="shared" ref="C18:V18" si="3">+C5-C8-C16</f>
        <v>-11693.75</v>
      </c>
      <c r="D18" s="25">
        <f t="shared" si="3"/>
        <v>3606.25</v>
      </c>
      <c r="E18" s="25">
        <f t="shared" si="3"/>
        <v>3287.4999999999709</v>
      </c>
      <c r="F18" s="25">
        <f t="shared" si="3"/>
        <v>10554.999999999971</v>
      </c>
      <c r="G18" s="26">
        <f t="shared" si="3"/>
        <v>9235</v>
      </c>
      <c r="H18" s="25">
        <f t="shared" si="3"/>
        <v>9235</v>
      </c>
      <c r="I18" s="25">
        <f t="shared" si="3"/>
        <v>16885</v>
      </c>
      <c r="J18" s="25">
        <f t="shared" si="3"/>
        <v>16885</v>
      </c>
      <c r="K18" s="26">
        <f t="shared" si="3"/>
        <v>17439.099999999948</v>
      </c>
      <c r="L18" s="25">
        <f t="shared" si="3"/>
        <v>17439.099999999948</v>
      </c>
      <c r="M18" s="25">
        <f t="shared" si="3"/>
        <v>17439.099999999948</v>
      </c>
      <c r="N18" s="25">
        <f t="shared" si="3"/>
        <v>17439.099999999948</v>
      </c>
      <c r="O18" s="26">
        <f t="shared" si="3"/>
        <v>15769.696000000025</v>
      </c>
      <c r="P18" s="25">
        <f t="shared" si="3"/>
        <v>15769.696000000025</v>
      </c>
      <c r="Q18" s="25">
        <f t="shared" si="3"/>
        <v>15769.696000000025</v>
      </c>
      <c r="R18" s="25">
        <f t="shared" si="3"/>
        <v>15769.696000000025</v>
      </c>
      <c r="S18" s="26">
        <f t="shared" si="3"/>
        <v>11858.127760000003</v>
      </c>
      <c r="T18" s="25">
        <f t="shared" si="3"/>
        <v>11858.127760000003</v>
      </c>
      <c r="U18" s="25">
        <f t="shared" si="3"/>
        <v>11858.127760000003</v>
      </c>
      <c r="V18" s="25">
        <f t="shared" si="3"/>
        <v>11858.127760000003</v>
      </c>
      <c r="W18" s="27">
        <f>+W5-W8-W16</f>
        <v>150000</v>
      </c>
    </row>
    <row r="20" spans="1:24" x14ac:dyDescent="0.25">
      <c r="A20" s="23" t="s">
        <v>37</v>
      </c>
      <c r="B20" s="24">
        <f>+B18</f>
        <v>-320000</v>
      </c>
      <c r="C20" s="24">
        <f>+C18+B20</f>
        <v>-331693.75</v>
      </c>
      <c r="D20" s="24">
        <f t="shared" ref="D20:W20" si="4">+D18+C20</f>
        <v>-328087.5</v>
      </c>
      <c r="E20" s="24">
        <f t="shared" si="4"/>
        <v>-324800</v>
      </c>
      <c r="F20" s="24">
        <f t="shared" si="4"/>
        <v>-314245</v>
      </c>
      <c r="G20" s="24">
        <f t="shared" si="4"/>
        <v>-305010</v>
      </c>
      <c r="H20" s="24">
        <f t="shared" si="4"/>
        <v>-295775</v>
      </c>
      <c r="I20" s="24">
        <f t="shared" si="4"/>
        <v>-278890</v>
      </c>
      <c r="J20" s="24">
        <f t="shared" si="4"/>
        <v>-262005</v>
      </c>
      <c r="K20" s="24">
        <f t="shared" si="4"/>
        <v>-244565.90000000005</v>
      </c>
      <c r="L20" s="24">
        <f t="shared" si="4"/>
        <v>-227126.8000000001</v>
      </c>
      <c r="M20" s="24">
        <f t="shared" si="4"/>
        <v>-209687.70000000016</v>
      </c>
      <c r="N20" s="24">
        <f t="shared" si="4"/>
        <v>-192248.60000000021</v>
      </c>
      <c r="O20" s="24">
        <f t="shared" si="4"/>
        <v>-176478.90400000018</v>
      </c>
      <c r="P20" s="24">
        <f t="shared" si="4"/>
        <v>-160709.20800000016</v>
      </c>
      <c r="Q20" s="24">
        <f t="shared" si="4"/>
        <v>-144939.51200000013</v>
      </c>
      <c r="R20" s="24">
        <f t="shared" si="4"/>
        <v>-129169.81600000011</v>
      </c>
      <c r="S20" s="24">
        <f t="shared" si="4"/>
        <v>-117311.6882400001</v>
      </c>
      <c r="T20" s="24">
        <f t="shared" si="4"/>
        <v>-105453.5604800001</v>
      </c>
      <c r="U20" s="24">
        <f t="shared" si="4"/>
        <v>-93595.432720000099</v>
      </c>
      <c r="V20" s="24">
        <f t="shared" si="4"/>
        <v>-81737.304960000096</v>
      </c>
      <c r="W20" s="24">
        <f t="shared" si="4"/>
        <v>68262.695039999904</v>
      </c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3" spans="1:24" x14ac:dyDescent="0.25">
      <c r="P23" s="65"/>
    </row>
    <row r="24" spans="1:24" x14ac:dyDescent="0.25">
      <c r="A24" s="64" t="s">
        <v>66</v>
      </c>
      <c r="B24" s="61">
        <f>NPV(2.4%,C18:W18) +B18</f>
        <v>-49945.473038196156</v>
      </c>
    </row>
    <row r="25" spans="1:24" x14ac:dyDescent="0.25">
      <c r="B25" s="14"/>
      <c r="E25" s="5"/>
    </row>
    <row r="26" spans="1:24" x14ac:dyDescent="0.25">
      <c r="A26" s="64" t="s">
        <v>67</v>
      </c>
      <c r="B26" s="62">
        <f>IRR(B18:W18)</f>
        <v>1.2576140986957141E-2</v>
      </c>
    </row>
    <row r="27" spans="1:24" x14ac:dyDescent="0.25">
      <c r="A27" s="64" t="s">
        <v>68</v>
      </c>
      <c r="B27" s="63">
        <f>+POWER((1+B26),4) - 1</f>
        <v>5.1261501030676282E-2</v>
      </c>
    </row>
    <row r="30" spans="1:24" x14ac:dyDescent="0.25">
      <c r="A30" s="31"/>
      <c r="B30" s="32"/>
    </row>
    <row r="34" spans="1:7" x14ac:dyDescent="0.25">
      <c r="A34" s="31"/>
    </row>
    <row r="35" spans="1:7" ht="14.45" customHeight="1" x14ac:dyDescent="0.25">
      <c r="A35" s="55"/>
      <c r="B35" s="55"/>
      <c r="C35" s="55"/>
      <c r="D35" s="55"/>
      <c r="E35" s="55"/>
      <c r="F35" s="55"/>
      <c r="G35" s="55"/>
    </row>
    <row r="36" spans="1:7" x14ac:dyDescent="0.25">
      <c r="A36" s="55"/>
      <c r="B36" s="55"/>
      <c r="C36" s="55"/>
      <c r="D36" s="55"/>
      <c r="E36" s="55"/>
      <c r="F36" s="55"/>
      <c r="G36" s="55"/>
    </row>
    <row r="37" spans="1:7" x14ac:dyDescent="0.25">
      <c r="A37" s="55"/>
      <c r="B37" s="55"/>
      <c r="C37" s="55"/>
      <c r="D37" s="55"/>
      <c r="E37" s="55"/>
      <c r="F37" s="55"/>
      <c r="G37" s="55"/>
    </row>
    <row r="38" spans="1:7" x14ac:dyDescent="0.25">
      <c r="A38" s="55"/>
      <c r="B38" s="55"/>
      <c r="C38" s="55"/>
      <c r="D38" s="55"/>
      <c r="E38" s="55"/>
      <c r="F38" s="55"/>
      <c r="G38" s="55"/>
    </row>
    <row r="39" spans="1:7" x14ac:dyDescent="0.25">
      <c r="A39" s="55"/>
      <c r="B39" s="55"/>
      <c r="C39" s="55"/>
      <c r="D39" s="55"/>
      <c r="E39" s="55"/>
      <c r="F39" s="55"/>
      <c r="G39" s="55"/>
    </row>
    <row r="40" spans="1:7" x14ac:dyDescent="0.25">
      <c r="A40" s="55"/>
      <c r="B40" s="55"/>
      <c r="C40" s="55"/>
      <c r="D40" s="55"/>
      <c r="E40" s="55"/>
      <c r="F40" s="55"/>
      <c r="G40" s="5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C3C1-12A1-4440-941D-CA529DBBAD9A}">
  <dimension ref="A1:M24"/>
  <sheetViews>
    <sheetView showGridLines="0" workbookViewId="0">
      <selection activeCell="B6" sqref="B6"/>
    </sheetView>
  </sheetViews>
  <sheetFormatPr defaultRowHeight="15" x14ac:dyDescent="0.25"/>
  <cols>
    <col min="5" max="5" width="11.42578125" bestFit="1" customWidth="1"/>
  </cols>
  <sheetData>
    <row r="1" spans="1:13" ht="15.75" x14ac:dyDescent="0.25">
      <c r="A1" s="74" t="s">
        <v>76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25">
      <c r="A2" t="s">
        <v>80</v>
      </c>
    </row>
    <row r="4" spans="1:13" x14ac:dyDescent="0.25">
      <c r="A4" s="88" t="s">
        <v>66</v>
      </c>
      <c r="B4" s="88"/>
      <c r="C4" s="88"/>
      <c r="D4" s="88"/>
      <c r="E4" s="61">
        <v>160629.90818318044</v>
      </c>
    </row>
    <row r="6" spans="1:13" x14ac:dyDescent="0.25">
      <c r="A6" s="77"/>
    </row>
    <row r="8" spans="1:13" ht="14.45" customHeight="1" x14ac:dyDescent="0.2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</row>
    <row r="10" spans="1:13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</row>
    <row r="11" spans="1:13" x14ac:dyDescent="0.2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x14ac:dyDescent="0.2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x14ac:dyDescent="0.2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x14ac:dyDescent="0.2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x14ac:dyDescent="0.2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1:13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</row>
    <row r="18" spans="1:13" x14ac:dyDescent="0.2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</row>
    <row r="19" spans="1:13" x14ac:dyDescent="0.25">
      <c r="A19" s="78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  <row r="20" spans="1:13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</row>
    <row r="21" spans="1:13" x14ac:dyDescent="0.2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spans="1:13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1:13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</sheetData>
  <mergeCells count="2">
    <mergeCell ref="A4:D4"/>
    <mergeCell ref="A21:M2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55D7C363683E4B9032A3AC79D96380" ma:contentTypeVersion="13" ma:contentTypeDescription="Crie um novo documento." ma:contentTypeScope="" ma:versionID="2171dd31e2d5b6df4aa1964f2fcdd6b4">
  <xsd:schema xmlns:xsd="http://www.w3.org/2001/XMLSchema" xmlns:xs="http://www.w3.org/2001/XMLSchema" xmlns:p="http://schemas.microsoft.com/office/2006/metadata/properties" xmlns:ns2="26792f53-c340-40c3-a104-7926a24c4345" xmlns:ns3="c1f6eb08-74da-4000-b3c7-66196b0da1b7" targetNamespace="http://schemas.microsoft.com/office/2006/metadata/properties" ma:root="true" ma:fieldsID="4d512d2f349a58ac51812b2e4318c8ba" ns2:_="" ns3:_="">
    <xsd:import namespace="26792f53-c340-40c3-a104-7926a24c4345"/>
    <xsd:import namespace="c1f6eb08-74da-4000-b3c7-66196b0da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92f53-c340-40c3-a104-7926a24c4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eb08-74da-4000-b3c7-66196b0da1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42351a3-43d8-4ea2-8ce5-55e0b92b4a2e}" ma:internalName="TaxCatchAll" ma:showField="CatchAllData" ma:web="c1f6eb08-74da-4000-b3c7-66196b0da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56A165-ACA8-4910-80A5-CC71E11EC1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B73928-29B2-45DF-9EC1-0018855FB3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92f53-c340-40c3-a104-7926a24c4345"/>
    <ds:schemaRef ds:uri="c1f6eb08-74da-4000-b3c7-66196b0da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Premissas</vt:lpstr>
      <vt:lpstr>Modelagem </vt:lpstr>
      <vt:lpstr>Respostas --&gt;</vt:lpstr>
      <vt:lpstr>Questao1</vt:lpstr>
      <vt:lpstr>ModelagemCustoAdicional</vt:lpstr>
      <vt:lpstr>Questao2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Marcelo Magalhães Duarte</cp:lastModifiedBy>
  <dcterms:created xsi:type="dcterms:W3CDTF">2020-07-21T22:53:49Z</dcterms:created>
  <dcterms:modified xsi:type="dcterms:W3CDTF">2024-02-17T05:01:00Z</dcterms:modified>
</cp:coreProperties>
</file>