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3628"/>
  <workbookPr dateCompatibility="0"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ekodelcom-my.sharepoint.com/personal/marcin_ekodel_com/Documents/EKODEL/fotowoltaika/"/>
    </mc:Choice>
  </mc:AlternateContent>
  <xr:revisionPtr revIDLastSave="0" documentId="10_ncr:8_{AB3BA54F-FD3B-452B-9A11-2D4185ECCA6F}" xr6:coauthVersionLast="46" xr6:coauthVersionMax="46" xr10:uidLastSave="{00000000-0000-0000-0000-000000000000}"/>
  <bookViews>
    <workbookView xWindow="-110" yWindow="-110" windowWidth="22780" windowHeight="14660" activeTab="7" xr2:uid="{00000000-000D-0000-FFFF-FFFF00000000}"/>
  </bookViews>
  <sheets>
    <sheet name="KALKULATOR" sheetId="11" r:id="rId1"/>
    <sheet name="Promocje" sheetId="22" state="hidden" r:id="rId2"/>
    <sheet name="Inastalacja na gruncie" sheetId="26" r:id="rId3"/>
    <sheet name="kalkulator solaredge" sheetId="1" state="hidden" r:id="rId4"/>
    <sheet name="kalkulator huawei" sheetId="15" state="hidden" r:id="rId5"/>
    <sheet name="bieda kalkulator" sheetId="25" state="hidden" r:id="rId6"/>
    <sheet name="Rozbudowa" sheetId="19" r:id="rId7"/>
    <sheet name="Robocizna" sheetId="12" r:id="rId8"/>
    <sheet name="dokladka" sheetId="18" r:id="rId9"/>
    <sheet name="Panele" sheetId="7" r:id="rId10"/>
    <sheet name="Optymalizator" sheetId="8" state="hidden" r:id="rId11"/>
    <sheet name="Konstrukcja" sheetId="9" r:id="rId12"/>
    <sheet name="Akumulator" sheetId="16" state="hidden" r:id="rId13"/>
    <sheet name="inne" sheetId="13" state="hidden" r:id="rId14"/>
    <sheet name="Licznik" sheetId="17" state="hidden" r:id="rId15"/>
    <sheet name="Falownik" sheetId="10" state="hidden" r:id="rId16"/>
    <sheet name="ładowarka" sheetId="20" state="hidden" r:id="rId1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38" i="26" l="1"/>
  <c r="F20" i="7"/>
  <c r="F21" i="7" s="1"/>
  <c r="F3" i="7"/>
  <c r="E3" i="16"/>
  <c r="F3" i="12"/>
  <c r="F2" i="12"/>
  <c r="D3" i="12"/>
  <c r="D2" i="12"/>
  <c r="C3" i="12"/>
  <c r="C2" i="12"/>
  <c r="B3" i="12"/>
  <c r="B2" i="12"/>
  <c r="C12" i="9"/>
  <c r="C11" i="9"/>
  <c r="C14" i="9"/>
  <c r="B17" i="9"/>
  <c r="C17" i="9" s="1"/>
  <c r="F4" i="25" s="1"/>
  <c r="C13" i="9"/>
  <c r="A24" i="26"/>
  <c r="B14" i="26"/>
  <c r="M9" i="7"/>
  <c r="A13" i="1" s="1"/>
  <c r="B13" i="1" s="1"/>
  <c r="B5" i="25" s="1"/>
  <c r="F22" i="7" l="1"/>
  <c r="G21" i="7"/>
  <c r="G20" i="7"/>
  <c r="A4" i="25"/>
  <c r="A5" i="25" s="1"/>
  <c r="A4" i="15"/>
  <c r="A5" i="15" s="1"/>
  <c r="B5" i="15"/>
  <c r="B17" i="26"/>
  <c r="F12" i="1"/>
  <c r="F4" i="15"/>
  <c r="M3" i="7"/>
  <c r="L3" i="7"/>
  <c r="L9" i="7"/>
  <c r="C13" i="7"/>
  <c r="B13" i="7"/>
  <c r="A13" i="7"/>
  <c r="D17" i="7"/>
  <c r="D15" i="7"/>
  <c r="F4" i="7"/>
  <c r="F5" i="7" s="1"/>
  <c r="F6" i="7" s="1"/>
  <c r="F7" i="7" s="1"/>
  <c r="F8" i="7" s="1"/>
  <c r="F9" i="7" s="1"/>
  <c r="F10" i="7" s="1"/>
  <c r="F11" i="7" s="1"/>
  <c r="F12" i="7" s="1"/>
  <c r="F13" i="7" s="1"/>
  <c r="H13" i="7" s="1"/>
  <c r="F23" i="7" l="1"/>
  <c r="G22" i="7"/>
  <c r="D13" i="7"/>
  <c r="E13" i="7" s="1"/>
  <c r="A2" i="1"/>
  <c r="B10" i="1" s="1"/>
  <c r="A2" i="15"/>
  <c r="A2" i="25"/>
  <c r="D2" i="1"/>
  <c r="D2" i="25"/>
  <c r="D2" i="15"/>
  <c r="D29" i="7"/>
  <c r="D12" i="1"/>
  <c r="D4" i="15"/>
  <c r="D4" i="25"/>
  <c r="G3" i="7"/>
  <c r="G5" i="7"/>
  <c r="G12" i="7"/>
  <c r="G4" i="7"/>
  <c r="G11" i="7"/>
  <c r="G10" i="7"/>
  <c r="G9" i="7"/>
  <c r="G8" i="7"/>
  <c r="G7" i="7"/>
  <c r="G6" i="7"/>
  <c r="F24" i="7" l="1"/>
  <c r="G24" i="7" s="1"/>
  <c r="G23" i="7"/>
  <c r="D27" i="7"/>
  <c r="E2" i="1"/>
  <c r="B4" i="12" l="1"/>
  <c r="A3" i="25" l="1"/>
  <c r="D22" i="7"/>
  <c r="E22" i="7" l="1"/>
  <c r="D6" i="7"/>
  <c r="D21" i="7"/>
  <c r="D24" i="7"/>
  <c r="D23" i="7"/>
  <c r="D12" i="7"/>
  <c r="B6" i="20"/>
  <c r="B5" i="20" s="1"/>
  <c r="B4" i="20" s="1"/>
  <c r="F12" i="20"/>
  <c r="G12" i="20"/>
  <c r="H12" i="20"/>
  <c r="I12" i="20"/>
  <c r="E12" i="20"/>
  <c r="D3" i="7"/>
  <c r="D4" i="7"/>
  <c r="D20" i="7"/>
  <c r="D9" i="7"/>
  <c r="D8" i="7"/>
  <c r="D7" i="7"/>
  <c r="D11" i="7"/>
  <c r="D10" i="7"/>
  <c r="G8" i="9"/>
  <c r="G7" i="9"/>
  <c r="E3" i="7" l="1"/>
  <c r="E23" i="7"/>
  <c r="E21" i="7"/>
  <c r="E6" i="7"/>
  <c r="E7" i="7"/>
  <c r="E12" i="7"/>
  <c r="E4" i="7"/>
  <c r="E24" i="7"/>
  <c r="E20" i="7"/>
  <c r="E10" i="7"/>
  <c r="E11" i="7"/>
  <c r="E8" i="7"/>
  <c r="B3" i="20"/>
  <c r="E9" i="7"/>
  <c r="D4" i="12" l="1"/>
  <c r="C4" i="12"/>
  <c r="F4" i="12"/>
  <c r="E2" i="18" l="1"/>
  <c r="G10" i="18"/>
  <c r="E8" i="18" l="1"/>
  <c r="E9" i="18"/>
  <c r="E7" i="18"/>
  <c r="E3" i="18"/>
  <c r="E4" i="18"/>
  <c r="E5" i="18"/>
  <c r="E6" i="18"/>
  <c r="D2" i="18" l="1"/>
  <c r="A2" i="18" l="1"/>
  <c r="B18" i="11"/>
  <c r="D4" i="18"/>
  <c r="D7" i="18"/>
  <c r="D6" i="18"/>
  <c r="D9" i="18"/>
  <c r="D5" i="18"/>
  <c r="D8" i="18"/>
  <c r="D3" i="18"/>
  <c r="D6" i="17"/>
  <c r="C6" i="17"/>
  <c r="K2" i="18" s="1"/>
  <c r="K3" i="18" s="1"/>
  <c r="K4" i="18" s="1"/>
  <c r="K5" i="18" s="1"/>
  <c r="K6" i="18" s="1"/>
  <c r="K7" i="18" s="1"/>
  <c r="K8" i="18" s="1"/>
  <c r="K9" i="18" s="1"/>
  <c r="K10" i="18" s="1"/>
  <c r="H3" i="15" l="1"/>
  <c r="H5" i="15" s="1"/>
  <c r="H3" i="25"/>
  <c r="H5" i="25" s="1"/>
  <c r="A3" i="18"/>
  <c r="B10" i="18"/>
  <c r="B16" i="9"/>
  <c r="C16" i="9" s="1"/>
  <c r="L2" i="1"/>
  <c r="L2" i="15"/>
  <c r="L5" i="15" s="1"/>
  <c r="F2" i="1" l="1"/>
  <c r="F2" i="15"/>
  <c r="F2" i="25"/>
  <c r="L3" i="1"/>
  <c r="L4" i="1" s="1"/>
  <c r="L5" i="1" s="1"/>
  <c r="L6" i="1" s="1"/>
  <c r="L7" i="1" s="1"/>
  <c r="L8" i="1" s="1"/>
  <c r="L9" i="1" s="1"/>
  <c r="L10" i="1" s="1"/>
  <c r="L13" i="1"/>
  <c r="L3" i="15"/>
  <c r="L2" i="25"/>
  <c r="L3" i="25" s="1"/>
  <c r="L5" i="25" s="1"/>
  <c r="F2" i="18"/>
  <c r="F10" i="18" s="1"/>
  <c r="E10" i="18"/>
  <c r="B16" i="19"/>
  <c r="D10" i="18"/>
  <c r="C3" i="18"/>
  <c r="A4" i="18"/>
  <c r="K2" i="1"/>
  <c r="J2" i="18"/>
  <c r="J3" i="18" s="1"/>
  <c r="J4" i="18" s="1"/>
  <c r="J5" i="18" s="1"/>
  <c r="J6" i="18" s="1"/>
  <c r="J7" i="18" s="1"/>
  <c r="J8" i="18" s="1"/>
  <c r="J9" i="18" s="1"/>
  <c r="J10" i="18" s="1"/>
  <c r="K3" i="1" l="1"/>
  <c r="K4" i="1" s="1"/>
  <c r="K5" i="1" s="1"/>
  <c r="K6" i="1" s="1"/>
  <c r="K7" i="1" s="1"/>
  <c r="K8" i="1" s="1"/>
  <c r="K9" i="1" s="1"/>
  <c r="K10" i="1" s="1"/>
  <c r="K13" i="1"/>
  <c r="F3" i="18"/>
  <c r="F6" i="18"/>
  <c r="F5" i="18"/>
  <c r="F7" i="18"/>
  <c r="F8" i="18"/>
  <c r="F9" i="18"/>
  <c r="F4" i="18"/>
  <c r="A5" i="18"/>
  <c r="C4" i="18"/>
  <c r="I3" i="18"/>
  <c r="H3" i="18"/>
  <c r="A3" i="15"/>
  <c r="O3" i="18" l="1"/>
  <c r="L3" i="18" s="1"/>
  <c r="M3" i="18" s="1"/>
  <c r="C5" i="18"/>
  <c r="A6" i="18"/>
  <c r="I4" i="18"/>
  <c r="H4" i="18"/>
  <c r="G4" i="9" l="1"/>
  <c r="G5" i="9"/>
  <c r="G1" i="9"/>
  <c r="G2" i="9"/>
  <c r="G3" i="9"/>
  <c r="G6" i="9"/>
  <c r="Q3" i="18"/>
  <c r="R3" i="18"/>
  <c r="P3" i="18"/>
  <c r="O4" i="18"/>
  <c r="Q4" i="18" s="1"/>
  <c r="C6" i="18"/>
  <c r="A7" i="18"/>
  <c r="I5" i="18"/>
  <c r="H5" i="18"/>
  <c r="L4" i="18" l="1"/>
  <c r="M4" i="18" s="1"/>
  <c r="R4" i="18"/>
  <c r="P4" i="18"/>
  <c r="O5" i="18"/>
  <c r="R5" i="18" s="1"/>
  <c r="I6" i="18"/>
  <c r="G6" i="18"/>
  <c r="H6" i="18"/>
  <c r="C7" i="18"/>
  <c r="A8" i="18"/>
  <c r="B15" i="11"/>
  <c r="Q5" i="18" l="1"/>
  <c r="L5" i="18"/>
  <c r="M5" i="18" s="1"/>
  <c r="P5" i="18"/>
  <c r="C8" i="18"/>
  <c r="A9" i="18"/>
  <c r="G7" i="18"/>
  <c r="H7" i="18"/>
  <c r="I7" i="18"/>
  <c r="O6" i="18"/>
  <c r="O7" i="18" l="1"/>
  <c r="C9" i="18"/>
  <c r="A10" i="18"/>
  <c r="C10" i="18" s="1"/>
  <c r="Q6" i="18"/>
  <c r="L6" i="18"/>
  <c r="M6" i="18" s="1"/>
  <c r="R6" i="18"/>
  <c r="P6" i="18"/>
  <c r="G8" i="18"/>
  <c r="H8" i="18"/>
  <c r="I8" i="18"/>
  <c r="O8" i="18" l="1"/>
  <c r="C14" i="19"/>
  <c r="I10" i="18"/>
  <c r="S10" i="18"/>
  <c r="I9" i="18"/>
  <c r="G9" i="18"/>
  <c r="H9" i="18"/>
  <c r="L7" i="18"/>
  <c r="M7" i="18" s="1"/>
  <c r="P7" i="18"/>
  <c r="R7" i="18"/>
  <c r="Q7" i="18"/>
  <c r="B9" i="13"/>
  <c r="A26" i="11"/>
  <c r="E9" i="13"/>
  <c r="O9" i="18" l="1"/>
  <c r="P9" i="18" s="1"/>
  <c r="Q8" i="18"/>
  <c r="R8" i="18"/>
  <c r="P8" i="18"/>
  <c r="L8" i="18"/>
  <c r="M8" i="18" s="1"/>
  <c r="D5" i="7"/>
  <c r="E5" i="7" l="1"/>
  <c r="Q9" i="18"/>
  <c r="R9" i="18"/>
  <c r="L9" i="18"/>
  <c r="M9" i="18" s="1"/>
  <c r="F9" i="1" l="1"/>
  <c r="F8" i="1"/>
  <c r="F7" i="1"/>
  <c r="D7" i="1"/>
  <c r="F6" i="1"/>
  <c r="D6" i="1"/>
  <c r="F5" i="1"/>
  <c r="F4" i="1"/>
  <c r="F3" i="1"/>
  <c r="D4" i="1" l="1"/>
  <c r="D3" i="1"/>
  <c r="D9" i="1"/>
  <c r="D8" i="1"/>
  <c r="D5" i="1"/>
  <c r="A3" i="1" l="1"/>
  <c r="C3" i="1" s="1"/>
  <c r="A4" i="1" l="1"/>
  <c r="A5" i="1" s="1"/>
  <c r="A6" i="1" s="1"/>
  <c r="I3" i="1"/>
  <c r="H3" i="1"/>
  <c r="C5" i="1" l="1"/>
  <c r="I5" i="1" s="1"/>
  <c r="C4" i="1"/>
  <c r="C6" i="1"/>
  <c r="A7" i="1"/>
  <c r="H5" i="1" l="1"/>
  <c r="I4" i="1"/>
  <c r="H4" i="1"/>
  <c r="C7" i="1"/>
  <c r="A8" i="1"/>
  <c r="G6" i="1"/>
  <c r="H6" i="1"/>
  <c r="I6" i="1"/>
  <c r="C8" i="1" l="1"/>
  <c r="A9" i="1"/>
  <c r="H7" i="1"/>
  <c r="I7" i="1"/>
  <c r="G7" i="1"/>
  <c r="I8" i="1" l="1"/>
  <c r="H8" i="1"/>
  <c r="G8" i="1"/>
  <c r="C9" i="1"/>
  <c r="A10" i="1"/>
  <c r="G9" i="1" l="1"/>
  <c r="I9" i="1"/>
  <c r="H9" i="1"/>
  <c r="D10" i="1" l="1"/>
  <c r="C10" i="1"/>
  <c r="B17" i="11" s="1"/>
  <c r="E7" i="1"/>
  <c r="F10" i="1"/>
  <c r="I10" i="1" l="1"/>
  <c r="E4" i="1"/>
  <c r="E10" i="1"/>
  <c r="T10" i="1"/>
  <c r="E9" i="1"/>
  <c r="E6" i="1"/>
  <c r="E5" i="1"/>
  <c r="E3" i="1"/>
  <c r="H10" i="1"/>
  <c r="E8" i="1"/>
  <c r="B2" i="25" l="1"/>
  <c r="B3" i="25" s="1"/>
  <c r="B2" i="15"/>
  <c r="B3" i="15" s="1"/>
  <c r="L5" i="10"/>
  <c r="B19" i="10" s="1"/>
  <c r="M5" i="10"/>
  <c r="B19" i="11"/>
  <c r="B1" i="22"/>
  <c r="B2" i="20"/>
  <c r="F4" i="20" s="1"/>
  <c r="J2" i="1" s="1"/>
  <c r="J13" i="1" s="1"/>
  <c r="B3" i="22"/>
  <c r="B2" i="22"/>
  <c r="C1" i="22"/>
  <c r="A2" i="20"/>
  <c r="B33" i="11"/>
  <c r="B34" i="11" s="1"/>
  <c r="G19" i="10" l="1"/>
  <c r="F19" i="10"/>
  <c r="M8" i="10" s="1"/>
  <c r="A19" i="10"/>
  <c r="J3" i="25"/>
  <c r="F3" i="25"/>
  <c r="C3" i="25"/>
  <c r="E3" i="25"/>
  <c r="I3" i="25"/>
  <c r="D3" i="25"/>
  <c r="I3" i="15"/>
  <c r="F3" i="15"/>
  <c r="J3" i="15"/>
  <c r="E3" i="15"/>
  <c r="C3" i="15"/>
  <c r="D3" i="15"/>
  <c r="N5" i="10"/>
  <c r="J10" i="1"/>
  <c r="K2" i="25"/>
  <c r="K3" i="25" s="1"/>
  <c r="K5" i="25" s="1"/>
  <c r="J4" i="1"/>
  <c r="P4" i="1" s="1"/>
  <c r="Q4" i="1" s="1"/>
  <c r="J3" i="1"/>
  <c r="P3" i="1" s="1"/>
  <c r="M3" i="1" s="1"/>
  <c r="N3" i="1" s="1"/>
  <c r="K2" i="15"/>
  <c r="J6" i="1"/>
  <c r="P6" i="1" s="1"/>
  <c r="Q6" i="1" s="1"/>
  <c r="J9" i="1"/>
  <c r="P9" i="1" s="1"/>
  <c r="R9" i="1" s="1"/>
  <c r="J8" i="1"/>
  <c r="P8" i="1" s="1"/>
  <c r="R8" i="1" s="1"/>
  <c r="J5" i="1"/>
  <c r="P5" i="1" s="1"/>
  <c r="M5" i="1" s="1"/>
  <c r="N5" i="1" s="1"/>
  <c r="J7" i="1"/>
  <c r="P7" i="1" s="1"/>
  <c r="Q7" i="1" s="1"/>
  <c r="B35" i="11"/>
  <c r="B36" i="11" s="1"/>
  <c r="B37" i="11" s="1"/>
  <c r="K3" i="15" l="1"/>
  <c r="K5" i="15"/>
  <c r="J19" i="10"/>
  <c r="N2" i="10" s="1"/>
  <c r="G3" i="25" s="1"/>
  <c r="I19" i="10"/>
  <c r="N8" i="10" s="1"/>
  <c r="B22" i="11"/>
  <c r="M2" i="10"/>
  <c r="Q3" i="1"/>
  <c r="R6" i="1"/>
  <c r="M6" i="1"/>
  <c r="N6" i="1" s="1"/>
  <c r="R4" i="1"/>
  <c r="M4" i="1"/>
  <c r="N4" i="1" s="1"/>
  <c r="S4" i="1"/>
  <c r="R3" i="1"/>
  <c r="S3" i="1"/>
  <c r="Q9" i="1"/>
  <c r="S6" i="1"/>
  <c r="M9" i="1"/>
  <c r="N9" i="1" s="1"/>
  <c r="S9" i="1"/>
  <c r="S7" i="1"/>
  <c r="Q5" i="1"/>
  <c r="S8" i="1"/>
  <c r="R5" i="1"/>
  <c r="Q8" i="1"/>
  <c r="S5" i="1"/>
  <c r="M7" i="1"/>
  <c r="N7" i="1" s="1"/>
  <c r="M8" i="1"/>
  <c r="N8" i="1" s="1"/>
  <c r="R7" i="1"/>
  <c r="C22" i="11" l="1"/>
  <c r="G3" i="15"/>
  <c r="C19" i="10" l="1"/>
  <c r="L8" i="10"/>
  <c r="D19" i="10"/>
  <c r="L2" i="10" l="1"/>
  <c r="A22" i="11"/>
  <c r="G2" i="1" l="1"/>
  <c r="H21" i="7"/>
  <c r="H22" i="7"/>
  <c r="H4" i="7"/>
  <c r="H10" i="7"/>
  <c r="H20" i="7"/>
  <c r="H24" i="7"/>
  <c r="M6" i="7" s="1"/>
  <c r="E3" i="12" s="1"/>
  <c r="H8" i="7"/>
  <c r="H23" i="7"/>
  <c r="H12" i="7"/>
  <c r="H9" i="7"/>
  <c r="H5" i="7"/>
  <c r="H7" i="7"/>
  <c r="H3" i="7"/>
  <c r="H6" i="7"/>
  <c r="H11" i="7"/>
  <c r="L6" i="7" l="1"/>
  <c r="E4" i="12" s="1"/>
  <c r="G10" i="1"/>
  <c r="M10" i="1" s="1"/>
  <c r="G4" i="12" l="1"/>
  <c r="E2" i="12"/>
  <c r="G2" i="12" s="1"/>
  <c r="O2" i="1" s="1"/>
  <c r="O10" i="1" s="1"/>
  <c r="N2" i="18" l="1"/>
  <c r="N10" i="18" s="1"/>
  <c r="O10" i="18" s="1"/>
  <c r="H4" i="12"/>
  <c r="A21" i="19"/>
  <c r="B21" i="19" s="1"/>
  <c r="R10" i="18"/>
  <c r="L10" i="18"/>
  <c r="M10" i="18" s="1"/>
  <c r="P10" i="18"/>
  <c r="Q10" i="18"/>
  <c r="H2" i="12"/>
  <c r="O2" i="15"/>
  <c r="O3" i="15" s="1"/>
  <c r="P3" i="15" s="1"/>
  <c r="B24" i="11" s="1"/>
  <c r="B28" i="11" s="1"/>
  <c r="O2" i="25"/>
  <c r="O3" i="25" s="1"/>
  <c r="P3" i="25" s="1"/>
  <c r="P10" i="1"/>
  <c r="N10" i="1"/>
  <c r="Q3" i="25" l="1"/>
  <c r="C24" i="11"/>
  <c r="C28" i="11" s="1"/>
  <c r="R3" i="25"/>
  <c r="S3" i="25"/>
  <c r="M3" i="25"/>
  <c r="N3" i="25" s="1"/>
  <c r="R3" i="15"/>
  <c r="M3" i="15"/>
  <c r="N3" i="15" s="1"/>
  <c r="Q3" i="15"/>
  <c r="S3" i="15"/>
  <c r="A24" i="11"/>
  <c r="A28" i="11" s="1"/>
  <c r="C2" i="22" s="1"/>
  <c r="H2" i="22" s="1"/>
  <c r="S10" i="1"/>
  <c r="R10" i="1"/>
  <c r="Q10" i="1"/>
  <c r="C3" i="22"/>
  <c r="A31" i="11" l="1"/>
  <c r="A29" i="26"/>
  <c r="G3" i="12" l="1"/>
  <c r="O5" i="25" l="1"/>
  <c r="H3" i="12"/>
  <c r="O13" i="1"/>
  <c r="O5" i="15"/>
  <c r="E13" i="1"/>
  <c r="E12" i="1"/>
  <c r="C13" i="1"/>
  <c r="B16" i="26" s="1"/>
  <c r="F13" i="1"/>
  <c r="D13" i="1"/>
  <c r="L6" i="10" l="1"/>
  <c r="B31" i="26"/>
  <c r="H13" i="1"/>
  <c r="I13" i="1"/>
  <c r="J5" i="15" l="1"/>
  <c r="D5" i="15"/>
  <c r="C5" i="15"/>
  <c r="E5" i="15"/>
  <c r="I5" i="15"/>
  <c r="F5" i="15"/>
  <c r="F5" i="25"/>
  <c r="D5" i="25"/>
  <c r="J5" i="25"/>
  <c r="C5" i="25"/>
  <c r="I5" i="25"/>
  <c r="E5" i="25"/>
  <c r="B32" i="26"/>
  <c r="B33" i="26" s="1"/>
  <c r="B34" i="26" s="1"/>
  <c r="B35" i="26" s="1"/>
  <c r="N6" i="10"/>
  <c r="M6" i="10"/>
  <c r="B20" i="10"/>
  <c r="L3" i="10" s="1"/>
  <c r="G12" i="1" s="1"/>
  <c r="G13" i="1" s="1"/>
  <c r="P13" i="1" s="1"/>
  <c r="A22" i="26" s="1"/>
  <c r="A20" i="10"/>
  <c r="L9" i="10" s="1"/>
  <c r="A20" i="26" s="1"/>
  <c r="G20" i="10" l="1"/>
  <c r="M3" i="10" s="1"/>
  <c r="G5" i="15" s="1"/>
  <c r="P5" i="15" s="1"/>
  <c r="B22" i="26" s="1"/>
  <c r="B26" i="26" s="1"/>
  <c r="F20" i="10"/>
  <c r="M9" i="10" s="1"/>
  <c r="B20" i="26" s="1"/>
  <c r="I20" i="10"/>
  <c r="N9" i="10" s="1"/>
  <c r="C20" i="26" s="1"/>
  <c r="J20" i="10"/>
  <c r="N3" i="10" s="1"/>
  <c r="M13" i="1"/>
  <c r="N13" i="1" s="1"/>
  <c r="S13" i="1"/>
  <c r="A26" i="26"/>
  <c r="Q13" i="1"/>
  <c r="R13" i="1"/>
  <c r="Q5" i="15" l="1"/>
  <c r="R5" i="15"/>
  <c r="M5" i="15"/>
  <c r="N5" i="15" s="1"/>
  <c r="S5" i="15"/>
  <c r="G5" i="25"/>
  <c r="P5" i="25" s="1"/>
  <c r="C22" i="26" s="1"/>
  <c r="C26" i="26" s="1"/>
  <c r="Q5" i="25" l="1"/>
  <c r="M5" i="25"/>
  <c r="N5" i="25" s="1"/>
  <c r="S5" i="25"/>
  <c r="R5" i="25"/>
</calcChain>
</file>

<file path=xl/sharedStrings.xml><?xml version="1.0" encoding="utf-8"?>
<sst xmlns="http://purl.oclc.org/ooxml/spreadsheetml/main" count="351" uniqueCount="189">
  <si>
    <t>moc panela</t>
  </si>
  <si>
    <t>ilość paneli</t>
  </si>
  <si>
    <t>MOC</t>
  </si>
  <si>
    <t>panel</t>
  </si>
  <si>
    <t>optymalizator</t>
  </si>
  <si>
    <t>konstrukcja</t>
  </si>
  <si>
    <t>falownik</t>
  </si>
  <si>
    <t>zabezpieczenia</t>
  </si>
  <si>
    <t>kabel</t>
  </si>
  <si>
    <t>cena zakupu</t>
  </si>
  <si>
    <t>Łącznie</t>
  </si>
  <si>
    <t>cena falownika</t>
  </si>
  <si>
    <t>SE</t>
  </si>
  <si>
    <t>netto</t>
  </si>
  <si>
    <t>brutto</t>
  </si>
  <si>
    <t>zł/kWp</t>
  </si>
  <si>
    <t>moc</t>
  </si>
  <si>
    <t>montaż falownika</t>
  </si>
  <si>
    <t>montaż panela</t>
  </si>
  <si>
    <t>więcej</t>
  </si>
  <si>
    <t>Robocizna</t>
  </si>
  <si>
    <t>cena za wp</t>
  </si>
  <si>
    <t>zapotrzebowanie</t>
  </si>
  <si>
    <t>instalacja 3 fazowa</t>
  </si>
  <si>
    <t>produkcja roczna</t>
  </si>
  <si>
    <t>potrzeby własne</t>
  </si>
  <si>
    <t>eksport do sieci</t>
  </si>
  <si>
    <t>import z sieci</t>
  </si>
  <si>
    <t>lp</t>
  </si>
  <si>
    <t>południe</t>
  </si>
  <si>
    <t>wschód-zachód</t>
  </si>
  <si>
    <t>45 stopni od południa</t>
  </si>
  <si>
    <t>współczynnik</t>
  </si>
  <si>
    <t>kwota faktury</t>
  </si>
  <si>
    <t>ile kwh na fakturze</t>
  </si>
  <si>
    <t>cena za kwh</t>
  </si>
  <si>
    <t>cena</t>
  </si>
  <si>
    <t>Ułożenie paneli względem południa</t>
  </si>
  <si>
    <t>Typ konstrukcja</t>
  </si>
  <si>
    <t>Ilość połaci</t>
  </si>
  <si>
    <t>Klient</t>
  </si>
  <si>
    <t>Model paneli</t>
  </si>
  <si>
    <t>inne</t>
  </si>
  <si>
    <t>Firma</t>
  </si>
  <si>
    <t>Indywidualny</t>
  </si>
  <si>
    <t>Sugerowana moc</t>
  </si>
  <si>
    <t>Sugerowana ilość paneli</t>
  </si>
  <si>
    <t>Cena instalacji netto</t>
  </si>
  <si>
    <t>Cena instalacji Brutto</t>
  </si>
  <si>
    <t>kWh/rocznie</t>
  </si>
  <si>
    <t>Moc instalacji</t>
  </si>
  <si>
    <t>VAT %</t>
  </si>
  <si>
    <t>Proponowana moc</t>
  </si>
  <si>
    <t>oszczędność energi</t>
  </si>
  <si>
    <t>Odległość od bazy</t>
  </si>
  <si>
    <t>km</t>
  </si>
  <si>
    <t>Licznik</t>
  </si>
  <si>
    <t>SolarEdge</t>
  </si>
  <si>
    <t>Falownik:</t>
  </si>
  <si>
    <t>cena za kW</t>
  </si>
  <si>
    <t>P370</t>
  </si>
  <si>
    <t>P505</t>
  </si>
  <si>
    <t>Blachodachówka lub papa</t>
  </si>
  <si>
    <t>Blacha trapezowa</t>
  </si>
  <si>
    <t>Dachówka lub blacha na rąbek</t>
  </si>
  <si>
    <t>Płaski na trójkątach 30st</t>
  </si>
  <si>
    <t>Płaski 15st balastowy</t>
  </si>
  <si>
    <t>Blacha trapezowa i trójkąty 30st</t>
  </si>
  <si>
    <t>inny panel - opcja tylko dla Kingi</t>
  </si>
  <si>
    <t>nazwa</t>
  </si>
  <si>
    <t>keno</t>
  </si>
  <si>
    <t>Huawei</t>
  </si>
  <si>
    <t>cena huawei</t>
  </si>
  <si>
    <t>całość netto</t>
  </si>
  <si>
    <t>całość brutto</t>
  </si>
  <si>
    <t>System Bateryjny</t>
  </si>
  <si>
    <t>akumulator</t>
  </si>
  <si>
    <t>pozycja</t>
  </si>
  <si>
    <t>Akumulator</t>
  </si>
  <si>
    <t>cena w kalkulatorze</t>
  </si>
  <si>
    <t>montaż akumulatora</t>
  </si>
  <si>
    <t>Montaz licznika</t>
  </si>
  <si>
    <t>cena licznika w kalkulatorze</t>
  </si>
  <si>
    <t>współczynnik w kalkulatorze</t>
  </si>
  <si>
    <t>SE aku</t>
  </si>
  <si>
    <t>połacie</t>
  </si>
  <si>
    <t>cena konstrukcji w kalkulatorze</t>
  </si>
  <si>
    <t>kilometrówka</t>
  </si>
  <si>
    <t>moc instalacji</t>
  </si>
  <si>
    <t>SE8K</t>
  </si>
  <si>
    <t>SE3K</t>
  </si>
  <si>
    <t>SE4K</t>
  </si>
  <si>
    <t>SE5K</t>
  </si>
  <si>
    <t>SE6K</t>
  </si>
  <si>
    <t>SE7K</t>
  </si>
  <si>
    <t>SE9K</t>
  </si>
  <si>
    <t>SE10K</t>
  </si>
  <si>
    <t>SE12,5K</t>
  </si>
  <si>
    <t>SE15K</t>
  </si>
  <si>
    <t>SE16K</t>
  </si>
  <si>
    <t>SE17K</t>
  </si>
  <si>
    <t>SE25K</t>
  </si>
  <si>
    <t>SE5K StorEdge</t>
  </si>
  <si>
    <t>SE7K StorEdge</t>
  </si>
  <si>
    <t>SE8K StorEdge</t>
  </si>
  <si>
    <t>SE10K StorEdge</t>
  </si>
  <si>
    <t>model falownika</t>
  </si>
  <si>
    <t>Sun2000-KTL3-M0</t>
  </si>
  <si>
    <t>Sun2000-KTL4-M0</t>
  </si>
  <si>
    <t>Sun2000-KTL5-M0</t>
  </si>
  <si>
    <t>Sun2000-KTL6-M0</t>
  </si>
  <si>
    <t>Sun2000-KTL8-M0</t>
  </si>
  <si>
    <t>Sun2000-KTL10-M0</t>
  </si>
  <si>
    <t>Sun2000-KTL12-M0</t>
  </si>
  <si>
    <t>Sun2000-KTL20-M0</t>
  </si>
  <si>
    <t>model</t>
  </si>
  <si>
    <t>Sun2000-KTL15-M0</t>
  </si>
  <si>
    <t>Sun2000-KTL17-M0</t>
  </si>
  <si>
    <t>Grunt konstrukcja KENO</t>
  </si>
  <si>
    <t>Grunt konstrukcja inna</t>
  </si>
  <si>
    <t>dokładka</t>
  </si>
  <si>
    <t>ładowarka</t>
  </si>
  <si>
    <t>Ładowarka samochodowa</t>
  </si>
  <si>
    <t>Montaż ładowarki</t>
  </si>
  <si>
    <t>nie</t>
  </si>
  <si>
    <t>tak</t>
  </si>
  <si>
    <t>Q.PEAK DUO ML-G9 385 HulfCut 1,84m</t>
  </si>
  <si>
    <t>Ilość paneli</t>
  </si>
  <si>
    <t>Promocja</t>
  </si>
  <si>
    <t>Promocje</t>
  </si>
  <si>
    <t>Cena promocyjna</t>
  </si>
  <si>
    <t>LG350N1C-V5 1,7m</t>
  </si>
  <si>
    <t>Hyundai HiE-S400VG, 20latGW, 172x114cm</t>
  </si>
  <si>
    <t>SolarEdge SPV360- R60LWMG produkcja Longi</t>
  </si>
  <si>
    <t>LG NeON R Q1C-V5 380Wp BackContact 1,7m</t>
  </si>
  <si>
    <t>LG NeON2 LG355N1K-N5 FullBlack</t>
  </si>
  <si>
    <t xml:space="preserve">LG410N2T-J5 BiFacial, srebrna rama, tylko grunt, </t>
  </si>
  <si>
    <t>SunPower P3 325 Wp FullBlack 25 lat GW</t>
  </si>
  <si>
    <t>SunPower P3 415 COM srebrny 25lat GW tylko grunt</t>
  </si>
  <si>
    <t>ładowarka Noark 7kW 10A</t>
  </si>
  <si>
    <t>ładowarka Noark 11kW 16A</t>
  </si>
  <si>
    <t>Ładowarka Noark 14kW 20A</t>
  </si>
  <si>
    <t>Ładowarka Noark 17kW 25A</t>
  </si>
  <si>
    <t>Ładowarka Noark 22kW 32A</t>
  </si>
  <si>
    <t>cena do kalkulatora</t>
  </si>
  <si>
    <t>Cena promocyjna do kalkulatora</t>
  </si>
  <si>
    <t>Seraphim SRP-330-BMB-BG hulf cut,bifacial przezierny, grunt i czarne dachy</t>
  </si>
  <si>
    <t>Longi LR4-60HPH-370M, HulfCut</t>
  </si>
  <si>
    <t>seraphim SRP-440-BMA-HV, czarny, hulfcut, tylko grunt</t>
  </si>
  <si>
    <t>Euro/wp</t>
  </si>
  <si>
    <t>JA Solar JAM72S20-450MR, srebrny, tylko grunt</t>
  </si>
  <si>
    <t>JA Solar JAM60S21-365MR, fullblack</t>
  </si>
  <si>
    <t>Longi LR4-72HBD-440, HulfCut, bifacial, tylko grunt</t>
  </si>
  <si>
    <t>oph</t>
  </si>
  <si>
    <t>SofarSolar</t>
  </si>
  <si>
    <t>Sofar 5.5 KTL-X</t>
  </si>
  <si>
    <t>Sofar 4.4 KTL-X</t>
  </si>
  <si>
    <t>Sofar 3.3 KTL-X</t>
  </si>
  <si>
    <t>Sofar 6.6 KTL-X</t>
  </si>
  <si>
    <t>Sofar 8.8 KTL-X</t>
  </si>
  <si>
    <t>Sofar</t>
  </si>
  <si>
    <t>Sofar Solar</t>
  </si>
  <si>
    <t>SmartMeter</t>
  </si>
  <si>
    <t>Wp</t>
  </si>
  <si>
    <t>szt.</t>
  </si>
  <si>
    <t>Victron Energy ESS 3kWh</t>
  </si>
  <si>
    <t>Victron Energy ESS 5kWh</t>
  </si>
  <si>
    <t>Victron Energy ESS 9kWh</t>
  </si>
  <si>
    <t>Victron Energy ESS 15kWh</t>
  </si>
  <si>
    <t>cena podstawowa</t>
  </si>
  <si>
    <t>cena dodatkowa</t>
  </si>
  <si>
    <t>max</t>
  </si>
  <si>
    <t>min</t>
  </si>
  <si>
    <t>grunty</t>
  </si>
  <si>
    <t>cena ostateczna</t>
  </si>
  <si>
    <t>kalkulatorze</t>
  </si>
  <si>
    <t xml:space="preserve">Cena montażu </t>
  </si>
  <si>
    <t>moc panelu</t>
  </si>
  <si>
    <t>Grunt</t>
  </si>
  <si>
    <t>grunt</t>
  </si>
  <si>
    <t>ilość</t>
  </si>
  <si>
    <t>połaci</t>
  </si>
  <si>
    <t>stołów</t>
  </si>
  <si>
    <t>Ilość stołów</t>
  </si>
  <si>
    <t>dach</t>
  </si>
  <si>
    <t>Kalkulator średnicy przewodu</t>
  </si>
  <si>
    <t>minimalny przekrój przewodu [mm2]</t>
  </si>
  <si>
    <t>wpisz długość przewodu [m]</t>
  </si>
  <si>
    <t>wpisz moc falownika [kW]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</si>
</sst>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zł&quot;;\-#,##0.00\ &quot;zł&quot;"/>
    <numFmt numFmtId="164" formatCode="#,##0.00\ &quot;zł&quot;"/>
    <numFmt numFmtId="165" formatCode="0.00,&quot; kWh&quot;"/>
    <numFmt numFmtId="166" formatCode="#,##0.00\ [$€-407];[Red]\-#,##0.00\ [$€-407]"/>
    <numFmt numFmtId="167" formatCode="_-* #,##0.00\ [$€-1]_-;\-* #,##0.00\ [$€-1]_-;_-* \-??\ [$€-1]_-"/>
    <numFmt numFmtId="168" formatCode="_-* #,##0.00&quot; zł&quot;_-;\-* #,##0.00&quot; zł&quot;_-;_-* \-??&quot; zł&quot;_-;_-@_-"/>
    <numFmt numFmtId="169" formatCode="#,##0.00,\k\W\p"/>
  </numFmts>
  <fonts count="40" x14ac:knownFonts="1">
    <font>
      <sz val="11"/>
      <color rgb="FF000000"/>
      <name val="Calibri"/>
      <family val="2"/>
      <charset val="238"/>
    </font>
    <font>
      <sz val="11"/>
      <color rgb="FF0061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color rgb="FF006100"/>
      <name val="Calibri"/>
      <family val="2"/>
      <charset val="238"/>
    </font>
    <font>
      <b/>
      <sz val="14"/>
      <color theme="4" tint="-0.249977111117893"/>
      <name val="Calibri"/>
      <family val="2"/>
      <charset val="238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11"/>
      <color theme="7"/>
      <name val="Calibri"/>
      <family val="2"/>
      <charset val="238"/>
    </font>
    <font>
      <sz val="11"/>
      <color theme="4"/>
      <name val="Calibri"/>
      <family val="2"/>
      <charset val="238"/>
    </font>
    <font>
      <sz val="11"/>
      <color theme="5"/>
      <name val="Calibri"/>
      <family val="2"/>
      <charset val="238"/>
    </font>
    <font>
      <b/>
      <sz val="12"/>
      <color theme="7"/>
      <name val="Calibri"/>
      <family val="2"/>
      <charset val="238"/>
    </font>
    <font>
      <sz val="10"/>
      <name val="Arial CE"/>
      <family val="2"/>
      <charset val="238"/>
    </font>
    <font>
      <sz val="11"/>
      <color indexed="8"/>
      <name val="Arial"/>
      <family val="2"/>
      <charset val="238"/>
    </font>
    <font>
      <b/>
      <i/>
      <sz val="16"/>
      <color indexed="8"/>
      <name val="Arial"/>
      <family val="2"/>
      <charset val="238"/>
    </font>
    <font>
      <b/>
      <i/>
      <u/>
      <sz val="11"/>
      <color indexed="8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62"/>
      <name val="Calibri"/>
      <family val="2"/>
      <charset val="238"/>
    </font>
    <font>
      <sz val="12"/>
      <name val="Times New Roman"/>
      <family val="1"/>
      <charset val="238"/>
    </font>
    <font>
      <sz val="11"/>
      <color indexed="8"/>
      <name val="Calibri"/>
      <family val="2"/>
      <charset val="238"/>
    </font>
    <font>
      <sz val="10"/>
      <name val="SimSun"/>
      <family val="2"/>
      <charset val="238"/>
    </font>
    <font>
      <u/>
      <sz val="11"/>
      <name val="Calibri"/>
      <family val="2"/>
      <charset val="238"/>
    </font>
    <font>
      <sz val="11"/>
      <color rgb="FF5AABB3"/>
      <name val="Calibri"/>
      <family val="2"/>
      <charset val="238"/>
    </font>
    <font>
      <b/>
      <sz val="16"/>
      <color rgb="FF5AABB3"/>
      <name val="Calibri"/>
      <family val="2"/>
      <charset val="238"/>
    </font>
    <font>
      <sz val="11"/>
      <color theme="0"/>
      <name val="Calibri"/>
      <family val="2"/>
      <charset val="238"/>
    </font>
    <font>
      <b/>
      <sz val="12"/>
      <color rgb="FFFFD260"/>
      <name val="Calibri"/>
      <family val="2"/>
      <charset val="238"/>
    </font>
    <font>
      <sz val="14"/>
      <color rgb="FF000000"/>
      <name val="Calibri"/>
      <family val="2"/>
      <charset val="238"/>
    </font>
    <font>
      <b/>
      <sz val="16"/>
      <color rgb="FFFFD26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i/>
      <sz val="16"/>
      <color rgb="FFFFD26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b/>
      <sz val="12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1"/>
      <color rgb="FFFFD26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5AABB3"/>
      <name val="Calibri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5AABB3"/>
        <bgColor indexed="64"/>
      </patternFill>
    </fill>
    <fill>
      <patternFill patternType="solid">
        <fgColor rgb="FFFFD260"/>
        <bgColor indexed="64"/>
      </patternFill>
    </fill>
    <fill>
      <patternFill patternType="solid">
        <fgColor rgb="FFFF0000"/>
        <bgColor indexed="64"/>
      </patternFill>
    </fill>
  </fills>
  <borders count="28">
    <border>
      <start/>
      <end/>
      <top/>
      <bottom/>
      <diagonal/>
    </border>
    <border>
      <start/>
      <end/>
      <top/>
      <bottom style="thin">
        <color rgb="FF000000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11" fillId="0" borderId="0"/>
    <xf numFmtId="0" fontId="12" fillId="10" borderId="0"/>
    <xf numFmtId="0" fontId="17" fillId="11" borderId="14" applyNumberFormat="0" applyAlignment="0" applyProtection="0"/>
    <xf numFmtId="0" fontId="13" fillId="0" borderId="0">
      <alignment horizontal="center"/>
    </xf>
    <xf numFmtId="0" fontId="13" fillId="0" borderId="0">
      <alignment horizontal="center" textRotation="90"/>
    </xf>
    <xf numFmtId="0" fontId="12" fillId="0" borderId="0"/>
    <xf numFmtId="0" fontId="12" fillId="12" borderId="0"/>
    <xf numFmtId="0" fontId="12" fillId="13" borderId="0"/>
    <xf numFmtId="0" fontId="12" fillId="12" borderId="0"/>
    <xf numFmtId="0" fontId="12" fillId="14" borderId="0"/>
    <xf numFmtId="0" fontId="12" fillId="15" borderId="0"/>
    <xf numFmtId="0" fontId="14" fillId="0" borderId="0"/>
    <xf numFmtId="166" fontId="14" fillId="0" borderId="0"/>
    <xf numFmtId="0" fontId="18" fillId="0" borderId="0"/>
    <xf numFmtId="168" fontId="15" fillId="0" borderId="0" applyFill="0" applyAlignment="0" applyProtection="0"/>
    <xf numFmtId="9" fontId="20" fillId="0" borderId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/>
    <xf numFmtId="0" fontId="19" fillId="0" borderId="0"/>
    <xf numFmtId="0" fontId="19" fillId="0" borderId="0"/>
    <xf numFmtId="167" fontId="11" fillId="0" borderId="0" applyFill="0" applyBorder="0" applyAlignment="0" applyProtection="0"/>
    <xf numFmtId="9" fontId="11" fillId="0" borderId="0" applyFill="0" applyBorder="0" applyAlignment="0" applyProtection="0"/>
    <xf numFmtId="0" fontId="15" fillId="0" borderId="0"/>
  </cellStyleXfs>
  <cellXfs count="157">
    <xf numFmtId="0" fontId="0" fillId="0" borderId="0" xfId="0"/>
    <xf numFmtId="0" fontId="1" fillId="2" borderId="0" xfId="1"/>
    <xf numFmtId="1" fontId="1" fillId="2" borderId="0" xfId="1" applyNumberFormat="1"/>
    <xf numFmtId="0" fontId="1" fillId="3" borderId="0" xfId="1" applyFill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vertical="top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8" borderId="0" xfId="0" applyFill="1"/>
    <xf numFmtId="0" fontId="0" fillId="9" borderId="0" xfId="0" applyFill="1"/>
    <xf numFmtId="0" fontId="4" fillId="7" borderId="0" xfId="0" applyFont="1" applyFill="1"/>
    <xf numFmtId="0" fontId="4" fillId="7" borderId="9" xfId="1" applyFont="1" applyFill="1" applyBorder="1"/>
    <xf numFmtId="0" fontId="4" fillId="7" borderId="9" xfId="0" applyFont="1" applyFill="1" applyBorder="1"/>
    <xf numFmtId="0" fontId="4" fillId="6" borderId="9" xfId="1" applyFont="1" applyFill="1" applyBorder="1"/>
    <xf numFmtId="1" fontId="4" fillId="6" borderId="9" xfId="1" applyNumberFormat="1" applyFont="1" applyFill="1" applyBorder="1"/>
    <xf numFmtId="0" fontId="6" fillId="9" borderId="0" xfId="0" applyFont="1" applyFill="1"/>
    <xf numFmtId="0" fontId="0" fillId="0" borderId="0" xfId="0" applyProtection="1"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 wrapText="1"/>
      <protection hidden="1"/>
    </xf>
    <xf numFmtId="0" fontId="0" fillId="0" borderId="9" xfId="0" applyFill="1" applyBorder="1" applyAlignment="1" applyProtection="1">
      <alignment horizontal="center" vertical="center"/>
      <protection hidden="1"/>
    </xf>
    <xf numFmtId="0" fontId="0" fillId="0" borderId="0" xfId="0" applyBorder="1" applyProtection="1"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0" borderId="9" xfId="0" applyBorder="1" applyProtection="1">
      <protection hidden="1"/>
    </xf>
    <xf numFmtId="0" fontId="10" fillId="0" borderId="9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/>
    <xf numFmtId="0" fontId="0" fillId="0" borderId="12" xfId="0" applyBorder="1" applyAlignment="1" applyProtection="1">
      <alignment horizontal="center" vertical="center"/>
      <protection hidden="1"/>
    </xf>
    <xf numFmtId="0" fontId="12" fillId="10" borderId="0" xfId="3"/>
    <xf numFmtId="3" fontId="0" fillId="0" borderId="0" xfId="0" applyNumberFormat="1"/>
    <xf numFmtId="0" fontId="0" fillId="16" borderId="0" xfId="0" applyFill="1"/>
    <xf numFmtId="0" fontId="0" fillId="0" borderId="15" xfId="0" applyBorder="1"/>
    <xf numFmtId="169" fontId="0" fillId="0" borderId="9" xfId="0" applyNumberFormat="1" applyBorder="1" applyAlignment="1" applyProtection="1">
      <alignment horizontal="center" vertical="center"/>
      <protection hidden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2" xfId="0" applyBorder="1"/>
    <xf numFmtId="0" fontId="3" fillId="6" borderId="16" xfId="1" applyFont="1" applyFill="1" applyBorder="1"/>
    <xf numFmtId="0" fontId="3" fillId="6" borderId="17" xfId="1" applyFont="1" applyFill="1" applyBorder="1"/>
    <xf numFmtId="1" fontId="3" fillId="6" borderId="17" xfId="1" applyNumberFormat="1" applyFont="1" applyFill="1" applyBorder="1"/>
    <xf numFmtId="1" fontId="1" fillId="2" borderId="17" xfId="1" applyNumberFormat="1" applyBorder="1"/>
    <xf numFmtId="0" fontId="0" fillId="0" borderId="18" xfId="0" applyBorder="1"/>
    <xf numFmtId="0" fontId="0" fillId="0" borderId="9" xfId="0" quotePrefix="1" applyBorder="1" applyAlignment="1" applyProtection="1">
      <alignment horizontal="center" vertical="center"/>
      <protection hidden="1"/>
    </xf>
    <xf numFmtId="1" fontId="0" fillId="0" borderId="0" xfId="0" applyNumberFormat="1"/>
    <xf numFmtId="1" fontId="3" fillId="6" borderId="17" xfId="1" quotePrefix="1" applyNumberFormat="1" applyFont="1" applyFill="1" applyBorder="1"/>
    <xf numFmtId="0" fontId="3" fillId="6" borderId="0" xfId="1" applyFont="1" applyFill="1" applyBorder="1"/>
    <xf numFmtId="169" fontId="0" fillId="18" borderId="9" xfId="0" applyNumberFormat="1" applyFill="1" applyBorder="1" applyAlignment="1" applyProtection="1">
      <alignment horizontal="center" vertical="center"/>
      <protection locked="0" hidden="1"/>
    </xf>
    <xf numFmtId="0" fontId="5" fillId="18" borderId="12" xfId="0" applyFont="1" applyFill="1" applyBorder="1" applyAlignment="1" applyProtection="1">
      <alignment horizontal="center" vertical="center"/>
      <protection locked="0" hidden="1"/>
    </xf>
    <xf numFmtId="169" fontId="5" fillId="18" borderId="9" xfId="0" applyNumberFormat="1" applyFont="1" applyFill="1" applyBorder="1" applyAlignment="1" applyProtection="1">
      <alignment horizontal="center" vertical="center"/>
      <protection locked="0" hidden="1"/>
    </xf>
    <xf numFmtId="164" fontId="22" fillId="0" borderId="9" xfId="0" applyNumberFormat="1" applyFont="1" applyBorder="1" applyAlignment="1" applyProtection="1">
      <alignment horizontal="center" vertical="center"/>
      <protection hidden="1"/>
    </xf>
    <xf numFmtId="164" fontId="23" fillId="0" borderId="9" xfId="0" applyNumberFormat="1" applyFont="1" applyBorder="1" applyAlignment="1" applyProtection="1">
      <alignment horizontal="center" vertical="center"/>
      <protection hidden="1"/>
    </xf>
    <xf numFmtId="10" fontId="22" fillId="0" borderId="9" xfId="0" applyNumberFormat="1" applyFont="1" applyBorder="1" applyAlignment="1" applyProtection="1">
      <alignment horizontal="center" vertical="center"/>
      <protection hidden="1"/>
    </xf>
    <xf numFmtId="0" fontId="24" fillId="18" borderId="9" xfId="0" applyFont="1" applyFill="1" applyBorder="1" applyProtection="1">
      <protection locked="0" hidden="1"/>
    </xf>
    <xf numFmtId="0" fontId="22" fillId="0" borderId="9" xfId="0" applyFont="1" applyBorder="1" applyAlignment="1" applyProtection="1">
      <alignment horizontal="center"/>
      <protection hidden="1"/>
    </xf>
    <xf numFmtId="0" fontId="0" fillId="19" borderId="0" xfId="0" applyFill="1"/>
    <xf numFmtId="0" fontId="0" fillId="0" borderId="0" xfId="0" applyAlignment="1" applyProtection="1">
      <alignment horizontal="center" vertical="center"/>
      <protection hidden="1"/>
    </xf>
    <xf numFmtId="164" fontId="0" fillId="0" borderId="0" xfId="0" applyNumberFormat="1"/>
    <xf numFmtId="0" fontId="0" fillId="0" borderId="19" xfId="0" applyBorder="1" applyAlignment="1" applyProtection="1">
      <alignment horizontal="center" vertical="center"/>
      <protection hidden="1"/>
    </xf>
    <xf numFmtId="0" fontId="27" fillId="0" borderId="22" xfId="0" applyFont="1" applyBorder="1" applyAlignment="1" applyProtection="1">
      <alignment horizontal="center" vertical="center"/>
      <protection hidden="1"/>
    </xf>
    <xf numFmtId="4" fontId="5" fillId="18" borderId="9" xfId="0" applyNumberFormat="1" applyFont="1" applyFill="1" applyBorder="1" applyAlignment="1" applyProtection="1">
      <alignment horizontal="center" vertical="center"/>
      <protection locked="0" hidden="1"/>
    </xf>
    <xf numFmtId="0" fontId="0" fillId="0" borderId="11" xfId="0" applyBorder="1" applyAlignment="1" applyProtection="1">
      <alignment horizontal="center" vertical="center"/>
      <protection hidden="1"/>
    </xf>
    <xf numFmtId="0" fontId="5" fillId="7" borderId="9" xfId="0" applyFont="1" applyFill="1" applyBorder="1"/>
    <xf numFmtId="0" fontId="0" fillId="0" borderId="9" xfId="0" applyBorder="1"/>
    <xf numFmtId="0" fontId="30" fillId="5" borderId="9" xfId="0" applyFont="1" applyFill="1" applyBorder="1"/>
    <xf numFmtId="2" fontId="5" fillId="5" borderId="9" xfId="0" applyNumberFormat="1" applyFont="1" applyFill="1" applyBorder="1"/>
    <xf numFmtId="2" fontId="5" fillId="7" borderId="9" xfId="0" applyNumberFormat="1" applyFont="1" applyFill="1" applyBorder="1"/>
    <xf numFmtId="0" fontId="30" fillId="5" borderId="9" xfId="0" applyFont="1" applyFill="1" applyBorder="1" applyAlignment="1">
      <alignment vertical="center"/>
    </xf>
    <xf numFmtId="0" fontId="31" fillId="0" borderId="9" xfId="0" applyFont="1" applyFill="1" applyBorder="1"/>
    <xf numFmtId="0" fontId="30" fillId="7" borderId="9" xfId="0" applyFont="1" applyFill="1" applyBorder="1"/>
    <xf numFmtId="0" fontId="31" fillId="0" borderId="9" xfId="0" applyFont="1" applyBorder="1" applyAlignment="1">
      <alignment vertical="center" wrapText="1"/>
    </xf>
    <xf numFmtId="0" fontId="31" fillId="0" borderId="9" xfId="0" applyFont="1" applyBorder="1"/>
    <xf numFmtId="0" fontId="32" fillId="0" borderId="9" xfId="0" applyFont="1" applyBorder="1" applyAlignment="1">
      <alignment horizontal="left" vertical="center" wrapText="1"/>
    </xf>
    <xf numFmtId="0" fontId="5" fillId="5" borderId="9" xfId="0" applyFont="1" applyFill="1" applyBorder="1"/>
    <xf numFmtId="0" fontId="0" fillId="0" borderId="11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5" xfId="0" applyFill="1" applyBorder="1"/>
    <xf numFmtId="0" fontId="0" fillId="0" borderId="20" xfId="0" applyFill="1" applyBorder="1"/>
    <xf numFmtId="0" fontId="0" fillId="0" borderId="26" xfId="0" applyBorder="1"/>
    <xf numFmtId="0" fontId="0" fillId="0" borderId="9" xfId="0" applyBorder="1" applyAlignment="1" applyProtection="1">
      <alignment horizontal="center" vertical="center"/>
      <protection hidden="1"/>
    </xf>
    <xf numFmtId="164" fontId="23" fillId="5" borderId="9" xfId="0" applyNumberFormat="1" applyFont="1" applyFill="1" applyBorder="1" applyAlignment="1" applyProtection="1">
      <alignment horizontal="center" vertical="center"/>
      <protection hidden="1"/>
    </xf>
    <xf numFmtId="164" fontId="29" fillId="0" borderId="9" xfId="0" applyNumberFormat="1" applyFont="1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10" fillId="5" borderId="20" xfId="0" applyNumberFormat="1" applyFont="1" applyFill="1" applyBorder="1" applyAlignment="1" applyProtection="1">
      <alignment horizontal="center" vertical="center" wrapText="1"/>
      <protection hidden="1"/>
    </xf>
    <xf numFmtId="0" fontId="25" fillId="5" borderId="22" xfId="0" applyNumberFormat="1" applyFont="1" applyFill="1" applyBorder="1" applyAlignment="1" applyProtection="1">
      <alignment horizontal="center" vertical="center" wrapText="1"/>
      <protection hidden="1"/>
    </xf>
    <xf numFmtId="0" fontId="10" fillId="5" borderId="22" xfId="0" applyFont="1" applyFill="1" applyBorder="1" applyAlignment="1" applyProtection="1">
      <alignment horizontal="center"/>
      <protection hidden="1"/>
    </xf>
    <xf numFmtId="0" fontId="33" fillId="5" borderId="19" xfId="0" applyFont="1" applyFill="1" applyBorder="1" applyAlignment="1" applyProtection="1">
      <alignment horizontal="center"/>
      <protection hidden="1"/>
    </xf>
    <xf numFmtId="0" fontId="34" fillId="5" borderId="23" xfId="0" applyFont="1" applyFill="1" applyBorder="1" applyAlignment="1" applyProtection="1">
      <alignment horizontal="center" vertical="center"/>
      <protection hidden="1"/>
    </xf>
    <xf numFmtId="0" fontId="34" fillId="5" borderId="19" xfId="0" applyFont="1" applyFill="1" applyBorder="1" applyAlignment="1" applyProtection="1">
      <alignment horizontal="center"/>
      <protection hidden="1"/>
    </xf>
    <xf numFmtId="7" fontId="22" fillId="5" borderId="9" xfId="0" applyNumberFormat="1" applyFont="1" applyFill="1" applyBorder="1" applyAlignment="1" applyProtection="1">
      <alignment horizontal="center" vertical="center"/>
      <protection hidden="1"/>
    </xf>
    <xf numFmtId="7" fontId="22" fillId="0" borderId="9" xfId="0" applyNumberFormat="1" applyFont="1" applyBorder="1" applyAlignment="1" applyProtection="1">
      <alignment horizontal="center" vertical="center"/>
      <protection hidden="1"/>
    </xf>
    <xf numFmtId="4" fontId="26" fillId="0" borderId="9" xfId="0" applyNumberFormat="1" applyFont="1" applyBorder="1" applyAlignment="1" applyProtection="1">
      <alignment horizontal="center" vertical="center"/>
      <protection hidden="1"/>
    </xf>
    <xf numFmtId="4" fontId="0" fillId="18" borderId="22" xfId="0" applyNumberFormat="1" applyFill="1" applyBorder="1" applyAlignment="1" applyProtection="1">
      <alignment horizontal="center" vertical="center"/>
      <protection locked="0" hidden="1"/>
    </xf>
    <xf numFmtId="2" fontId="0" fillId="0" borderId="0" xfId="0" applyNumberFormat="1"/>
    <xf numFmtId="0" fontId="35" fillId="0" borderId="0" xfId="0" applyFont="1" applyAlignment="1" applyProtection="1">
      <alignment horizontal="center" vertical="center"/>
      <protection hidden="1"/>
    </xf>
    <xf numFmtId="4" fontId="27" fillId="0" borderId="22" xfId="0" applyNumberFormat="1" applyFont="1" applyBorder="1" applyAlignment="1" applyProtection="1">
      <alignment horizontal="center" vertical="center"/>
      <protection hidden="1"/>
    </xf>
    <xf numFmtId="0" fontId="5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21" fillId="7" borderId="0" xfId="0" applyFont="1" applyFill="1" applyBorder="1"/>
    <xf numFmtId="0" fontId="21" fillId="7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36" fillId="19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6" fillId="0" borderId="10" xfId="0" applyFont="1" applyBorder="1" applyAlignment="1" applyProtection="1">
      <alignment horizontal="center" vertical="center" wrapText="1"/>
      <protection hidden="1"/>
    </xf>
    <xf numFmtId="0" fontId="6" fillId="0" borderId="11" xfId="0" applyFont="1" applyBorder="1" applyAlignment="1" applyProtection="1">
      <alignment horizontal="center" vertical="center" wrapText="1"/>
      <protection hidden="1"/>
    </xf>
    <xf numFmtId="165" fontId="22" fillId="0" borderId="10" xfId="0" applyNumberFormat="1" applyFont="1" applyBorder="1" applyAlignment="1" applyProtection="1">
      <alignment horizontal="center"/>
      <protection hidden="1"/>
    </xf>
    <xf numFmtId="165" fontId="22" fillId="0" borderId="11" xfId="0" applyNumberFormat="1" applyFont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10" fontId="22" fillId="5" borderId="9" xfId="0" applyNumberFormat="1" applyFont="1" applyFill="1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24" fillId="17" borderId="10" xfId="0" applyFont="1" applyFill="1" applyBorder="1" applyAlignment="1" applyProtection="1">
      <alignment horizontal="center" wrapText="1"/>
      <protection hidden="1"/>
    </xf>
    <xf numFmtId="0" fontId="24" fillId="17" borderId="12" xfId="0" applyFont="1" applyFill="1" applyBorder="1" applyAlignment="1" applyProtection="1">
      <alignment horizontal="center" wrapText="1"/>
      <protection hidden="1"/>
    </xf>
    <xf numFmtId="0" fontId="24" fillId="17" borderId="11" xfId="0" applyFont="1" applyFill="1" applyBorder="1" applyAlignment="1" applyProtection="1">
      <alignment horizontal="center" wrapText="1"/>
      <protection hidden="1"/>
    </xf>
    <xf numFmtId="165" fontId="8" fillId="0" borderId="10" xfId="0" applyNumberFormat="1" applyFont="1" applyBorder="1" applyAlignment="1" applyProtection="1">
      <alignment horizontal="center"/>
      <protection hidden="1"/>
    </xf>
    <xf numFmtId="165" fontId="8" fillId="0" borderId="11" xfId="0" applyNumberFormat="1" applyFont="1" applyBorder="1" applyAlignment="1" applyProtection="1">
      <alignment horizontal="center"/>
      <protection hidden="1"/>
    </xf>
    <xf numFmtId="165" fontId="9" fillId="0" borderId="10" xfId="0" applyNumberFormat="1" applyFont="1" applyBorder="1" applyAlignment="1" applyProtection="1">
      <alignment horizontal="center"/>
      <protection hidden="1"/>
    </xf>
    <xf numFmtId="165" fontId="9" fillId="0" borderId="11" xfId="0" applyNumberFormat="1" applyFont="1" applyBorder="1" applyAlignment="1" applyProtection="1">
      <alignment horizontal="center"/>
      <protection hidden="1"/>
    </xf>
    <xf numFmtId="165" fontId="0" fillId="0" borderId="10" xfId="0" applyNumberFormat="1" applyBorder="1" applyAlignment="1" applyProtection="1">
      <alignment horizontal="center"/>
      <protection hidden="1"/>
    </xf>
    <xf numFmtId="165" fontId="0" fillId="0" borderId="11" xfId="0" applyNumberFormat="1" applyBorder="1" applyAlignment="1" applyProtection="1">
      <alignment horizontal="center"/>
      <protection hidden="1"/>
    </xf>
    <xf numFmtId="165" fontId="28" fillId="0" borderId="10" xfId="0" applyNumberFormat="1" applyFont="1" applyBorder="1" applyAlignment="1" applyProtection="1">
      <alignment horizontal="center"/>
      <protection hidden="1"/>
    </xf>
    <xf numFmtId="165" fontId="28" fillId="0" borderId="11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7" fillId="0" borderId="27" xfId="0" applyFont="1" applyBorder="1" applyAlignment="1" applyProtection="1">
      <alignment horizontal="center" vertical="center"/>
      <protection hidden="1"/>
    </xf>
    <xf numFmtId="0" fontId="37" fillId="0" borderId="24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0" fontId="5" fillId="18" borderId="0" xfId="0" applyFont="1" applyFill="1" applyAlignment="1" applyProtection="1">
      <alignment horizontal="center" vertical="center"/>
      <protection hidden="1"/>
    </xf>
    <xf numFmtId="0" fontId="38" fillId="18" borderId="0" xfId="0" applyFont="1" applyFill="1" applyAlignment="1" applyProtection="1">
      <alignment horizontal="center" vertical="center"/>
      <protection hidden="1"/>
    </xf>
    <xf numFmtId="2" fontId="39" fillId="0" borderId="0" xfId="0" applyNumberFormat="1" applyFont="1" applyAlignment="1" applyProtection="1">
      <alignment horizontal="center" vertical="center"/>
      <protection hidden="1"/>
    </xf>
  </cellXfs>
  <cellStyles count="25">
    <cellStyle name="0,0_x000d__x000a_NA_x000d__x000a_" xfId="19" xr:uid="{B33BD660-6730-49FE-9763-9E91A5A16E48}"/>
    <cellStyle name="A4 Small 210 x 297 mm" xfId="20" xr:uid="{1B4D044B-F93D-4EFC-AA7F-6B5E7B054ABC}"/>
    <cellStyle name="A4 Small 210 x 297 mm 2" xfId="21" xr:uid="{638D66B7-F5AD-4181-8260-64EB47D7E920}"/>
    <cellStyle name="Bez tytułu1" xfId="3" xr:uid="{B14C09EB-779A-49B2-9334-384E29A4DC05}"/>
    <cellStyle name="Dobry" xfId="1" builtinId="26" customBuiltin="1"/>
    <cellStyle name="Euro" xfId="22" xr:uid="{AD425139-65BD-4E43-96BB-D1933534D841}"/>
    <cellStyle name="Excel_BuiltIn_Dane wejściowe" xfId="4" xr:uid="{EACC6471-FDF5-4651-81F5-6494B75AB011}"/>
    <cellStyle name="Heading" xfId="5" xr:uid="{9B897C3A-2E8D-4575-B550-AE696EAE65FD}"/>
    <cellStyle name="Heading1" xfId="6" xr:uid="{BE0A160C-D668-44FA-A40A-925549169DA8}"/>
    <cellStyle name="Hiperłącze 2" xfId="18" xr:uid="{39A2534B-EEF6-430F-B694-B37F4AF935C5}"/>
    <cellStyle name="Normalny" xfId="0" builtinId="0" customBuiltin="1"/>
    <cellStyle name="Normalny 2" xfId="7" xr:uid="{F48CA928-6D2F-4FBA-8A30-39A848E9E2BA}"/>
    <cellStyle name="Normalny 3" xfId="15" xr:uid="{5B56D818-C891-4286-9D01-4A81AFCF46DB}"/>
    <cellStyle name="Normalny 4" xfId="2" xr:uid="{88A8B4BC-1DBF-446F-97F2-C5391E6A42C4}"/>
    <cellStyle name="procent32" xfId="8" xr:uid="{34F57A9B-8387-4736-88B2-82A9B0431080}"/>
    <cellStyle name="procent34" xfId="9" xr:uid="{DEEE3AAC-6CC8-4A32-B4EC-6BBA66A96C01}"/>
    <cellStyle name="procent35" xfId="10" xr:uid="{6278E95B-8911-44B0-81A6-B3EE93C7C349}"/>
    <cellStyle name="procent40" xfId="11" xr:uid="{08E49526-D792-4EC0-A276-D60075059630}"/>
    <cellStyle name="procent43" xfId="12" xr:uid="{09CED64B-57B1-4108-800C-4EA27E5D64A1}"/>
    <cellStyle name="Procentowy 2" xfId="17" xr:uid="{387D3681-E483-46B6-A0FF-BFB38D8D84C9}"/>
    <cellStyle name="Procentowy 3" xfId="23" xr:uid="{6DF7958C-E31C-4E9A-AB64-C2C5DBD3163C}"/>
    <cellStyle name="Result" xfId="13" xr:uid="{091797C5-D295-48E4-B5CA-2399E3F9EEC7}"/>
    <cellStyle name="Result2" xfId="14" xr:uid="{DA6D3B06-0F71-4567-8E0A-7440D247EC96}"/>
    <cellStyle name="Styl 1" xfId="24" xr:uid="{0657F018-0E20-4CA1-A174-D0AA3D084EBA}"/>
    <cellStyle name="Walutowy 2" xfId="16" xr:uid="{4C5AD2A7-3231-48E9-B07C-6F46F754083F}"/>
  </cellStyles>
  <dxfs count="0"/>
  <tableStyles count="0" defaultTableStyle="TableStyleMedium2" defaultPivotStyle="PivotStyleLight16"/>
  <colors>
    <mruColors>
      <color rgb="FFFFD260"/>
      <color rgb="FF5AA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calcChain" Target="calcChain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customXml" Target="../customXml/item3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customXml" Target="../customXml/item2.xml"/><Relationship Id="rId10" Type="http://purl.oclc.org/ooxml/officeDocument/relationships/worksheet" Target="worksheets/sheet10.xml"/><Relationship Id="rId19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customXml" Target="../customXml/item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l-PL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cena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trendline>
            <c:spPr>
              <a:ln w="19046" cap="rnd">
                <a:solidFill>
                  <a:srgbClr val="4472C4"/>
                </a:solidFill>
                <a:custDash>
                  <a:ds d="100%" sp="100%"/>
                </a:custDash>
                <a:round/>
              </a:ln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</c:spPr>
              <c:txPr>
                <a:bodyPr lIns="0" tIns="0" rIns="0" bIns="0"/>
                <a:lstStyle/>
                <a:p>
                  <a:pPr marL="0" marR="0" indent="0" algn="ctr" defTabSz="914400" fontAlgn="auto" hangingPunct="1">
                    <a:lnSpc>
                      <a:spcPct val="100%"/>
                    </a:lnSpc>
                    <a:spcBef>
                      <a:spcPts val="0"/>
                    </a:spcBef>
                    <a:spcAft>
                      <a:spcPts val="0"/>
                    </a:spcAft>
                    <a:tabLst/>
                    <a:defRPr sz="900" b="0" i="0" u="none" strike="noStrike" kern="1200" baseline="0%">
                      <a:solidFill>
                        <a:srgbClr val="595959"/>
                      </a:solidFill>
                      <a:latin typeface="Calibri"/>
                    </a:defRPr>
                  </a:pPr>
                  <a:endParaRPr lang="pl-PL"/>
                </a:p>
              </c:txPr>
            </c:trendlineLbl>
          </c:trendline>
          <c:cat>
            <c:numRef>
              <c:f>'kalkulator solaredge'!$B$3:$B$739</c:f>
              <c:numCache>
                <c:formatCode>General</c:formatCode>
                <c:ptCount val="73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10</c:v>
                </c:pt>
                <c:pt idx="10">
                  <c:v>13</c:v>
                </c:pt>
              </c:numCache>
            </c:numRef>
          </c:cat>
          <c:val>
            <c:numRef>
              <c:f>'kalkulator solaredge'!$P$3:$P$40</c:f>
              <c:numCache>
                <c:formatCode>0</c:formatCode>
                <c:ptCount val="38"/>
                <c:pt idx="0">
                  <c:v>11360</c:v>
                </c:pt>
                <c:pt idx="1">
                  <c:v>13140</c:v>
                </c:pt>
                <c:pt idx="2">
                  <c:v>14920</c:v>
                </c:pt>
                <c:pt idx="3">
                  <c:v>16110</c:v>
                </c:pt>
                <c:pt idx="4">
                  <c:v>16900</c:v>
                </c:pt>
                <c:pt idx="5">
                  <c:v>18260</c:v>
                </c:pt>
                <c:pt idx="6">
                  <c:v>19050</c:v>
                </c:pt>
                <c:pt idx="7">
                  <c:v>19524.2110967234</c:v>
                </c:pt>
                <c:pt idx="10">
                  <c:v>26383.5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6-4854-83B0-58630DA46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969216"/>
        <c:axId val="383968888"/>
      </c:lineChart>
      <c:valAx>
        <c:axId val="383968888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minorGridlines>
          <c:spPr>
            <a:ln w="9528" cap="flat">
              <a:solidFill>
                <a:srgbClr val="F2F2F2"/>
              </a:solidFill>
              <a:prstDash val="solid"/>
              <a:round/>
            </a:ln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383969216"/>
        <c:crosses val="autoZero"/>
        <c:crossBetween val="between"/>
        <c:majorUnit val="10000"/>
        <c:minorUnit val="1000"/>
      </c:valAx>
      <c:catAx>
        <c:axId val="3839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38396888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l-PL" sz="1000" b="0" i="0" u="none" strike="noStrike" kern="1200" baseline="0%">
          <a:solidFill>
            <a:srgbClr val="000000"/>
          </a:solidFill>
          <a:latin typeface="Calibri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31" fmlaLink="Licznik!$B$6" fmlaRange="Licznik!$B$4:$B$5" sel="2" val="0"/>
</file>

<file path=xl/ctrlProps/ctrlProp2.xml><?xml version="1.0" encoding="utf-8"?>
<formControlPr xmlns="http://schemas.microsoft.com/office/spreadsheetml/2009/9/main" objectType="Drop" dropLines="25" dropStyle="combo" dx="31" fmlaLink="Panele!$J$3" fmlaRange="Panele!$C$3:$C$13" sel="9" val="0"/>
</file>

<file path=xl/ctrlProps/ctrlProp3.xml><?xml version="1.0" encoding="utf-8"?>
<formControlPr xmlns="http://schemas.microsoft.com/office/spreadsheetml/2009/9/main" objectType="Drop" dropStyle="combo" dx="31" fmlaLink="Konstrukcja!$B$11" fmlaRange="Konstrukcja!$A$2:$A$7" sel="2" val="0"/>
</file>

<file path=xl/ctrlProps/ctrlProp4.xml><?xml version="1.0" encoding="utf-8"?>
<formControlPr xmlns="http://schemas.microsoft.com/office/spreadsheetml/2009/9/main" objectType="Drop" dropStyle="combo" dx="31" fmlaLink="inne!$B$7" fmlaRange="inne!$B$4:$B$6" sel="1" val="0"/>
</file>

<file path=xl/ctrlProps/ctrlProp5.xml><?xml version="1.0" encoding="utf-8"?>
<formControlPr xmlns="http://schemas.microsoft.com/office/spreadsheetml/2009/9/main" objectType="Drop" dropStyle="combo" dx="31" fmlaLink="Konstrukcja!$B$13" fmlaRange="Konstrukcja!$F$1:$F$6" sel="3" val="0"/>
</file>

<file path=xl/ctrlProps/ctrlProp6.xml><?xml version="1.0" encoding="utf-8"?>
<formControlPr xmlns="http://schemas.microsoft.com/office/spreadsheetml/2009/9/main" objectType="Drop" dropStyle="combo" dx="31" fmlaLink="inne!$B$26" fmlaRange="inne!$B$24:$B$25" sel="2" val="0"/>
</file>

<file path=xl/ctrlProps/ctrlProp7.xml><?xml version="1.0" encoding="utf-8"?>
<formControlPr xmlns="http://schemas.microsoft.com/office/spreadsheetml/2009/9/main" objectType="Drop" dropLines="6" dropStyle="combo" dx="31" fmlaLink="Akumulator!$C$4" fmlaRange="Akumulator!$A$3:$A$7" sel="1" val="0"/>
</file>

<file path=xl/ctrlProps/ctrlProp8.xml><?xml version="1.0" encoding="utf-8"?>
<formControlPr xmlns="http://schemas.microsoft.com/office/spreadsheetml/2009/9/main" objectType="Drop" dropLines="7" dropStyle="combo" dx="31" fmlaLink="ładowarka!$D$2" fmlaRange="ładowarka!$A$2:$A$7" sel="1" val="0"/>
</file>

<file path=xl/ctrlProps/ctrlProp9.xml><?xml version="1.0" encoding="utf-8"?>
<formControlPr xmlns="http://schemas.microsoft.com/office/spreadsheetml/2009/9/main" objectType="Drop" dropLines="3" dropStyle="combo" dx="31" fmlaLink="Promocje!$F$1" fmlaRange="Promocje!$B$1:$B$3" sel="1" val="0"/>
</file>

<file path=xl/ctrlProps/ctrlProp10.xml><?xml version="1.0" encoding="utf-8"?>
<formControlPr xmlns="http://schemas.microsoft.com/office/spreadsheetml/2009/9/main" objectType="Drop" dropLines="2" dropStyle="combo" dx="31" fmlaLink="Licznik!$B$6" fmlaRange="Licznik!$B$4:$B$5" sel="2" val="0"/>
</file>

<file path=xl/ctrlProps/ctrlProp11.xml><?xml version="1.0" encoding="utf-8"?>
<formControlPr xmlns="http://schemas.microsoft.com/office/spreadsheetml/2009/9/main" objectType="Drop" dropStyle="combo" dx="31" fmlaLink="Konstrukcja!$B$13" fmlaRange="Konstrukcja!$F$1:$F$8" sel="3" val="0"/>
</file>

<file path=xl/ctrlProps/ctrlProp12.xml><?xml version="1.0" encoding="utf-8"?>
<formControlPr xmlns="http://schemas.microsoft.com/office/spreadsheetml/2009/9/main" objectType="Drop" dropStyle="combo" dx="31" fmlaLink="inne!$B$26" fmlaRange="inne!$B$24:$B$25" sel="2" val="0"/>
</file>

<file path=xl/ctrlProps/ctrlProp13.xml><?xml version="1.0" encoding="utf-8"?>
<formControlPr xmlns="http://schemas.microsoft.com/office/spreadsheetml/2009/9/main" objectType="Drop" dropLines="4" dropStyle="combo" dx="31" fmlaLink="Akumulator!$C$4" fmlaRange="Akumulator!$A$3:$A$5" sel="1" val="0"/>
</file>

<file path=xl/ctrlProps/ctrlProp14.xml><?xml version="1.0" encoding="utf-8"?>
<formControlPr xmlns="http://schemas.microsoft.com/office/spreadsheetml/2009/9/main" objectType="Drop" dropLines="7" dropStyle="combo" dx="31" fmlaLink="ładowarka!$D$2" fmlaRange="ładowarka!$A$2:$A$7" sel="1" val="0"/>
</file>

<file path=xl/ctrlProps/ctrlProp15.xml><?xml version="1.0" encoding="utf-8"?>
<formControlPr xmlns="http://schemas.microsoft.com/office/spreadsheetml/2009/9/main" objectType="Drop" dropLines="3" dropStyle="combo" dx="31" fmlaLink="Promocje!$F$1" fmlaRange="Promocje!$B$1:$B$3" sel="1" val="0"/>
</file>

<file path=xl/ctrlProps/ctrlProp16.xml><?xml version="1.0" encoding="utf-8"?>
<formControlPr xmlns="http://schemas.microsoft.com/office/spreadsheetml/2009/9/main" objectType="Drop" dropLines="2" dropStyle="combo" dx="31" fmlaLink="Licznik!$B$6" fmlaRange="Licznik!$B$4:$B$5" sel="2" val="0"/>
</file>

<file path=xl/ctrlProps/ctrlProp17.xml><?xml version="1.0" encoding="utf-8"?>
<formControlPr xmlns="http://schemas.microsoft.com/office/spreadsheetml/2009/9/main" objectType="Drop" dropLines="25" dropStyle="combo" dx="31" fmlaLink="Panele!$J$20" fmlaRange="Panele!$C$3:$C$24" sel="22" val="0"/>
</file>

<file path=xl/ctrlProps/ctrlProp18.xml><?xml version="1.0" encoding="utf-8"?>
<formControlPr xmlns="http://schemas.microsoft.com/office/spreadsheetml/2009/9/main" objectType="Drop" dropStyle="combo" dx="31" fmlaLink="Konstrukcja!$B$12" fmlaRange="Konstrukcja!$A$2:$A$7" sel="1" val="0"/>
</file>

<file path=xl/ctrlProps/ctrlProp19.xml><?xml version="1.0" encoding="utf-8"?>
<formControlPr xmlns="http://schemas.microsoft.com/office/spreadsheetml/2009/9/main" objectType="Drop" dropStyle="combo" dx="31" fmlaLink="Konstrukcja!$B$14" fmlaRange="Konstrukcja!$F$7:$F$8" sel="1" val="0"/>
</file>

<file path=xl/ctrlProps/ctrlProp20.xml><?xml version="1.0" encoding="utf-8"?>
<formControlPr xmlns="http://schemas.microsoft.com/office/spreadsheetml/2009/9/main" objectType="Drop" dropStyle="combo" dx="31" fmlaLink="inne!$B$26" fmlaRange="inne!$B$24:$B$25" sel="2" val="0"/>
</file>

<file path=xl/ctrlProps/ctrlProp21.xml><?xml version="1.0" encoding="utf-8"?>
<formControlPr xmlns="http://schemas.microsoft.com/office/spreadsheetml/2009/9/main" objectType="Drop" dropLines="6" dropStyle="combo" dx="31" fmlaLink="Akumulator!$C$4" fmlaRange="Akumulator!$A$3:$A$7" sel="1" val="0"/>
</file>

<file path=xl/ctrlProps/ctrlProp22.xml><?xml version="1.0" encoding="utf-8"?>
<formControlPr xmlns="http://schemas.microsoft.com/office/spreadsheetml/2009/9/main" objectType="Drop" dropLines="7" dropStyle="combo" dx="31" fmlaLink="ładowarka!$D$2" fmlaRange="ładowarka!$A$2:$A$7" sel="1" val="0"/>
</file>

<file path=xl/ctrlProps/ctrlProp23.xml><?xml version="1.0" encoding="utf-8"?>
<formControlPr xmlns="http://schemas.microsoft.com/office/spreadsheetml/2009/9/main" objectType="Drop" dropLines="2" dropStyle="combo" dx="31" fmlaLink="Licznik!$B$6" fmlaRange="Licznik!$B$4:$B$5" sel="2" val="0"/>
</file>

<file path=xl/ctrlProps/ctrlProp24.xml><?xml version="1.0" encoding="utf-8"?>
<formControlPr xmlns="http://schemas.microsoft.com/office/spreadsheetml/2009/9/main" objectType="Drop" dropLines="25" dropStyle="combo" dx="31" fmlaLink="Panele!$J$3" fmlaRange="Panele!$C$4:$C$18" sel="9" val="0"/>
</file>

<file path=xl/ctrlProps/ctrlProp25.xml><?xml version="1.0" encoding="utf-8"?>
<formControlPr xmlns="http://schemas.microsoft.com/office/spreadsheetml/2009/9/main" objectType="Drop" dropStyle="combo" dx="31" fmlaLink="Konstrukcja!$B$13" fmlaRange="Konstrukcja!$F$1:$F$8" sel="3" val="0"/>
</file>

<file path=xl/ctrlProps/ctrlProp26.xml><?xml version="1.0" encoding="utf-8"?>
<formControlPr xmlns="http://schemas.microsoft.com/office/spreadsheetml/2009/9/main" objectType="Drop" dropStyle="combo" dx="31" fmlaLink="inne!$B$26" fmlaRange="inne!$B$24:$B$25" sel="2" val="0"/>
</file>

<file path=xl/ctrlProps/ctrlProp27.xml><?xml version="1.0" encoding="utf-8"?>
<formControlPr xmlns="http://schemas.microsoft.com/office/spreadsheetml/2009/9/main" objectType="Drop" dropLines="6" dropStyle="combo" dx="31" fmlaLink="Akumulator!$C$4" fmlaRange="Akumulator!$A$3:$A$7" sel="1" val="0"/>
</file>

<file path=xl/ctrlProps/ctrlProp28.xml><?xml version="1.0" encoding="utf-8"?>
<formControlPr xmlns="http://schemas.microsoft.com/office/spreadsheetml/2009/9/main" objectType="Drop" dropLines="7" dropStyle="combo" dx="31" fmlaLink="ładowarka!$D$2" fmlaRange="ładowarka!$A$2:$A$7" sel="1" val="0"/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jpeg"/><Relationship Id="rId1" Type="http://purl.oclc.org/ooxml/officeDocument/relationships/image" Target="../media/image1.jpeg"/><Relationship Id="rId4" Type="http://purl.oclc.org/ooxml/officeDocument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image" Target="../media/image4.jpeg"/><Relationship Id="rId2" Type="http://purl.oclc.org/ooxml/officeDocument/relationships/image" Target="../media/image3.png"/><Relationship Id="rId1" Type="http://purl.oclc.org/ooxml/officeDocument/relationships/image" Target="../media/image5.jpeg"/><Relationship Id="rId4" Type="http://purl.oclc.org/ooxml/officeDocument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image" Target="../media/image9.jpeg"/><Relationship Id="rId2" Type="http://purl.oclc.org/ooxml/officeDocument/relationships/image" Target="../media/image8.jpeg"/><Relationship Id="rId1" Type="http://purl.oclc.org/ooxml/officeDocument/relationships/image" Target="../media/image7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254000</xdr:colOff>
      <xdr:row>9</xdr:row>
      <xdr:rowOff>38100</xdr:rowOff>
    </xdr:from>
    <xdr:to>
      <xdr:col>2</xdr:col>
      <xdr:colOff>1619250</xdr:colOff>
      <xdr:row>9</xdr:row>
      <xdr:rowOff>304800</xdr:rowOff>
    </xdr:to>
    <xdr:sp macro="" textlink="">
      <xdr:nvSpPr>
        <xdr:cNvPr id="232451" name="Drop Down 3">
          <a:extLst>
            <a:ext uri="{FF2B5EF4-FFF2-40B4-BE49-F238E27FC236}">
              <a16:creationId xmlns:a16="http://schemas.microsoft.com/office/drawing/2014/main" id="{91F9D169-FD16-409F-8981-F0029A4421E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8</xdr:row>
      <xdr:rowOff>38100</xdr:rowOff>
    </xdr:from>
    <xdr:to>
      <xdr:col>2</xdr:col>
      <xdr:colOff>1625600</xdr:colOff>
      <xdr:row>8</xdr:row>
      <xdr:rowOff>304800</xdr:rowOff>
    </xdr:to>
    <xdr:sp macro="" textlink="">
      <xdr:nvSpPr>
        <xdr:cNvPr id="232452" name="Drop Down 4">
          <a:extLst>
            <a:ext uri="{FF2B5EF4-FFF2-40B4-BE49-F238E27FC236}">
              <a16:creationId xmlns:a16="http://schemas.microsoft.com/office/drawing/2014/main" id="{96D08F10-AA4F-48C6-A92F-1A7C27C4FE7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7</xdr:row>
      <xdr:rowOff>69850</xdr:rowOff>
    </xdr:from>
    <xdr:to>
      <xdr:col>2</xdr:col>
      <xdr:colOff>1612900</xdr:colOff>
      <xdr:row>7</xdr:row>
      <xdr:rowOff>336550</xdr:rowOff>
    </xdr:to>
    <xdr:sp macro="" textlink="">
      <xdr:nvSpPr>
        <xdr:cNvPr id="232453" name="Drop Down 5">
          <a:extLst>
            <a:ext uri="{FF2B5EF4-FFF2-40B4-BE49-F238E27FC236}">
              <a16:creationId xmlns:a16="http://schemas.microsoft.com/office/drawing/2014/main" id="{74C370AA-0171-42EE-879C-0096EFC3DBC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6</xdr:row>
      <xdr:rowOff>69850</xdr:rowOff>
    </xdr:from>
    <xdr:to>
      <xdr:col>2</xdr:col>
      <xdr:colOff>1612900</xdr:colOff>
      <xdr:row>6</xdr:row>
      <xdr:rowOff>336550</xdr:rowOff>
    </xdr:to>
    <xdr:sp macro="" textlink="">
      <xdr:nvSpPr>
        <xdr:cNvPr id="232454" name="Drop Down 6">
          <a:extLst>
            <a:ext uri="{FF2B5EF4-FFF2-40B4-BE49-F238E27FC236}">
              <a16:creationId xmlns:a16="http://schemas.microsoft.com/office/drawing/2014/main" id="{A77FB3D0-BEFD-4D00-BE40-7746CECEBEA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234950</xdr:colOff>
      <xdr:row>5</xdr:row>
      <xdr:rowOff>44450</xdr:rowOff>
    </xdr:from>
    <xdr:to>
      <xdr:col>2</xdr:col>
      <xdr:colOff>1600200</xdr:colOff>
      <xdr:row>5</xdr:row>
      <xdr:rowOff>311150</xdr:rowOff>
    </xdr:to>
    <xdr:sp macro="" textlink="">
      <xdr:nvSpPr>
        <xdr:cNvPr id="232455" name="Drop Down 7">
          <a:extLst>
            <a:ext uri="{FF2B5EF4-FFF2-40B4-BE49-F238E27FC236}">
              <a16:creationId xmlns:a16="http://schemas.microsoft.com/office/drawing/2014/main" id="{AE95B28B-9FFC-4AF1-A894-1A59AE9A92E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3</xdr:row>
      <xdr:rowOff>44450</xdr:rowOff>
    </xdr:from>
    <xdr:to>
      <xdr:col>2</xdr:col>
      <xdr:colOff>1606550</xdr:colOff>
      <xdr:row>3</xdr:row>
      <xdr:rowOff>311150</xdr:rowOff>
    </xdr:to>
    <xdr:sp macro="" textlink="">
      <xdr:nvSpPr>
        <xdr:cNvPr id="232456" name="Drop Down 8">
          <a:extLst>
            <a:ext uri="{FF2B5EF4-FFF2-40B4-BE49-F238E27FC236}">
              <a16:creationId xmlns:a16="http://schemas.microsoft.com/office/drawing/2014/main" id="{43C4E376-7D33-423E-A135-C2579247EB1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42</xdr:row>
      <xdr:rowOff>69850</xdr:rowOff>
    </xdr:from>
    <xdr:to>
      <xdr:col>0</xdr:col>
      <xdr:colOff>1855881</xdr:colOff>
      <xdr:row>45</xdr:row>
      <xdr:rowOff>63257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3608AAB-73D3-4EAF-89EA-96EE285C832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23300"/>
          <a:ext cx="1803400" cy="545857"/>
        </a:xfrm>
        <a:prstGeom prst="rect">
          <a:avLst/>
        </a:prstGeom>
      </xdr:spPr>
    </xdr:pic>
    <xdr:clientData/>
  </xdr:twoCellAnchor>
  <xdr:twoCellAnchor editAs="oneCell">
    <xdr:from>
      <xdr:col>0</xdr:col>
      <xdr:colOff>410801</xdr:colOff>
      <xdr:row>20</xdr:row>
      <xdr:rowOff>20917</xdr:rowOff>
    </xdr:from>
    <xdr:to>
      <xdr:col>0</xdr:col>
      <xdr:colOff>1569197</xdr:colOff>
      <xdr:row>20</xdr:row>
      <xdr:rowOff>682219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F2974D9-F90C-4C57-8D50-13D7322E828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801" y="6370917"/>
          <a:ext cx="1158396" cy="661302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</xdr:colOff>
      <xdr:row>10</xdr:row>
      <xdr:rowOff>31750</xdr:rowOff>
    </xdr:from>
    <xdr:to>
      <xdr:col>2</xdr:col>
      <xdr:colOff>1625600</xdr:colOff>
      <xdr:row>10</xdr:row>
      <xdr:rowOff>298450</xdr:rowOff>
    </xdr:to>
    <xdr:sp macro="" textlink="">
      <xdr:nvSpPr>
        <xdr:cNvPr id="232457" name="Drop Down 3">
          <a:extLst>
            <a:ext uri="{FF2B5EF4-FFF2-40B4-BE49-F238E27FC236}">
              <a16:creationId xmlns:a16="http://schemas.microsoft.com/office/drawing/2014/main" id="{791613D0-806D-4098-BE57-01D4BE087CB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11</xdr:row>
      <xdr:rowOff>50800</xdr:rowOff>
    </xdr:from>
    <xdr:to>
      <xdr:col>2</xdr:col>
      <xdr:colOff>1625600</xdr:colOff>
      <xdr:row>11</xdr:row>
      <xdr:rowOff>317500</xdr:rowOff>
    </xdr:to>
    <xdr:sp macro="" textlink="">
      <xdr:nvSpPr>
        <xdr:cNvPr id="232458" name="Drop Down 1034">
          <a:extLst>
            <a:ext uri="{FF2B5EF4-FFF2-40B4-BE49-F238E27FC236}">
              <a16:creationId xmlns:a16="http://schemas.microsoft.com/office/drawing/2014/main" id="{E4381EE1-2C79-4BC6-B9CC-03193DE06B6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28</xdr:row>
      <xdr:rowOff>50800</xdr:rowOff>
    </xdr:from>
    <xdr:to>
      <xdr:col>2</xdr:col>
      <xdr:colOff>1625600</xdr:colOff>
      <xdr:row>28</xdr:row>
      <xdr:rowOff>323850</xdr:rowOff>
    </xdr:to>
    <xdr:sp macro="" textlink="">
      <xdr:nvSpPr>
        <xdr:cNvPr id="232459" name="Drop Down 1034">
          <a:extLst>
            <a:ext uri="{FF2B5EF4-FFF2-40B4-BE49-F238E27FC236}">
              <a16:creationId xmlns:a16="http://schemas.microsoft.com/office/drawing/2014/main" id="{B729FB63-9CCD-4B96-973F-A27C5A6446B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273050</xdr:colOff>
      <xdr:row>20</xdr:row>
      <xdr:rowOff>19052</xdr:rowOff>
    </xdr:from>
    <xdr:to>
      <xdr:col>1</xdr:col>
      <xdr:colOff>1758950</xdr:colOff>
      <xdr:row>21</xdr:row>
      <xdr:rowOff>50802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0BF92D3-6AC5-4B91-B7B0-A8D3DD42F0F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/>
        <a:stretch>
          <a:fillRect/>
        </a:stretch>
      </xdr:blipFill>
      <xdr:spPr>
        <a:xfrm>
          <a:off x="2266950" y="6369052"/>
          <a:ext cx="1485900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387350</xdr:colOff>
      <xdr:row>20</xdr:row>
      <xdr:rowOff>133350</xdr:rowOff>
    </xdr:from>
    <xdr:to>
      <xdr:col>2</xdr:col>
      <xdr:colOff>1606550</xdr:colOff>
      <xdr:row>21</xdr:row>
      <xdr:rowOff>49167</xdr:rowOff>
    </xdr:to>
    <xdr:pic>
      <xdr:nvPicPr>
        <xdr:cNvPr id="15" name="Obraz 14" descr="O producencie SOFAR SOLAR">
          <a:extLst>
            <a:ext uri="{FF2B5EF4-FFF2-40B4-BE49-F238E27FC236}">
              <a16:creationId xmlns:a16="http://schemas.microsoft.com/office/drawing/2014/main" id="{9B24BE55-67C3-49FA-94E4-1A027B2D40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" y="6483350"/>
          <a:ext cx="1219200" cy="627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1</xdr:col>
      <xdr:colOff>254000</xdr:colOff>
      <xdr:row>7</xdr:row>
      <xdr:rowOff>38100</xdr:rowOff>
    </xdr:from>
    <xdr:to>
      <xdr:col>2</xdr:col>
      <xdr:colOff>1587500</xdr:colOff>
      <xdr:row>7</xdr:row>
      <xdr:rowOff>317500</xdr:rowOff>
    </xdr:to>
    <xdr:sp macro="" textlink="">
      <xdr:nvSpPr>
        <xdr:cNvPr id="263169" name="Drop Down 3">
          <a:extLst>
            <a:ext uri="{FF2B5EF4-FFF2-40B4-BE49-F238E27FC236}">
              <a16:creationId xmlns:a16="http://schemas.microsoft.com/office/drawing/2014/main" id="{A91BB9B6-3CEC-4AED-AF66-FFD5067C77E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234950</xdr:colOff>
      <xdr:row>5</xdr:row>
      <xdr:rowOff>44450</xdr:rowOff>
    </xdr:from>
    <xdr:to>
      <xdr:col>2</xdr:col>
      <xdr:colOff>1568450</xdr:colOff>
      <xdr:row>5</xdr:row>
      <xdr:rowOff>304800</xdr:rowOff>
    </xdr:to>
    <xdr:sp macro="" textlink="">
      <xdr:nvSpPr>
        <xdr:cNvPr id="263173" name="Drop Down 7">
          <a:extLst>
            <a:ext uri="{FF2B5EF4-FFF2-40B4-BE49-F238E27FC236}">
              <a16:creationId xmlns:a16="http://schemas.microsoft.com/office/drawing/2014/main" id="{F1DA018A-D974-4904-A8F1-FAE49007450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3</xdr:row>
      <xdr:rowOff>44450</xdr:rowOff>
    </xdr:from>
    <xdr:to>
      <xdr:col>2</xdr:col>
      <xdr:colOff>1574800</xdr:colOff>
      <xdr:row>3</xdr:row>
      <xdr:rowOff>311150</xdr:rowOff>
    </xdr:to>
    <xdr:sp macro="" textlink="">
      <xdr:nvSpPr>
        <xdr:cNvPr id="263174" name="Drop Down 8">
          <a:extLst>
            <a:ext uri="{FF2B5EF4-FFF2-40B4-BE49-F238E27FC236}">
              <a16:creationId xmlns:a16="http://schemas.microsoft.com/office/drawing/2014/main" id="{83144379-E9E8-4E0F-9C6C-4ED47579E12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461601</xdr:colOff>
      <xdr:row>18</xdr:row>
      <xdr:rowOff>97117</xdr:rowOff>
    </xdr:from>
    <xdr:to>
      <xdr:col>0</xdr:col>
      <xdr:colOff>1607297</xdr:colOff>
      <xdr:row>18</xdr:row>
      <xdr:rowOff>692150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CF8F70E-ABE5-4B2D-9025-FCB36083E08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601" y="5145367"/>
          <a:ext cx="1145696" cy="595033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</xdr:colOff>
      <xdr:row>8</xdr:row>
      <xdr:rowOff>31750</xdr:rowOff>
    </xdr:from>
    <xdr:to>
      <xdr:col>2</xdr:col>
      <xdr:colOff>1593850</xdr:colOff>
      <xdr:row>8</xdr:row>
      <xdr:rowOff>304800</xdr:rowOff>
    </xdr:to>
    <xdr:sp macro="" textlink="">
      <xdr:nvSpPr>
        <xdr:cNvPr id="263175" name="Drop Down 7">
          <a:extLst>
            <a:ext uri="{FF2B5EF4-FFF2-40B4-BE49-F238E27FC236}">
              <a16:creationId xmlns:a16="http://schemas.microsoft.com/office/drawing/2014/main" id="{98077703-44E1-472E-8192-A5FE231AB3A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9</xdr:row>
      <xdr:rowOff>50800</xdr:rowOff>
    </xdr:from>
    <xdr:to>
      <xdr:col>2</xdr:col>
      <xdr:colOff>1593850</xdr:colOff>
      <xdr:row>9</xdr:row>
      <xdr:rowOff>292100</xdr:rowOff>
    </xdr:to>
    <xdr:sp macro="" textlink="">
      <xdr:nvSpPr>
        <xdr:cNvPr id="263176" name="Drop Down 1034">
          <a:extLst>
            <a:ext uri="{FF2B5EF4-FFF2-40B4-BE49-F238E27FC236}">
              <a16:creationId xmlns:a16="http://schemas.microsoft.com/office/drawing/2014/main" id="{A3C84938-0B1F-4CCA-8A80-2895F57C547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311150</xdr:colOff>
      <xdr:row>26</xdr:row>
      <xdr:rowOff>69850</xdr:rowOff>
    </xdr:from>
    <xdr:to>
      <xdr:col>2</xdr:col>
      <xdr:colOff>1644650</xdr:colOff>
      <xdr:row>26</xdr:row>
      <xdr:rowOff>311150</xdr:rowOff>
    </xdr:to>
    <xdr:sp macro="" textlink="">
      <xdr:nvSpPr>
        <xdr:cNvPr id="263177" name="Drop Down 9">
          <a:extLst>
            <a:ext uri="{FF2B5EF4-FFF2-40B4-BE49-F238E27FC236}">
              <a16:creationId xmlns:a16="http://schemas.microsoft.com/office/drawing/2014/main" id="{141FB235-9DBE-47FE-977E-61AB7616A4B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8</xdr:row>
      <xdr:rowOff>38100</xdr:rowOff>
    </xdr:from>
    <xdr:to>
      <xdr:col>2</xdr:col>
      <xdr:colOff>1619250</xdr:colOff>
      <xdr:row>8</xdr:row>
      <xdr:rowOff>304800</xdr:rowOff>
    </xdr:to>
    <xdr:sp macro="" textlink="">
      <xdr:nvSpPr>
        <xdr:cNvPr id="263178" name="Drop Down 3">
          <a:extLst>
            <a:ext uri="{FF2B5EF4-FFF2-40B4-BE49-F238E27FC236}">
              <a16:creationId xmlns:a16="http://schemas.microsoft.com/office/drawing/2014/main" id="{23A47121-6BE6-4F6B-A53B-762DB59B89B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7</xdr:row>
      <xdr:rowOff>38100</xdr:rowOff>
    </xdr:from>
    <xdr:to>
      <xdr:col>2</xdr:col>
      <xdr:colOff>1625600</xdr:colOff>
      <xdr:row>7</xdr:row>
      <xdr:rowOff>304800</xdr:rowOff>
    </xdr:to>
    <xdr:sp macro="" textlink="">
      <xdr:nvSpPr>
        <xdr:cNvPr id="263179" name="Drop Down 4">
          <a:extLst>
            <a:ext uri="{FF2B5EF4-FFF2-40B4-BE49-F238E27FC236}">
              <a16:creationId xmlns:a16="http://schemas.microsoft.com/office/drawing/2014/main" id="{244BBF96-6EEF-49FC-9BAE-3D9F2640CCD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241300</xdr:colOff>
      <xdr:row>6</xdr:row>
      <xdr:rowOff>38100</xdr:rowOff>
    </xdr:from>
    <xdr:to>
      <xdr:col>2</xdr:col>
      <xdr:colOff>1600200</xdr:colOff>
      <xdr:row>6</xdr:row>
      <xdr:rowOff>304800</xdr:rowOff>
    </xdr:to>
    <xdr:sp macro="" textlink="">
      <xdr:nvSpPr>
        <xdr:cNvPr id="263180" name="Drop Down 5">
          <a:extLst>
            <a:ext uri="{FF2B5EF4-FFF2-40B4-BE49-F238E27FC236}">
              <a16:creationId xmlns:a16="http://schemas.microsoft.com/office/drawing/2014/main" id="{3A6B122A-C8D7-4BB5-9409-E4FACF8CE51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234950</xdr:colOff>
      <xdr:row>5</xdr:row>
      <xdr:rowOff>44450</xdr:rowOff>
    </xdr:from>
    <xdr:to>
      <xdr:col>2</xdr:col>
      <xdr:colOff>1600200</xdr:colOff>
      <xdr:row>5</xdr:row>
      <xdr:rowOff>311150</xdr:rowOff>
    </xdr:to>
    <xdr:sp macro="" textlink="">
      <xdr:nvSpPr>
        <xdr:cNvPr id="263182" name="Drop Down 7">
          <a:extLst>
            <a:ext uri="{FF2B5EF4-FFF2-40B4-BE49-F238E27FC236}">
              <a16:creationId xmlns:a16="http://schemas.microsoft.com/office/drawing/2014/main" id="{F8E496D1-66BD-44E5-8785-D25EFE41638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3</xdr:row>
      <xdr:rowOff>44450</xdr:rowOff>
    </xdr:from>
    <xdr:to>
      <xdr:col>2</xdr:col>
      <xdr:colOff>1606550</xdr:colOff>
      <xdr:row>3</xdr:row>
      <xdr:rowOff>311150</xdr:rowOff>
    </xdr:to>
    <xdr:sp macro="" textlink="">
      <xdr:nvSpPr>
        <xdr:cNvPr id="263183" name="Drop Down 8">
          <a:extLst>
            <a:ext uri="{FF2B5EF4-FFF2-40B4-BE49-F238E27FC236}">
              <a16:creationId xmlns:a16="http://schemas.microsoft.com/office/drawing/2014/main" id="{CA1B9351-8D87-47DB-B5EC-9626CD882C8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9</xdr:row>
      <xdr:rowOff>31750</xdr:rowOff>
    </xdr:from>
    <xdr:to>
      <xdr:col>2</xdr:col>
      <xdr:colOff>1625600</xdr:colOff>
      <xdr:row>9</xdr:row>
      <xdr:rowOff>298450</xdr:rowOff>
    </xdr:to>
    <xdr:sp macro="" textlink="">
      <xdr:nvSpPr>
        <xdr:cNvPr id="263184" name="Drop Down 1040">
          <a:extLst>
            <a:ext uri="{FF2B5EF4-FFF2-40B4-BE49-F238E27FC236}">
              <a16:creationId xmlns:a16="http://schemas.microsoft.com/office/drawing/2014/main" id="{9DDFE3CB-B969-4CA8-86E4-A3273A20D3D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10</xdr:row>
      <xdr:rowOff>50800</xdr:rowOff>
    </xdr:from>
    <xdr:to>
      <xdr:col>2</xdr:col>
      <xdr:colOff>1625600</xdr:colOff>
      <xdr:row>10</xdr:row>
      <xdr:rowOff>317500</xdr:rowOff>
    </xdr:to>
    <xdr:sp macro="" textlink="">
      <xdr:nvSpPr>
        <xdr:cNvPr id="263185" name="Drop Down 1034">
          <a:extLst>
            <a:ext uri="{FF2B5EF4-FFF2-40B4-BE49-F238E27FC236}">
              <a16:creationId xmlns:a16="http://schemas.microsoft.com/office/drawing/2014/main" id="{07E3CBB5-902B-4FC2-B88A-DC86B69330F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285750</xdr:colOff>
      <xdr:row>18</xdr:row>
      <xdr:rowOff>107952</xdr:rowOff>
    </xdr:from>
    <xdr:to>
      <xdr:col>1</xdr:col>
      <xdr:colOff>1771650</xdr:colOff>
      <xdr:row>18</xdr:row>
      <xdr:rowOff>685800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BDB91E9A-BAB5-4E48-8E4B-2D552CD9B7B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2279650" y="5156202"/>
          <a:ext cx="1485900" cy="577848"/>
        </a:xfrm>
        <a:prstGeom prst="rect">
          <a:avLst/>
        </a:prstGeom>
      </xdr:spPr>
    </xdr:pic>
    <xdr:clientData/>
  </xdr:twoCellAnchor>
  <xdr:twoCellAnchor editAs="oneCell">
    <xdr:from>
      <xdr:col>2</xdr:col>
      <xdr:colOff>387350</xdr:colOff>
      <xdr:row>18</xdr:row>
      <xdr:rowOff>133351</xdr:rowOff>
    </xdr:from>
    <xdr:to>
      <xdr:col>2</xdr:col>
      <xdr:colOff>1606550</xdr:colOff>
      <xdr:row>19</xdr:row>
      <xdr:rowOff>1</xdr:rowOff>
    </xdr:to>
    <xdr:pic>
      <xdr:nvPicPr>
        <xdr:cNvPr id="26" name="Obraz 25" descr="O producencie SOFAR SOLAR">
          <a:extLst>
            <a:ext uri="{FF2B5EF4-FFF2-40B4-BE49-F238E27FC236}">
              <a16:creationId xmlns:a16="http://schemas.microsoft.com/office/drawing/2014/main" id="{8CC5F473-7135-4896-AC26-D382C572020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" y="5549901"/>
          <a:ext cx="121920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</xdr:colOff>
      <xdr:row>25</xdr:row>
      <xdr:rowOff>247650</xdr:rowOff>
    </xdr:from>
    <xdr:to>
      <xdr:col>4</xdr:col>
      <xdr:colOff>114366</xdr:colOff>
      <xdr:row>41</xdr:row>
      <xdr:rowOff>152615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36B356D-5B90-4A09-A1D5-7DDDBDBB1B8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/>
        <a:stretch>
          <a:fillRect/>
        </a:stretch>
      </xdr:blipFill>
      <xdr:spPr>
        <a:xfrm>
          <a:off x="6007100" y="6724650"/>
          <a:ext cx="1282766" cy="41785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19</xdr:col>
      <xdr:colOff>380090</xdr:colOff>
      <xdr:row>52</xdr:row>
      <xdr:rowOff>101596</xdr:rowOff>
    </xdr:from>
    <xdr:ext cx="10695215" cy="453933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62A0EBC-2390-49C2-A834-700B7A048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1</xdr:col>
      <xdr:colOff>254000</xdr:colOff>
      <xdr:row>7</xdr:row>
      <xdr:rowOff>69850</xdr:rowOff>
    </xdr:from>
    <xdr:to>
      <xdr:col>2</xdr:col>
      <xdr:colOff>1670050</xdr:colOff>
      <xdr:row>7</xdr:row>
      <xdr:rowOff>317500</xdr:rowOff>
    </xdr:to>
    <xdr:sp macro="" textlink="">
      <xdr:nvSpPr>
        <xdr:cNvPr id="265217" name="Drop Down 3">
          <a:extLst>
            <a:ext uri="{FF2B5EF4-FFF2-40B4-BE49-F238E27FC236}">
              <a16:creationId xmlns:a16="http://schemas.microsoft.com/office/drawing/2014/main" id="{DB3E8656-3956-47EB-B6F7-D1ED1836E3C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6</xdr:row>
      <xdr:rowOff>69850</xdr:rowOff>
    </xdr:from>
    <xdr:to>
      <xdr:col>2</xdr:col>
      <xdr:colOff>1670050</xdr:colOff>
      <xdr:row>6</xdr:row>
      <xdr:rowOff>317500</xdr:rowOff>
    </xdr:to>
    <xdr:sp macro="" textlink="">
      <xdr:nvSpPr>
        <xdr:cNvPr id="265218" name="Drop Down 4">
          <a:extLst>
            <a:ext uri="{FF2B5EF4-FFF2-40B4-BE49-F238E27FC236}">
              <a16:creationId xmlns:a16="http://schemas.microsoft.com/office/drawing/2014/main" id="{87C3B4A1-3B92-4796-B2A0-7F3FBBBE20F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234950</xdr:colOff>
      <xdr:row>5</xdr:row>
      <xdr:rowOff>44450</xdr:rowOff>
    </xdr:from>
    <xdr:to>
      <xdr:col>2</xdr:col>
      <xdr:colOff>1651000</xdr:colOff>
      <xdr:row>5</xdr:row>
      <xdr:rowOff>298450</xdr:rowOff>
    </xdr:to>
    <xdr:sp macro="" textlink="">
      <xdr:nvSpPr>
        <xdr:cNvPr id="265221" name="Drop Down 7">
          <a:extLst>
            <a:ext uri="{FF2B5EF4-FFF2-40B4-BE49-F238E27FC236}">
              <a16:creationId xmlns:a16="http://schemas.microsoft.com/office/drawing/2014/main" id="{7F641D7F-A628-4949-96BE-FA1D3209097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254000</xdr:colOff>
      <xdr:row>3</xdr:row>
      <xdr:rowOff>69850</xdr:rowOff>
    </xdr:from>
    <xdr:to>
      <xdr:col>2</xdr:col>
      <xdr:colOff>1670050</xdr:colOff>
      <xdr:row>3</xdr:row>
      <xdr:rowOff>317500</xdr:rowOff>
    </xdr:to>
    <xdr:sp macro="" textlink="">
      <xdr:nvSpPr>
        <xdr:cNvPr id="265222" name="Drop Down 8">
          <a:extLst>
            <a:ext uri="{FF2B5EF4-FFF2-40B4-BE49-F238E27FC236}">
              <a16:creationId xmlns:a16="http://schemas.microsoft.com/office/drawing/2014/main" id="{21B1707D-5810-4263-9A6E-9FB84504C62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1555750</xdr:colOff>
      <xdr:row>0</xdr:row>
      <xdr:rowOff>0</xdr:rowOff>
    </xdr:from>
    <xdr:to>
      <xdr:col>2</xdr:col>
      <xdr:colOff>216897</xdr:colOff>
      <xdr:row>1</xdr:row>
      <xdr:rowOff>963295</xdr:rowOff>
    </xdr:to>
    <xdr:pic>
      <xdr:nvPicPr>
        <xdr:cNvPr id="8" name="Picture 1199197631">
          <a:extLst>
            <a:ext uri="{FF2B5EF4-FFF2-40B4-BE49-F238E27FC236}">
              <a16:creationId xmlns:a16="http://schemas.microsoft.com/office/drawing/2014/main" id="{F7A3F396-6177-43BF-908F-4EE2225812AE}"/>
            </a:ext>
          </a:extLst>
        </xdr:cNvPr>
        <xdr:cNvPicPr/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" y="0"/>
          <a:ext cx="2306682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69850</xdr:rowOff>
    </xdr:from>
    <xdr:to>
      <xdr:col>0</xdr:col>
      <xdr:colOff>1783080</xdr:colOff>
      <xdr:row>25</xdr:row>
      <xdr:rowOff>66432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12811401-6AA0-4482-B97F-C335B560F22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14790"/>
          <a:ext cx="1824355" cy="542047"/>
        </a:xfrm>
        <a:prstGeom prst="rect">
          <a:avLst/>
        </a:prstGeom>
      </xdr:spPr>
    </xdr:pic>
    <xdr:clientData/>
  </xdr:twoCellAnchor>
  <xdr:twoCellAnchor editAs="oneCell">
    <xdr:from>
      <xdr:col>2</xdr:col>
      <xdr:colOff>242711</xdr:colOff>
      <xdr:row>21</xdr:row>
      <xdr:rowOff>38100</xdr:rowOff>
    </xdr:from>
    <xdr:to>
      <xdr:col>2</xdr:col>
      <xdr:colOff>1826260</xdr:colOff>
      <xdr:row>26</xdr:row>
      <xdr:rowOff>49212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B12F9A3E-7928-4DFC-8576-4483BC17835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1111" y="6572250"/>
          <a:ext cx="1583549" cy="935037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</xdr:colOff>
      <xdr:row>8</xdr:row>
      <xdr:rowOff>31750</xdr:rowOff>
    </xdr:from>
    <xdr:to>
      <xdr:col>2</xdr:col>
      <xdr:colOff>1676400</xdr:colOff>
      <xdr:row>8</xdr:row>
      <xdr:rowOff>279400</xdr:rowOff>
    </xdr:to>
    <xdr:sp macro="" textlink="">
      <xdr:nvSpPr>
        <xdr:cNvPr id="265223" name="Drop Down 3">
          <a:extLst>
            <a:ext uri="{FF2B5EF4-FFF2-40B4-BE49-F238E27FC236}">
              <a16:creationId xmlns:a16="http://schemas.microsoft.com/office/drawing/2014/main" id="{517CEEE5-C81B-4237-87B6-C7B03F8728F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260350</xdr:colOff>
      <xdr:row>9</xdr:row>
      <xdr:rowOff>50800</xdr:rowOff>
    </xdr:from>
    <xdr:to>
      <xdr:col>2</xdr:col>
      <xdr:colOff>1765300</xdr:colOff>
      <xdr:row>9</xdr:row>
      <xdr:rowOff>317500</xdr:rowOff>
    </xdr:to>
    <xdr:sp macro="" textlink="">
      <xdr:nvSpPr>
        <xdr:cNvPr id="265224" name="Drop Down 1034">
          <a:extLst>
            <a:ext uri="{FF2B5EF4-FFF2-40B4-BE49-F238E27FC236}">
              <a16:creationId xmlns:a16="http://schemas.microsoft.com/office/drawing/2014/main" id="{DA1849DF-432D-458C-9E3E-0A5B3AD657D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13" Type="http://schemas.openxmlformats.org/officeDocument/2006/relationships/ctrlProp" Target="../ctrlProps/ctrlProp1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3.xml"/><Relationship Id="rId12" Type="http://schemas.openxmlformats.org/officeDocument/2006/relationships/ctrlProp" Target="../ctrlProps/ctrlProp18.xml"/><Relationship Id="rId2" Type="http://purl.oclc.org/ooxml/officeDocument/relationships/drawing" Target="../drawings/drawing2.xml"/><Relationship Id="rId16" Type="http://schemas.openxmlformats.org/officeDocument/2006/relationships/ctrlProp" Target="../ctrlProps/ctrlProp22.xml"/><Relationship Id="rId1" Type="http://purl.oclc.org/ooxml/officeDocument/relationships/printerSettings" Target="../printerSettings/printerSettings3.bin"/><Relationship Id="rId6" Type="http://schemas.openxmlformats.org/officeDocument/2006/relationships/ctrlProp" Target="../ctrlProps/ctrlProp12.xml"/><Relationship Id="rId11" Type="http://schemas.openxmlformats.org/officeDocument/2006/relationships/ctrlProp" Target="../ctrlProps/ctrlProp17.xml"/><Relationship Id="rId5" Type="http://schemas.openxmlformats.org/officeDocument/2006/relationships/ctrlProp" Target="../ctrlProps/ctrlProp11.xml"/><Relationship Id="rId15" Type="http://schemas.openxmlformats.org/officeDocument/2006/relationships/ctrlProp" Target="../ctrlProps/ctrlProp21.xml"/><Relationship Id="rId10" Type="http://schemas.openxmlformats.org/officeDocument/2006/relationships/ctrlProp" Target="../ctrlProps/ctrlProp16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Relationship Id="rId14" Type="http://schemas.openxmlformats.org/officeDocument/2006/relationships/ctrlProp" Target="../ctrlProps/ctrlProp20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26.x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5.bin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850B-0522-470A-8AF1-856705191CCF}">
  <sheetPr codeName="Arkusz1"/>
  <dimension ref="A1:L42"/>
  <sheetViews>
    <sheetView topLeftCell="A15" zoomScaleNormal="100" workbookViewId="0">
      <selection activeCell="E28" sqref="E28"/>
    </sheetView>
  </sheetViews>
  <sheetFormatPr defaultColWidth="8.6328125" defaultRowHeight="14.5" x14ac:dyDescent="0.35"/>
  <cols>
    <col min="1" max="3" width="28.54296875" style="22" customWidth="1"/>
    <col min="4" max="6" width="17.08984375" style="22" customWidth="1"/>
    <col min="7" max="16384" width="8.6328125" style="22"/>
  </cols>
  <sheetData>
    <row r="1" spans="1:12" hidden="1" x14ac:dyDescent="0.35"/>
    <row r="2" spans="1:12" ht="21" customHeight="1" x14ac:dyDescent="0.35"/>
    <row r="3" spans="1:12" ht="14.4" hidden="1" customHeight="1" x14ac:dyDescent="0.35"/>
    <row r="4" spans="1:12" ht="29" customHeight="1" x14ac:dyDescent="0.35">
      <c r="A4" s="23" t="s">
        <v>40</v>
      </c>
      <c r="B4" s="127"/>
      <c r="C4" s="128"/>
    </row>
    <row r="5" spans="1:12" ht="29" customHeight="1" x14ac:dyDescent="0.35">
      <c r="A5" s="23" t="s">
        <v>22</v>
      </c>
      <c r="B5" s="73">
        <v>4600</v>
      </c>
      <c r="C5" s="23" t="s">
        <v>49</v>
      </c>
    </row>
    <row r="6" spans="1:12" ht="29" customHeight="1" x14ac:dyDescent="0.35">
      <c r="A6" s="23" t="s">
        <v>38</v>
      </c>
      <c r="B6" s="127"/>
      <c r="C6" s="128"/>
      <c r="L6" s="22">
        <v>1</v>
      </c>
    </row>
    <row r="7" spans="1:12" ht="29" customHeight="1" x14ac:dyDescent="0.35">
      <c r="A7" s="24" t="s">
        <v>37</v>
      </c>
      <c r="B7" s="127"/>
      <c r="C7" s="128"/>
    </row>
    <row r="8" spans="1:12" ht="29" customHeight="1" x14ac:dyDescent="0.35">
      <c r="A8" s="23" t="s">
        <v>39</v>
      </c>
      <c r="B8" s="127"/>
      <c r="C8" s="128"/>
    </row>
    <row r="9" spans="1:12" ht="29" customHeight="1" x14ac:dyDescent="0.35">
      <c r="A9" s="23" t="s">
        <v>41</v>
      </c>
      <c r="B9" s="127"/>
      <c r="C9" s="128"/>
    </row>
    <row r="10" spans="1:12" ht="29" customHeight="1" x14ac:dyDescent="0.35">
      <c r="A10" s="23" t="s">
        <v>162</v>
      </c>
      <c r="B10" s="127"/>
      <c r="C10" s="128"/>
    </row>
    <row r="11" spans="1:12" ht="29" customHeight="1" x14ac:dyDescent="0.35">
      <c r="A11" s="23" t="s">
        <v>75</v>
      </c>
      <c r="B11" s="33"/>
      <c r="C11" s="74"/>
    </row>
    <row r="12" spans="1:12" ht="29" customHeight="1" x14ac:dyDescent="0.35">
      <c r="A12" s="23" t="s">
        <v>122</v>
      </c>
      <c r="B12" s="33"/>
      <c r="C12" s="87"/>
    </row>
    <row r="13" spans="1:12" ht="20" customHeight="1" x14ac:dyDescent="0.35">
      <c r="A13" s="25" t="s">
        <v>54</v>
      </c>
      <c r="B13" s="61">
        <v>70</v>
      </c>
      <c r="C13" s="87" t="s">
        <v>55</v>
      </c>
    </row>
    <row r="14" spans="1:12" ht="29" hidden="1" customHeight="1" x14ac:dyDescent="0.35">
      <c r="C14" s="69"/>
    </row>
    <row r="15" spans="1:12" ht="19" customHeight="1" x14ac:dyDescent="0.35">
      <c r="A15" s="23" t="s">
        <v>45</v>
      </c>
      <c r="B15" s="110">
        <f>B5*(IF(inne!B7=1,1.26,IF(inne!B7=2,1.6,1.41)))</f>
        <v>5796</v>
      </c>
      <c r="C15" s="69" t="s">
        <v>163</v>
      </c>
    </row>
    <row r="16" spans="1:12" ht="18" customHeight="1" x14ac:dyDescent="0.35">
      <c r="A16" s="71" t="s">
        <v>52</v>
      </c>
      <c r="B16" s="111">
        <v>4000</v>
      </c>
      <c r="C16" s="69" t="s">
        <v>163</v>
      </c>
    </row>
    <row r="17" spans="1:6" ht="20" customHeight="1" x14ac:dyDescent="0.35">
      <c r="A17" s="71" t="s">
        <v>50</v>
      </c>
      <c r="B17" s="114">
        <f>'kalkulator solaredge'!C10</f>
        <v>3700</v>
      </c>
      <c r="C17" s="113" t="s">
        <v>163</v>
      </c>
    </row>
    <row r="18" spans="1:6" ht="18" customHeight="1" x14ac:dyDescent="0.35">
      <c r="A18" s="71" t="s">
        <v>127</v>
      </c>
      <c r="B18" s="72">
        <f>'kalkulator solaredge'!B10</f>
        <v>10</v>
      </c>
      <c r="C18" s="113" t="s">
        <v>164</v>
      </c>
      <c r="F18"/>
    </row>
    <row r="19" spans="1:6" ht="39.5" customHeight="1" x14ac:dyDescent="0.35">
      <c r="B19" s="123" t="str">
        <f>IF(B17&gt;6500,"Wymagane zabezpieczenie ppoz na elewacji budynku","Wymagany rozłącznik DC na elewacji. Przewody DC z dachu w korycie stalowym po elewacji, nie prowadzimy kominem" )</f>
        <v>Wymagany rozłącznik DC na elewacji. Przewody DC z dachu w korycie stalowym po elewacji, nie prowadzimy kominem</v>
      </c>
      <c r="C19" s="124"/>
    </row>
    <row r="20" spans="1:6" ht="10" customHeight="1" x14ac:dyDescent="0.35">
      <c r="B20" s="29"/>
      <c r="C20" s="29"/>
    </row>
    <row r="21" spans="1:6" ht="56" customHeight="1" x14ac:dyDescent="0.35">
      <c r="A21" s="106" t="s">
        <v>57</v>
      </c>
      <c r="B21" s="107" t="s">
        <v>71</v>
      </c>
      <c r="C21" s="105" t="s">
        <v>161</v>
      </c>
    </row>
    <row r="22" spans="1:6" ht="15.5" x14ac:dyDescent="0.35">
      <c r="A22" s="102" t="str">
        <f>Falownik!L8</f>
        <v>SE3K</v>
      </c>
      <c r="B22" s="103" t="str">
        <f>Falownik!M8</f>
        <v>Sun2000-KTL3-M0</v>
      </c>
      <c r="C22" s="104" t="str">
        <f>Falownik!N8</f>
        <v>Sofar 3.3 KTL-X</v>
      </c>
    </row>
    <row r="23" spans="1:6" x14ac:dyDescent="0.35">
      <c r="A23" s="131" t="s">
        <v>47</v>
      </c>
      <c r="B23" s="132"/>
      <c r="C23" s="132"/>
    </row>
    <row r="24" spans="1:6" x14ac:dyDescent="0.35">
      <c r="A24" s="108">
        <f>'kalkulator solaredge'!P10</f>
        <v>19524.2110967234</v>
      </c>
      <c r="B24" s="109">
        <f>'kalkulator huawei'!P3</f>
        <v>17874.2110967234</v>
      </c>
      <c r="C24" s="109">
        <f>'bieda kalkulator'!P3</f>
        <v>16593.000541887232</v>
      </c>
    </row>
    <row r="25" spans="1:6" x14ac:dyDescent="0.35">
      <c r="A25" s="129" t="s">
        <v>51</v>
      </c>
      <c r="B25" s="129"/>
      <c r="C25" s="129"/>
    </row>
    <row r="26" spans="1:6" x14ac:dyDescent="0.35">
      <c r="A26" s="130">
        <f>IF(inne!B26=1,23%,8%)</f>
        <v>0.08</v>
      </c>
      <c r="B26" s="130"/>
      <c r="C26" s="130"/>
    </row>
    <row r="27" spans="1:6" x14ac:dyDescent="0.35">
      <c r="A27" s="129" t="s">
        <v>48</v>
      </c>
      <c r="B27" s="129"/>
      <c r="C27" s="129"/>
    </row>
    <row r="28" spans="1:6" ht="21" x14ac:dyDescent="0.35">
      <c r="A28" s="99">
        <f>A24*(1+A26)</f>
        <v>21086.147984461273</v>
      </c>
      <c r="B28" s="64">
        <f>B24*(1+A26)</f>
        <v>19304.147984461273</v>
      </c>
      <c r="C28" s="64">
        <f>C24*(1+A26)</f>
        <v>17920.440585238211</v>
      </c>
    </row>
    <row r="29" spans="1:6" ht="28.5" customHeight="1" x14ac:dyDescent="0.35">
      <c r="A29" s="69" t="s">
        <v>128</v>
      </c>
      <c r="C29" s="29"/>
    </row>
    <row r="30" spans="1:6" ht="28.5" customHeight="1" x14ac:dyDescent="0.35">
      <c r="A30" s="127" t="s">
        <v>130</v>
      </c>
      <c r="B30" s="133"/>
      <c r="C30" s="128"/>
    </row>
    <row r="31" spans="1:6" ht="28.5" customHeight="1" x14ac:dyDescent="0.35">
      <c r="A31" s="100" t="str">
        <f>(Promocje!H2)</f>
        <v>brak promocji</v>
      </c>
      <c r="B31" s="100"/>
      <c r="C31" s="30"/>
    </row>
    <row r="32" spans="1:6" x14ac:dyDescent="0.35">
      <c r="B32" s="127" t="s">
        <v>23</v>
      </c>
      <c r="C32" s="128"/>
    </row>
    <row r="33" spans="1:3" x14ac:dyDescent="0.35">
      <c r="A33" s="30" t="s">
        <v>24</v>
      </c>
      <c r="B33" s="125">
        <f>B17*inne!B9*1000</f>
        <v>3700000</v>
      </c>
      <c r="C33" s="126"/>
    </row>
    <row r="34" spans="1:3" x14ac:dyDescent="0.35">
      <c r="A34" s="30" t="s">
        <v>25</v>
      </c>
      <c r="B34" s="137">
        <f>B33*0.3</f>
        <v>1110000</v>
      </c>
      <c r="C34" s="138"/>
    </row>
    <row r="35" spans="1:3" x14ac:dyDescent="0.35">
      <c r="A35" s="30" t="s">
        <v>26</v>
      </c>
      <c r="B35" s="139">
        <f>B33-B34</f>
        <v>2590000</v>
      </c>
      <c r="C35" s="140"/>
    </row>
    <row r="36" spans="1:3" x14ac:dyDescent="0.35">
      <c r="A36" s="30" t="s">
        <v>27</v>
      </c>
      <c r="B36" s="141">
        <f>B35*0.7</f>
        <v>1813000</v>
      </c>
      <c r="C36" s="142"/>
    </row>
    <row r="37" spans="1:3" ht="18.5" x14ac:dyDescent="0.45">
      <c r="A37" s="30" t="s">
        <v>53</v>
      </c>
      <c r="B37" s="143">
        <f>B34+B36</f>
        <v>2923000</v>
      </c>
      <c r="C37" s="144"/>
    </row>
    <row r="40" spans="1:3" ht="14.5" customHeight="1" x14ac:dyDescent="0.35">
      <c r="A40" s="134" t="s">
        <v>68</v>
      </c>
      <c r="B40" s="135"/>
      <c r="C40" s="136"/>
    </row>
    <row r="41" spans="1:3" x14ac:dyDescent="0.35">
      <c r="A41" s="67" t="s">
        <v>36</v>
      </c>
      <c r="B41" s="67" t="s">
        <v>16</v>
      </c>
      <c r="C41" s="67" t="s">
        <v>69</v>
      </c>
    </row>
    <row r="42" spans="1:3" x14ac:dyDescent="0.35">
      <c r="A42" s="66">
        <v>300</v>
      </c>
      <c r="B42" s="66">
        <v>310</v>
      </c>
      <c r="C42" s="66" t="s">
        <v>153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40:C40"/>
    <mergeCell ref="B34:C34"/>
    <mergeCell ref="B35:C35"/>
    <mergeCell ref="B36:C36"/>
    <mergeCell ref="B37:C37"/>
    <mergeCell ref="B8:C8"/>
    <mergeCell ref="B9:C9"/>
    <mergeCell ref="B10:C10"/>
    <mergeCell ref="B4:C4"/>
    <mergeCell ref="B6:C6"/>
    <mergeCell ref="B7:C7"/>
    <mergeCell ref="B19:C19"/>
    <mergeCell ref="B33:C33"/>
    <mergeCell ref="B32:C32"/>
    <mergeCell ref="A25:C25"/>
    <mergeCell ref="A26:C26"/>
    <mergeCell ref="A23:C23"/>
    <mergeCell ref="A27:C27"/>
    <mergeCell ref="A30:C30"/>
  </mergeCells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232451" r:id="rId4" name="Drop Down 3">
      <controlPr defaultSize="0" autoLine="0" autoPict="0">
        <anchor moveWithCells="1">
          <from>
            <xdr:col>1</xdr:col>
            <xdr:colOff>254000</xdr:colOff>
            <xdr:row>9</xdr:row>
            <xdr:rowOff>38100</xdr:rowOff>
          </from>
          <to>
            <xdr:col>2</xdr:col>
            <xdr:colOff>1619250</xdr:colOff>
            <xdr:row>9</xdr:row>
            <xdr:rowOff>304800</xdr:rowOff>
          </to>
        </anchor>
      </controlPr>
    </control>
    <control shapeId="232452" r:id="rId5" name="Drop Down 4">
      <controlPr defaultSize="0" autoLine="0" autoPict="0">
        <anchor moveWithCells="1">
          <from>
            <xdr:col>1</xdr:col>
            <xdr:colOff>260350</xdr:colOff>
            <xdr:row>8</xdr:row>
            <xdr:rowOff>38100</xdr:rowOff>
          </from>
          <to>
            <xdr:col>2</xdr:col>
            <xdr:colOff>1625600</xdr:colOff>
            <xdr:row>8</xdr:row>
            <xdr:rowOff>304800</xdr:rowOff>
          </to>
        </anchor>
      </controlPr>
    </control>
    <control shapeId="232453" r:id="rId6" name="Drop Down 5">
      <controlPr defaultSize="0" autoLine="0" autoPict="0">
        <anchor moveWithCells="1">
          <from>
            <xdr:col>1</xdr:col>
            <xdr:colOff>254000</xdr:colOff>
            <xdr:row>7</xdr:row>
            <xdr:rowOff>69850</xdr:rowOff>
          </from>
          <to>
            <xdr:col>2</xdr:col>
            <xdr:colOff>1612900</xdr:colOff>
            <xdr:row>7</xdr:row>
            <xdr:rowOff>336550</xdr:rowOff>
          </to>
        </anchor>
      </controlPr>
    </control>
    <control shapeId="232454" r:id="rId7" name="Drop Down 6">
      <controlPr defaultSize="0" autoLine="0" autoPict="0">
        <anchor moveWithCells="1">
          <from>
            <xdr:col>1</xdr:col>
            <xdr:colOff>254000</xdr:colOff>
            <xdr:row>6</xdr:row>
            <xdr:rowOff>69850</xdr:rowOff>
          </from>
          <to>
            <xdr:col>2</xdr:col>
            <xdr:colOff>1612900</xdr:colOff>
            <xdr:row>6</xdr:row>
            <xdr:rowOff>336550</xdr:rowOff>
          </to>
        </anchor>
      </controlPr>
    </control>
    <control shapeId="232455" r:id="rId8" name="Drop Down 7">
      <controlPr defaultSize="0" autoLine="0" autoPict="0">
        <anchor moveWithCells="1">
          <from>
            <xdr:col>1</xdr:col>
            <xdr:colOff>234950</xdr:colOff>
            <xdr:row>5</xdr:row>
            <xdr:rowOff>44450</xdr:rowOff>
          </from>
          <to>
            <xdr:col>2</xdr:col>
            <xdr:colOff>1600200</xdr:colOff>
            <xdr:row>5</xdr:row>
            <xdr:rowOff>311150</xdr:rowOff>
          </to>
        </anchor>
      </controlPr>
    </control>
    <control shapeId="232456" r:id="rId9" name="Drop Down 8">
      <controlPr defaultSize="0" autoLine="0" autoPict="0">
        <anchor moveWithCells="1">
          <from>
            <xdr:col>1</xdr:col>
            <xdr:colOff>254000</xdr:colOff>
            <xdr:row>3</xdr:row>
            <xdr:rowOff>44450</xdr:rowOff>
          </from>
          <to>
            <xdr:col>2</xdr:col>
            <xdr:colOff>1606550</xdr:colOff>
            <xdr:row>3</xdr:row>
            <xdr:rowOff>311150</xdr:rowOff>
          </to>
        </anchor>
      </controlPr>
    </control>
    <control shapeId="232457" r:id="rId10" name="Drop Down 1033">
      <controlPr defaultSize="0" autoLine="0" autoPict="0">
        <anchor moveWithCells="1">
          <from>
            <xdr:col>1</xdr:col>
            <xdr:colOff>260350</xdr:colOff>
            <xdr:row>10</xdr:row>
            <xdr:rowOff>31750</xdr:rowOff>
          </from>
          <to>
            <xdr:col>2</xdr:col>
            <xdr:colOff>1625600</xdr:colOff>
            <xdr:row>10</xdr:row>
            <xdr:rowOff>298450</xdr:rowOff>
          </to>
        </anchor>
      </controlPr>
    </control>
    <control shapeId="232458" r:id="rId11" name="Drop Down 1034">
      <controlPr defaultSize="0" autoLine="0" autoPict="0">
        <anchor moveWithCells="1">
          <from>
            <xdr:col>1</xdr:col>
            <xdr:colOff>260350</xdr:colOff>
            <xdr:row>11</xdr:row>
            <xdr:rowOff>50800</xdr:rowOff>
          </from>
          <to>
            <xdr:col>2</xdr:col>
            <xdr:colOff>1625600</xdr:colOff>
            <xdr:row>11</xdr:row>
            <xdr:rowOff>317500</xdr:rowOff>
          </to>
        </anchor>
      </controlPr>
    </control>
    <control shapeId="232459" r:id="rId12" name="Drop Down 1035">
      <controlPr defaultSize="0" autoLine="0" autoPict="0">
        <anchor moveWithCells="1">
          <from>
            <xdr:col>1</xdr:col>
            <xdr:colOff>260350</xdr:colOff>
            <xdr:row>28</xdr:row>
            <xdr:rowOff>50800</xdr:rowOff>
          </from>
          <to>
            <xdr:col>2</xdr:col>
            <xdr:colOff>1625600</xdr:colOff>
            <xdr:row>28</xdr:row>
            <xdr:rowOff>323850</xdr:rowOff>
          </to>
        </anchor>
      </controlPr>
    </control>
  </control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24E0-7F61-4BDD-ACCB-868C5128D0CC}">
  <sheetPr codeName="Arkusz2"/>
  <dimension ref="A1:H3"/>
  <sheetViews>
    <sheetView workbookViewId="0">
      <selection activeCell="B3" sqref="B3"/>
    </sheetView>
  </sheetViews>
  <sheetFormatPr defaultRowHeight="14.5" x14ac:dyDescent="0.35"/>
  <cols>
    <col min="2" max="2" width="26" customWidth="1"/>
    <col min="3" max="3" width="10.453125" bestFit="1" customWidth="1"/>
  </cols>
  <sheetData>
    <row r="1" spans="1:8" x14ac:dyDescent="0.35">
      <c r="A1" t="s">
        <v>129</v>
      </c>
      <c r="B1" t="str">
        <f>IF(KALKULATOR!B17&gt;6500,"Ładowarka kablowa Noark gratis","brak promocji")</f>
        <v>brak promocji</v>
      </c>
      <c r="C1" t="str">
        <f>IF(KALKULATOR!B17&gt;6500,"Ładowarka kablowa Noark gratis","brak promocji")</f>
        <v>brak promocji</v>
      </c>
      <c r="F1" s="68">
        <v>1</v>
      </c>
      <c r="H1" t="s">
        <v>145</v>
      </c>
    </row>
    <row r="2" spans="1:8" x14ac:dyDescent="0.35">
      <c r="B2" t="str">
        <f>IF(KALKULATOR!B17&gt;6500,"Brak ładowarki rabat -1500zł","brak dostepnych promocji")</f>
        <v>brak dostepnych promocji</v>
      </c>
      <c r="C2" s="70" t="str">
        <f>IF(KALKULATOR!B17&gt;6500,KALKULATOR!A28-1500,"brak promocji")</f>
        <v>brak promocji</v>
      </c>
      <c r="H2" s="36" t="str">
        <f>IF(F1=1,C1,IF(F1=2,C2,C3))</f>
        <v>brak promocji</v>
      </c>
    </row>
    <row r="3" spans="1:8" x14ac:dyDescent="0.35">
      <c r="B3" t="str">
        <f>IF(KALKULATOR!B17&gt;6500,"Brak promocji","rabat -10% na seraphim 330 zaliczka 90%, termin realizacji do 4tyg")</f>
        <v>rabat -10% na seraphim 330 zaliczka 90%, termin realizacji do 4tyg</v>
      </c>
      <c r="C3" s="70">
        <f>IF(KALKULATOR!B17&gt;6500,"brak promocji",(KALKULATOR!A24)*0.9*(1+KALKULATOR!A26))</f>
        <v>18977.533186015145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4741-8133-43EC-A5B0-0E6127869EE5}">
  <dimension ref="A1:L43"/>
  <sheetViews>
    <sheetView topLeftCell="A2" workbookViewId="0">
      <selection activeCell="B38" sqref="B38"/>
    </sheetView>
  </sheetViews>
  <sheetFormatPr defaultColWidth="8.6328125" defaultRowHeight="14.5" x14ac:dyDescent="0.35"/>
  <cols>
    <col min="1" max="3" width="28.54296875" style="22" customWidth="1"/>
    <col min="4" max="6" width="17.08984375" style="22" customWidth="1"/>
    <col min="7" max="16384" width="8.6328125" style="22"/>
  </cols>
  <sheetData>
    <row r="1" spans="1:12" hidden="1" x14ac:dyDescent="0.35"/>
    <row r="2" spans="1:12" ht="21" customHeight="1" x14ac:dyDescent="0.35"/>
    <row r="3" spans="1:12" ht="14.4" hidden="1" customHeight="1" x14ac:dyDescent="0.35"/>
    <row r="4" spans="1:12" ht="29" customHeight="1" x14ac:dyDescent="0.35">
      <c r="A4" s="98" t="s">
        <v>40</v>
      </c>
      <c r="B4" s="127"/>
      <c r="C4" s="128"/>
    </row>
    <row r="5" spans="1:12" ht="29" customHeight="1" x14ac:dyDescent="0.35">
      <c r="A5" s="98" t="s">
        <v>22</v>
      </c>
      <c r="B5" s="73">
        <v>4600</v>
      </c>
      <c r="C5" s="98" t="s">
        <v>49</v>
      </c>
    </row>
    <row r="6" spans="1:12" ht="29" customHeight="1" x14ac:dyDescent="0.35">
      <c r="A6" s="98" t="s">
        <v>38</v>
      </c>
      <c r="B6" s="127"/>
      <c r="C6" s="128"/>
      <c r="L6" s="22">
        <v>1</v>
      </c>
    </row>
    <row r="7" spans="1:12" ht="29" customHeight="1" x14ac:dyDescent="0.35">
      <c r="A7" s="98" t="s">
        <v>183</v>
      </c>
      <c r="B7" s="127"/>
      <c r="C7" s="128"/>
    </row>
    <row r="8" spans="1:12" ht="29" customHeight="1" x14ac:dyDescent="0.35">
      <c r="A8" s="98" t="s">
        <v>41</v>
      </c>
      <c r="B8" s="127"/>
      <c r="C8" s="128"/>
    </row>
    <row r="9" spans="1:12" ht="29" customHeight="1" x14ac:dyDescent="0.35">
      <c r="A9" s="98" t="s">
        <v>162</v>
      </c>
      <c r="B9" s="127"/>
      <c r="C9" s="128"/>
    </row>
    <row r="10" spans="1:12" ht="29" customHeight="1" x14ac:dyDescent="0.35">
      <c r="A10" s="98" t="s">
        <v>75</v>
      </c>
      <c r="B10" s="101"/>
      <c r="C10" s="90"/>
    </row>
    <row r="11" spans="1:12" ht="29" customHeight="1" x14ac:dyDescent="0.35">
      <c r="A11" s="98" t="s">
        <v>122</v>
      </c>
      <c r="B11" s="101"/>
      <c r="C11" s="90"/>
    </row>
    <row r="12" spans="1:12" ht="20" customHeight="1" x14ac:dyDescent="0.35">
      <c r="A12" s="25" t="s">
        <v>54</v>
      </c>
      <c r="B12" s="61">
        <v>70</v>
      </c>
      <c r="C12" s="90" t="s">
        <v>55</v>
      </c>
    </row>
    <row r="13" spans="1:12" ht="29" hidden="1" customHeight="1" x14ac:dyDescent="0.35">
      <c r="C13" s="69"/>
    </row>
    <row r="14" spans="1:12" ht="19" customHeight="1" x14ac:dyDescent="0.35">
      <c r="A14" s="98" t="s">
        <v>45</v>
      </c>
      <c r="B14" s="110">
        <f>B5*(IF(inne!B7=1,1.26,IF(inne!B7=2,1.6,1.41)))</f>
        <v>5796</v>
      </c>
      <c r="C14" s="69" t="s">
        <v>163</v>
      </c>
    </row>
    <row r="15" spans="1:12" ht="18" customHeight="1" x14ac:dyDescent="0.35">
      <c r="A15" s="71" t="s">
        <v>52</v>
      </c>
      <c r="B15" s="111">
        <v>6000</v>
      </c>
      <c r="C15" s="69" t="s">
        <v>163</v>
      </c>
    </row>
    <row r="16" spans="1:12" ht="20" customHeight="1" x14ac:dyDescent="0.35">
      <c r="A16" s="71" t="s">
        <v>50</v>
      </c>
      <c r="B16" s="114">
        <f>'kalkulator solaredge'!C13</f>
        <v>5720</v>
      </c>
      <c r="C16" s="113" t="s">
        <v>163</v>
      </c>
    </row>
    <row r="17" spans="1:6" ht="18" customHeight="1" x14ac:dyDescent="0.35">
      <c r="A17" s="71" t="s">
        <v>127</v>
      </c>
      <c r="B17" s="72">
        <f>'kalkulator solaredge'!B13</f>
        <v>13</v>
      </c>
      <c r="C17" s="113" t="s">
        <v>164</v>
      </c>
      <c r="F17"/>
    </row>
    <row r="18" spans="1:6" ht="18" customHeight="1" x14ac:dyDescent="0.35">
      <c r="A18" s="132"/>
      <c r="B18" s="132"/>
      <c r="C18" s="132"/>
      <c r="F18"/>
    </row>
    <row r="19" spans="1:6" ht="56" customHeight="1" x14ac:dyDescent="0.35">
      <c r="A19" s="106" t="s">
        <v>57</v>
      </c>
      <c r="B19" s="107" t="s">
        <v>71</v>
      </c>
      <c r="C19" s="105" t="s">
        <v>161</v>
      </c>
    </row>
    <row r="20" spans="1:6" ht="15.5" x14ac:dyDescent="0.35">
      <c r="A20" s="102" t="str">
        <f>Falownik!L9</f>
        <v>SE5K</v>
      </c>
      <c r="B20" s="103" t="str">
        <f>Falownik!M9</f>
        <v>Sun2000-KTL5-M0</v>
      </c>
      <c r="C20" s="104" t="str">
        <f>Falownik!N9</f>
        <v>Sofar 5.5 KTL-X</v>
      </c>
    </row>
    <row r="21" spans="1:6" x14ac:dyDescent="0.35">
      <c r="A21" s="131" t="s">
        <v>47</v>
      </c>
      <c r="B21" s="132"/>
      <c r="C21" s="132"/>
    </row>
    <row r="22" spans="1:6" x14ac:dyDescent="0.35">
      <c r="A22" s="108">
        <f>'kalkulator solaredge'!P13</f>
        <v>26383.5</v>
      </c>
      <c r="B22" s="109">
        <f>'kalkulator huawei'!P5</f>
        <v>23617.5</v>
      </c>
      <c r="C22" s="109">
        <f>'bieda kalkulator'!P5</f>
        <v>22547.5</v>
      </c>
    </row>
    <row r="23" spans="1:6" x14ac:dyDescent="0.35">
      <c r="A23" s="129" t="s">
        <v>51</v>
      </c>
      <c r="B23" s="129"/>
      <c r="C23" s="129"/>
    </row>
    <row r="24" spans="1:6" x14ac:dyDescent="0.35">
      <c r="A24" s="130">
        <f>IF(inne!B26=1,23%,8%)</f>
        <v>0.08</v>
      </c>
      <c r="B24" s="130"/>
      <c r="C24" s="130"/>
    </row>
    <row r="25" spans="1:6" x14ac:dyDescent="0.35">
      <c r="A25" s="129" t="s">
        <v>48</v>
      </c>
      <c r="B25" s="129"/>
      <c r="C25" s="129"/>
    </row>
    <row r="26" spans="1:6" ht="21" x14ac:dyDescent="0.35">
      <c r="A26" s="99">
        <f>A22*(1+A24)</f>
        <v>28494.18</v>
      </c>
      <c r="B26" s="64">
        <f>B22*(1+A24)</f>
        <v>25506.9</v>
      </c>
      <c r="C26" s="64">
        <f>C22*(1+A24)</f>
        <v>24351.300000000003</v>
      </c>
    </row>
    <row r="27" spans="1:6" ht="28.5" customHeight="1" x14ac:dyDescent="0.35">
      <c r="A27" s="69" t="s">
        <v>128</v>
      </c>
      <c r="C27" s="29"/>
    </row>
    <row r="28" spans="1:6" ht="28.5" customHeight="1" x14ac:dyDescent="0.35">
      <c r="A28" s="127" t="s">
        <v>130</v>
      </c>
      <c r="B28" s="133"/>
      <c r="C28" s="128"/>
    </row>
    <row r="29" spans="1:6" ht="28.5" customHeight="1" x14ac:dyDescent="0.35">
      <c r="A29" s="100" t="str">
        <f>(Promocje!H2)</f>
        <v>brak promocji</v>
      </c>
      <c r="B29" s="100"/>
      <c r="C29" s="30"/>
    </row>
    <row r="30" spans="1:6" x14ac:dyDescent="0.35">
      <c r="B30" s="127" t="s">
        <v>23</v>
      </c>
      <c r="C30" s="128"/>
    </row>
    <row r="31" spans="1:6" x14ac:dyDescent="0.35">
      <c r="A31" s="30" t="s">
        <v>24</v>
      </c>
      <c r="B31" s="125">
        <f>B16*inne!B9*1000</f>
        <v>5720000</v>
      </c>
      <c r="C31" s="126"/>
    </row>
    <row r="32" spans="1:6" x14ac:dyDescent="0.35">
      <c r="A32" s="30" t="s">
        <v>25</v>
      </c>
      <c r="B32" s="137">
        <f>B31*0.3</f>
        <v>1716000</v>
      </c>
      <c r="C32" s="138"/>
    </row>
    <row r="33" spans="1:3" x14ac:dyDescent="0.35">
      <c r="A33" s="30" t="s">
        <v>26</v>
      </c>
      <c r="B33" s="139">
        <f>B31-B32</f>
        <v>4004000</v>
      </c>
      <c r="C33" s="140"/>
    </row>
    <row r="34" spans="1:3" x14ac:dyDescent="0.35">
      <c r="A34" s="30" t="s">
        <v>27</v>
      </c>
      <c r="B34" s="141">
        <f>B33*0.7</f>
        <v>2802800</v>
      </c>
      <c r="C34" s="142"/>
    </row>
    <row r="35" spans="1:3" ht="18.5" x14ac:dyDescent="0.45">
      <c r="A35" s="30" t="s">
        <v>53</v>
      </c>
      <c r="B35" s="143">
        <f>B32+B34</f>
        <v>4518800</v>
      </c>
      <c r="C35" s="144"/>
    </row>
    <row r="36" spans="1:3" ht="24.5" customHeight="1" x14ac:dyDescent="0.35">
      <c r="A36" s="149" t="s">
        <v>185</v>
      </c>
      <c r="B36" s="149"/>
      <c r="C36" s="150"/>
    </row>
    <row r="37" spans="1:3" ht="31" customHeight="1" x14ac:dyDescent="0.35">
      <c r="A37" s="151" t="s">
        <v>187</v>
      </c>
      <c r="B37" s="152" t="s">
        <v>188</v>
      </c>
      <c r="C37" s="153" t="s">
        <v>186</v>
      </c>
    </row>
    <row r="38" spans="1:3" ht="40" customHeight="1" x14ac:dyDescent="0.35">
      <c r="A38" s="154">
        <v>10</v>
      </c>
      <c r="B38" s="155">
        <v>2</v>
      </c>
      <c r="C38" s="156">
        <f>(B38*1.68*(10^(1/8))*A38)/(230)</f>
        <v>0.19481008748125078</v>
      </c>
    </row>
    <row r="41" spans="1:3" ht="14.5" customHeight="1" x14ac:dyDescent="0.35">
      <c r="A41" s="134" t="s">
        <v>68</v>
      </c>
      <c r="B41" s="135"/>
      <c r="C41" s="136"/>
    </row>
    <row r="42" spans="1:3" x14ac:dyDescent="0.35">
      <c r="A42" s="67" t="s">
        <v>36</v>
      </c>
      <c r="B42" s="67" t="s">
        <v>16</v>
      </c>
      <c r="C42" s="67" t="s">
        <v>69</v>
      </c>
    </row>
    <row r="43" spans="1:3" x14ac:dyDescent="0.35">
      <c r="A43" s="66">
        <v>420</v>
      </c>
      <c r="B43" s="66">
        <v>350</v>
      </c>
      <c r="C43" s="66" t="s">
        <v>153</v>
      </c>
    </row>
  </sheetData>
  <mergeCells count="19">
    <mergeCell ref="A21:C21"/>
    <mergeCell ref="A25:C25"/>
    <mergeCell ref="A23:C23"/>
    <mergeCell ref="A24:C24"/>
    <mergeCell ref="A18:C18"/>
    <mergeCell ref="B4:C4"/>
    <mergeCell ref="B6:C6"/>
    <mergeCell ref="B7:C7"/>
    <mergeCell ref="B8:C8"/>
    <mergeCell ref="B9:C9"/>
    <mergeCell ref="B33:C33"/>
    <mergeCell ref="B34:C34"/>
    <mergeCell ref="A28:C28"/>
    <mergeCell ref="B35:C35"/>
    <mergeCell ref="A41:C41"/>
    <mergeCell ref="B30:C30"/>
    <mergeCell ref="B31:C31"/>
    <mergeCell ref="B32:C32"/>
    <mergeCell ref="A36:C36"/>
  </mergeCells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263169" r:id="rId4" name="Drop Down 3">
      <controlPr defaultSize="0" autoLine="0" autoPict="0">
        <anchor moveWithCells="1">
          <from>
            <xdr:col>1</xdr:col>
            <xdr:colOff>254000</xdr:colOff>
            <xdr:row>7</xdr:row>
            <xdr:rowOff>38100</xdr:rowOff>
          </from>
          <to>
            <xdr:col>2</xdr:col>
            <xdr:colOff>1587500</xdr:colOff>
            <xdr:row>7</xdr:row>
            <xdr:rowOff>317500</xdr:rowOff>
          </to>
        </anchor>
      </controlPr>
    </control>
    <control shapeId="263173" r:id="rId5" name="Drop Down 7">
      <controlPr defaultSize="0" autoLine="0" autoPict="0">
        <anchor moveWithCells="1">
          <from>
            <xdr:col>1</xdr:col>
            <xdr:colOff>234950</xdr:colOff>
            <xdr:row>5</xdr:row>
            <xdr:rowOff>44450</xdr:rowOff>
          </from>
          <to>
            <xdr:col>2</xdr:col>
            <xdr:colOff>1568450</xdr:colOff>
            <xdr:row>5</xdr:row>
            <xdr:rowOff>304800</xdr:rowOff>
          </to>
        </anchor>
      </controlPr>
    </control>
    <control shapeId="263174" r:id="rId6" name="Drop Down 8">
      <controlPr defaultSize="0" autoLine="0" autoPict="0">
        <anchor moveWithCells="1">
          <from>
            <xdr:col>1</xdr:col>
            <xdr:colOff>254000</xdr:colOff>
            <xdr:row>3</xdr:row>
            <xdr:rowOff>44450</xdr:rowOff>
          </from>
          <to>
            <xdr:col>2</xdr:col>
            <xdr:colOff>1574800</xdr:colOff>
            <xdr:row>3</xdr:row>
            <xdr:rowOff>311150</xdr:rowOff>
          </to>
        </anchor>
      </controlPr>
    </control>
    <control shapeId="263175" r:id="rId7" name="Drop Down 1031">
      <controlPr defaultSize="0" autoLine="0" autoPict="0">
        <anchor moveWithCells="1">
          <from>
            <xdr:col>1</xdr:col>
            <xdr:colOff>260350</xdr:colOff>
            <xdr:row>8</xdr:row>
            <xdr:rowOff>31750</xdr:rowOff>
          </from>
          <to>
            <xdr:col>2</xdr:col>
            <xdr:colOff>1593850</xdr:colOff>
            <xdr:row>8</xdr:row>
            <xdr:rowOff>304800</xdr:rowOff>
          </to>
        </anchor>
      </controlPr>
    </control>
    <control shapeId="263176" r:id="rId8" name="Drop Down 1034">
      <controlPr defaultSize="0" autoLine="0" autoPict="0">
        <anchor moveWithCells="1">
          <from>
            <xdr:col>1</xdr:col>
            <xdr:colOff>260350</xdr:colOff>
            <xdr:row>9</xdr:row>
            <xdr:rowOff>50800</xdr:rowOff>
          </from>
          <to>
            <xdr:col>2</xdr:col>
            <xdr:colOff>1593850</xdr:colOff>
            <xdr:row>9</xdr:row>
            <xdr:rowOff>292100</xdr:rowOff>
          </to>
        </anchor>
      </controlPr>
    </control>
    <control shapeId="263177" r:id="rId9" name="Drop Down 9">
      <controlPr defaultSize="0" autoLine="0" autoPict="0">
        <anchor moveWithCells="1">
          <from>
            <xdr:col>1</xdr:col>
            <xdr:colOff>311150</xdr:colOff>
            <xdr:row>26</xdr:row>
            <xdr:rowOff>69850</xdr:rowOff>
          </from>
          <to>
            <xdr:col>2</xdr:col>
            <xdr:colOff>1644650</xdr:colOff>
            <xdr:row>26</xdr:row>
            <xdr:rowOff>311150</xdr:rowOff>
          </to>
        </anchor>
      </controlPr>
    </control>
    <control shapeId="263178" r:id="rId10" name="Drop Down 1034">
      <controlPr defaultSize="0" autoLine="0" autoPict="0">
        <anchor moveWithCells="1">
          <from>
            <xdr:col>1</xdr:col>
            <xdr:colOff>254000</xdr:colOff>
            <xdr:row>8</xdr:row>
            <xdr:rowOff>38100</xdr:rowOff>
          </from>
          <to>
            <xdr:col>2</xdr:col>
            <xdr:colOff>1619250</xdr:colOff>
            <xdr:row>8</xdr:row>
            <xdr:rowOff>304800</xdr:rowOff>
          </to>
        </anchor>
      </controlPr>
    </control>
    <control shapeId="263179" r:id="rId11" name="Drop Down 1035">
      <controlPr defaultSize="0" autoLine="0" autoPict="0">
        <anchor moveWithCells="1">
          <from>
            <xdr:col>1</xdr:col>
            <xdr:colOff>260350</xdr:colOff>
            <xdr:row>7</xdr:row>
            <xdr:rowOff>38100</xdr:rowOff>
          </from>
          <to>
            <xdr:col>2</xdr:col>
            <xdr:colOff>1625600</xdr:colOff>
            <xdr:row>7</xdr:row>
            <xdr:rowOff>304800</xdr:rowOff>
          </to>
        </anchor>
      </controlPr>
    </control>
    <control shapeId="263180" r:id="rId12" name="Drop Down 5">
      <controlPr defaultSize="0" autoLine="0" autoPict="0">
        <anchor moveWithCells="1">
          <from>
            <xdr:col>1</xdr:col>
            <xdr:colOff>241300</xdr:colOff>
            <xdr:row>6</xdr:row>
            <xdr:rowOff>38100</xdr:rowOff>
          </from>
          <to>
            <xdr:col>2</xdr:col>
            <xdr:colOff>1600200</xdr:colOff>
            <xdr:row>6</xdr:row>
            <xdr:rowOff>304800</xdr:rowOff>
          </to>
        </anchor>
      </controlPr>
    </control>
    <control shapeId="263182" r:id="rId13" name="Drop Down 1038">
      <controlPr defaultSize="0" autoLine="0" autoPict="0">
        <anchor moveWithCells="1">
          <from>
            <xdr:col>1</xdr:col>
            <xdr:colOff>234950</xdr:colOff>
            <xdr:row>5</xdr:row>
            <xdr:rowOff>44450</xdr:rowOff>
          </from>
          <to>
            <xdr:col>2</xdr:col>
            <xdr:colOff>1600200</xdr:colOff>
            <xdr:row>5</xdr:row>
            <xdr:rowOff>311150</xdr:rowOff>
          </to>
        </anchor>
      </controlPr>
    </control>
    <control shapeId="263183" r:id="rId14" name="Drop Down 1039">
      <controlPr defaultSize="0" autoLine="0" autoPict="0">
        <anchor moveWithCells="1">
          <from>
            <xdr:col>1</xdr:col>
            <xdr:colOff>254000</xdr:colOff>
            <xdr:row>3</xdr:row>
            <xdr:rowOff>44450</xdr:rowOff>
          </from>
          <to>
            <xdr:col>2</xdr:col>
            <xdr:colOff>1606550</xdr:colOff>
            <xdr:row>3</xdr:row>
            <xdr:rowOff>311150</xdr:rowOff>
          </to>
        </anchor>
      </controlPr>
    </control>
    <control shapeId="263184" r:id="rId15" name="Drop Down 1040">
      <controlPr defaultSize="0" autoLine="0" autoPict="0">
        <anchor moveWithCells="1">
          <from>
            <xdr:col>1</xdr:col>
            <xdr:colOff>260350</xdr:colOff>
            <xdr:row>9</xdr:row>
            <xdr:rowOff>31750</xdr:rowOff>
          </from>
          <to>
            <xdr:col>2</xdr:col>
            <xdr:colOff>1625600</xdr:colOff>
            <xdr:row>9</xdr:row>
            <xdr:rowOff>298450</xdr:rowOff>
          </to>
        </anchor>
      </controlPr>
    </control>
    <control shapeId="263185" r:id="rId16" name="Drop Down 1041">
      <controlPr defaultSize="0" autoLine="0" autoPict="0">
        <anchor moveWithCells="1">
          <from>
            <xdr:col>1</xdr:col>
            <xdr:colOff>260350</xdr:colOff>
            <xdr:row>10</xdr:row>
            <xdr:rowOff>50800</xdr:rowOff>
          </from>
          <to>
            <xdr:col>2</xdr:col>
            <xdr:colOff>1625600</xdr:colOff>
            <xdr:row>10</xdr:row>
            <xdr:rowOff>317500</xdr:rowOff>
          </to>
        </anchor>
      </controlPr>
    </control>
  </control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6"/>
  <dimension ref="A1:W86"/>
  <sheetViews>
    <sheetView workbookViewId="0">
      <selection activeCell="B13" sqref="B13"/>
    </sheetView>
  </sheetViews>
  <sheetFormatPr defaultRowHeight="14.5" x14ac:dyDescent="0.35"/>
  <cols>
    <col min="1" max="1" width="6.453125" customWidth="1"/>
    <col min="2" max="2" width="9.36328125" customWidth="1"/>
    <col min="3" max="3" width="8.6328125" customWidth="1"/>
    <col min="4" max="4" width="9" customWidth="1"/>
    <col min="5" max="5" width="8.453125" customWidth="1"/>
    <col min="6" max="6" width="10.6328125" customWidth="1"/>
    <col min="7" max="13" width="8.6328125" customWidth="1"/>
    <col min="14" max="14" width="10.36328125" customWidth="1"/>
    <col min="15" max="15" width="12.08984375" customWidth="1"/>
    <col min="16" max="16" width="10.54296875" customWidth="1"/>
    <col min="17" max="17" width="8.6328125" customWidth="1"/>
    <col min="20" max="20" width="10.08984375" customWidth="1"/>
  </cols>
  <sheetData>
    <row r="1" spans="1:23" ht="29.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5</v>
      </c>
      <c r="G1" t="s">
        <v>6</v>
      </c>
      <c r="H1" t="s">
        <v>7</v>
      </c>
      <c r="I1" t="s">
        <v>8</v>
      </c>
      <c r="J1" t="s">
        <v>121</v>
      </c>
      <c r="K1" t="s">
        <v>78</v>
      </c>
      <c r="L1" t="s">
        <v>56</v>
      </c>
      <c r="M1" s="145" t="s">
        <v>9</v>
      </c>
      <c r="N1" s="145"/>
      <c r="O1" s="8" t="s">
        <v>20</v>
      </c>
      <c r="P1" s="145" t="s">
        <v>10</v>
      </c>
      <c r="Q1" s="145"/>
      <c r="R1" s="145"/>
      <c r="T1" s="145" t="s">
        <v>72</v>
      </c>
      <c r="U1" s="145"/>
      <c r="V1" s="145"/>
    </row>
    <row r="2" spans="1:23" x14ac:dyDescent="0.35">
      <c r="A2">
        <f>Panele!L9</f>
        <v>370</v>
      </c>
      <c r="B2">
        <v>0</v>
      </c>
      <c r="D2">
        <f>Panele!L3</f>
        <v>430</v>
      </c>
      <c r="E2">
        <f>IF(B10&lt;16,Optymalizator!A3,IF(A2&gt;360,Optymalizator!A3,Optymalizator!A2))</f>
        <v>220</v>
      </c>
      <c r="F2">
        <f>Konstrukcja!C16</f>
        <v>120</v>
      </c>
      <c r="G2">
        <f>Falownik!L2</f>
        <v>3000</v>
      </c>
      <c r="J2">
        <f>ładowarka!F4</f>
        <v>0</v>
      </c>
      <c r="K2">
        <f>Akumulator!E3</f>
        <v>0</v>
      </c>
      <c r="L2">
        <f>Licznik!C6</f>
        <v>0</v>
      </c>
      <c r="M2" t="s">
        <v>13</v>
      </c>
      <c r="N2" t="s">
        <v>14</v>
      </c>
      <c r="O2">
        <f>Robocizna!G2</f>
        <v>7624.2110967234003</v>
      </c>
      <c r="P2" t="s">
        <v>13</v>
      </c>
      <c r="Q2" t="s">
        <v>14</v>
      </c>
      <c r="R2">
        <v>23</v>
      </c>
      <c r="S2" t="s">
        <v>15</v>
      </c>
      <c r="T2" t="s">
        <v>6</v>
      </c>
      <c r="U2" t="s">
        <v>73</v>
      </c>
      <c r="V2" t="s">
        <v>74</v>
      </c>
    </row>
    <row r="3" spans="1:23" ht="15.65" customHeight="1" x14ac:dyDescent="0.45">
      <c r="A3" s="1">
        <f t="shared" ref="A3:A10" si="0">A2</f>
        <v>370</v>
      </c>
      <c r="B3" s="1">
        <v>4</v>
      </c>
      <c r="C3" s="1">
        <f t="shared" ref="C3:C10" si="1">A3*B3</f>
        <v>1480</v>
      </c>
      <c r="D3" s="1">
        <f t="shared" ref="D3:D10" si="2">$D$2*B3</f>
        <v>1720</v>
      </c>
      <c r="E3" s="3">
        <f t="shared" ref="E3:E5" si="3">$E$2*B3</f>
        <v>880</v>
      </c>
      <c r="F3" s="1">
        <f t="shared" ref="F3:F10" si="4">$F$2*(B3)</f>
        <v>480</v>
      </c>
      <c r="G3" s="1">
        <v>2200</v>
      </c>
      <c r="H3" s="1">
        <f t="shared" ref="H3:H10" si="5">IF(C3&lt;10300,800,IF(C3&lt;20000,1600,2400))</f>
        <v>800</v>
      </c>
      <c r="I3" s="1">
        <f t="shared" ref="I3:I10" si="6">IF(C3&lt;10300,200+(20*B3),IF(C3&lt;20000,2*(200+(20*B3)),3*(200+(20*B3))))</f>
        <v>280</v>
      </c>
      <c r="J3">
        <f>$J$2</f>
        <v>0</v>
      </c>
      <c r="K3" s="1">
        <f>K2</f>
        <v>0</v>
      </c>
      <c r="L3" s="1">
        <f>L2</f>
        <v>0</v>
      </c>
      <c r="M3" s="2">
        <f>P3-O3</f>
        <v>6360</v>
      </c>
      <c r="N3" s="1">
        <f t="shared" ref="N3:N10" si="7">M3*1.23</f>
        <v>7822.8</v>
      </c>
      <c r="O3" s="2">
        <v>5000</v>
      </c>
      <c r="P3" s="20">
        <f t="shared" ref="P3:P9" si="8">D3+E3+F3+G3+H3+I3+J3+O3+K3+L3</f>
        <v>11360</v>
      </c>
      <c r="Q3" s="1">
        <f t="shared" ref="Q3:Q10" si="9">P3*1.08</f>
        <v>12268.800000000001</v>
      </c>
      <c r="R3" s="1">
        <f t="shared" ref="R3:R10" si="10">P3*1.23</f>
        <v>13972.8</v>
      </c>
      <c r="S3">
        <f t="shared" ref="S3:S10" si="11">P3/C3</f>
        <v>7.6756756756756754</v>
      </c>
    </row>
    <row r="4" spans="1:23" s="4" customFormat="1" ht="18.5" x14ac:dyDescent="0.45">
      <c r="A4" s="3">
        <f t="shared" si="0"/>
        <v>370</v>
      </c>
      <c r="B4" s="4">
        <v>6</v>
      </c>
      <c r="C4" s="3">
        <f t="shared" si="1"/>
        <v>2220</v>
      </c>
      <c r="D4" s="3">
        <f t="shared" si="2"/>
        <v>2580</v>
      </c>
      <c r="E4" s="3">
        <f t="shared" si="3"/>
        <v>1320</v>
      </c>
      <c r="F4" s="3">
        <f t="shared" si="4"/>
        <v>720</v>
      </c>
      <c r="G4" s="3">
        <v>2400</v>
      </c>
      <c r="H4" s="1">
        <f t="shared" si="5"/>
        <v>800</v>
      </c>
      <c r="I4" s="1">
        <f t="shared" si="6"/>
        <v>320</v>
      </c>
      <c r="J4">
        <f t="shared" ref="J4:J10" si="12">$J$2</f>
        <v>0</v>
      </c>
      <c r="K4" s="1">
        <f t="shared" ref="K4:K10" si="13">K3</f>
        <v>0</v>
      </c>
      <c r="L4" s="1">
        <f t="shared" ref="L4:L10" si="14">L3</f>
        <v>0</v>
      </c>
      <c r="M4" s="2">
        <f t="shared" ref="M4:M9" si="15">P4-O4</f>
        <v>8140</v>
      </c>
      <c r="N4" s="1">
        <f t="shared" si="7"/>
        <v>10012.200000000001</v>
      </c>
      <c r="O4" s="2">
        <v>5000</v>
      </c>
      <c r="P4" s="20">
        <f t="shared" si="8"/>
        <v>13140</v>
      </c>
      <c r="Q4" s="3">
        <f t="shared" si="9"/>
        <v>14191.2</v>
      </c>
      <c r="R4" s="3">
        <f t="shared" si="10"/>
        <v>16162.199999999999</v>
      </c>
      <c r="S4" s="4">
        <f t="shared" si="11"/>
        <v>5.9189189189189193</v>
      </c>
    </row>
    <row r="5" spans="1:23" ht="18.5" x14ac:dyDescent="0.45">
      <c r="A5" s="1">
        <f t="shared" si="0"/>
        <v>370</v>
      </c>
      <c r="B5" s="1">
        <v>8</v>
      </c>
      <c r="C5" s="1">
        <f t="shared" si="1"/>
        <v>2960</v>
      </c>
      <c r="D5" s="1">
        <f t="shared" si="2"/>
        <v>3440</v>
      </c>
      <c r="E5" s="3">
        <f t="shared" si="3"/>
        <v>1760</v>
      </c>
      <c r="F5" s="1">
        <f t="shared" si="4"/>
        <v>960</v>
      </c>
      <c r="G5" s="1">
        <v>2600</v>
      </c>
      <c r="H5" s="1">
        <f t="shared" si="5"/>
        <v>800</v>
      </c>
      <c r="I5" s="1">
        <f t="shared" si="6"/>
        <v>360</v>
      </c>
      <c r="J5">
        <f t="shared" si="12"/>
        <v>0</v>
      </c>
      <c r="K5" s="1">
        <f t="shared" si="13"/>
        <v>0</v>
      </c>
      <c r="L5" s="1">
        <f t="shared" si="14"/>
        <v>0</v>
      </c>
      <c r="M5" s="2">
        <f t="shared" si="15"/>
        <v>9920</v>
      </c>
      <c r="N5" s="1">
        <f t="shared" si="7"/>
        <v>12201.6</v>
      </c>
      <c r="O5" s="2">
        <v>5000</v>
      </c>
      <c r="P5" s="20">
        <f t="shared" si="8"/>
        <v>14920</v>
      </c>
      <c r="Q5" s="1">
        <f t="shared" si="9"/>
        <v>16113.6</v>
      </c>
      <c r="R5" s="1">
        <f t="shared" si="10"/>
        <v>18351.599999999999</v>
      </c>
      <c r="S5">
        <f t="shared" si="11"/>
        <v>5.0405405405405403</v>
      </c>
    </row>
    <row r="6" spans="1:23" s="4" customFormat="1" ht="18.5" x14ac:dyDescent="0.45">
      <c r="A6" s="3">
        <f t="shared" si="0"/>
        <v>370</v>
      </c>
      <c r="B6" s="4">
        <v>9</v>
      </c>
      <c r="C6" s="3">
        <f t="shared" si="1"/>
        <v>3330</v>
      </c>
      <c r="D6" s="3">
        <f t="shared" si="2"/>
        <v>3870</v>
      </c>
      <c r="E6" s="3">
        <f t="shared" ref="E6:E10" si="16">$E$2*B6</f>
        <v>1980</v>
      </c>
      <c r="F6" s="3">
        <f t="shared" si="4"/>
        <v>1080</v>
      </c>
      <c r="G6" s="3">
        <f>IF(C6&lt;3000,2500,IF(C6&lt;4000,3000,IF(C6&lt;5000,Falownik!$B$4,IF(C6&lt;6000,Falownik!$B$5,IF(C6&lt;7000,Falownik!$B$6,IF(C6&lt;8000,Falownik!$B$7,IF(C6&lt;9000,Falownik!$B$8,IF(C6&lt;10000,Falownik!$B$9,IF(C6&lt;12500,Falownik!$B$10,IF(C6&lt;16000,Falownik!$B$12,IF(C6&lt;20000,Falownik!$B$14,1.5*Falownik!$B$12)))))))))))</f>
        <v>3000</v>
      </c>
      <c r="H6" s="1">
        <f t="shared" si="5"/>
        <v>800</v>
      </c>
      <c r="I6" s="1">
        <f t="shared" si="6"/>
        <v>380</v>
      </c>
      <c r="J6">
        <f t="shared" si="12"/>
        <v>0</v>
      </c>
      <c r="K6" s="1">
        <f t="shared" si="13"/>
        <v>0</v>
      </c>
      <c r="L6" s="1">
        <f t="shared" si="14"/>
        <v>0</v>
      </c>
      <c r="M6" s="2">
        <f t="shared" si="15"/>
        <v>11110</v>
      </c>
      <c r="N6" s="1">
        <f t="shared" si="7"/>
        <v>13665.3</v>
      </c>
      <c r="O6" s="2">
        <v>5000</v>
      </c>
      <c r="P6" s="20">
        <f t="shared" si="8"/>
        <v>16110</v>
      </c>
      <c r="Q6" s="3">
        <f t="shared" si="9"/>
        <v>17398.800000000003</v>
      </c>
      <c r="R6" s="3">
        <f t="shared" si="10"/>
        <v>19815.3</v>
      </c>
      <c r="S6" s="4">
        <f t="shared" si="11"/>
        <v>4.8378378378378377</v>
      </c>
    </row>
    <row r="7" spans="1:23" ht="18.5" x14ac:dyDescent="0.45">
      <c r="A7" s="1">
        <f t="shared" si="0"/>
        <v>370</v>
      </c>
      <c r="B7" s="1">
        <v>10</v>
      </c>
      <c r="C7" s="1">
        <f t="shared" si="1"/>
        <v>3700</v>
      </c>
      <c r="D7" s="1">
        <f t="shared" si="2"/>
        <v>4300</v>
      </c>
      <c r="E7" s="1">
        <f t="shared" si="16"/>
        <v>2200</v>
      </c>
      <c r="F7" s="1">
        <f t="shared" si="4"/>
        <v>1200</v>
      </c>
      <c r="G7" s="1">
        <f>IF(C7&lt;3000,2500,IF(C7&lt;4000,3000,IF(C7&lt;5000,Falownik!$B$4,IF(C7&lt;6000,Falownik!$B$5,IF(C7&lt;7000,Falownik!$B$6,IF(C7&lt;8000,Falownik!$B$7,IF(C7&lt;9000,Falownik!$B$8,IF(C7&lt;10000,Falownik!$B$9,IF(C7&lt;12500,Falownik!$B$10,IF(C7&lt;16000,Falownik!$B$12,IF(C7&lt;20000,Falownik!$B$14,1.5*Falownik!$B$12)))))))))))</f>
        <v>3000</v>
      </c>
      <c r="H7" s="1">
        <f t="shared" si="5"/>
        <v>800</v>
      </c>
      <c r="I7" s="1">
        <f t="shared" si="6"/>
        <v>400</v>
      </c>
      <c r="J7">
        <f t="shared" si="12"/>
        <v>0</v>
      </c>
      <c r="K7" s="1">
        <f t="shared" si="13"/>
        <v>0</v>
      </c>
      <c r="L7" s="1">
        <f t="shared" si="14"/>
        <v>0</v>
      </c>
      <c r="M7" s="2">
        <f t="shared" si="15"/>
        <v>11900</v>
      </c>
      <c r="N7" s="1">
        <f t="shared" si="7"/>
        <v>14637</v>
      </c>
      <c r="O7" s="2">
        <v>5000</v>
      </c>
      <c r="P7" s="20">
        <f t="shared" si="8"/>
        <v>16900</v>
      </c>
      <c r="Q7" s="1">
        <f t="shared" si="9"/>
        <v>18252</v>
      </c>
      <c r="R7" s="1">
        <f t="shared" si="10"/>
        <v>20787</v>
      </c>
      <c r="S7">
        <f t="shared" si="11"/>
        <v>4.5675675675675675</v>
      </c>
    </row>
    <row r="8" spans="1:23" s="4" customFormat="1" ht="18.5" x14ac:dyDescent="0.45">
      <c r="A8" s="3">
        <f t="shared" si="0"/>
        <v>370</v>
      </c>
      <c r="B8" s="4">
        <v>11</v>
      </c>
      <c r="C8" s="3">
        <f t="shared" si="1"/>
        <v>4070</v>
      </c>
      <c r="D8" s="3">
        <f t="shared" si="2"/>
        <v>4730</v>
      </c>
      <c r="E8" s="3">
        <f t="shared" si="16"/>
        <v>2420</v>
      </c>
      <c r="F8" s="3">
        <f t="shared" si="4"/>
        <v>1320</v>
      </c>
      <c r="G8" s="3">
        <f>IF(C8&lt;3000,2500,IF(C8&lt;4000,3000,IF(C8&lt;5000,Falownik!$B$4,IF(C8&lt;6000,Falownik!$B$5,IF(C8&lt;7000,Falownik!$B$6,IF(C8&lt;8000,Falownik!$B$7,IF(C8&lt;9000,Falownik!$B$8,IF(C8&lt;10000,Falownik!$B$9,IF(C8&lt;12500,Falownik!$B$10,IF(C8&lt;16000,Falownik!$B$12,IF(C8&lt;20000,Falownik!$B$14,1.5*Falownik!$B$12)))))))))))</f>
        <v>3570</v>
      </c>
      <c r="H8" s="1">
        <f t="shared" si="5"/>
        <v>800</v>
      </c>
      <c r="I8" s="1">
        <f t="shared" si="6"/>
        <v>420</v>
      </c>
      <c r="J8">
        <f t="shared" si="12"/>
        <v>0</v>
      </c>
      <c r="K8" s="1">
        <f t="shared" si="13"/>
        <v>0</v>
      </c>
      <c r="L8" s="1">
        <f t="shared" si="14"/>
        <v>0</v>
      </c>
      <c r="M8" s="2">
        <f t="shared" si="15"/>
        <v>13260</v>
      </c>
      <c r="N8" s="1">
        <f t="shared" si="7"/>
        <v>16309.8</v>
      </c>
      <c r="O8" s="2">
        <v>5000</v>
      </c>
      <c r="P8" s="20">
        <f t="shared" si="8"/>
        <v>18260</v>
      </c>
      <c r="Q8" s="3">
        <f t="shared" si="9"/>
        <v>19720.800000000003</v>
      </c>
      <c r="R8" s="3">
        <f t="shared" si="10"/>
        <v>22459.8</v>
      </c>
      <c r="S8" s="4">
        <f t="shared" si="11"/>
        <v>4.4864864864864868</v>
      </c>
    </row>
    <row r="9" spans="1:23" ht="18.5" x14ac:dyDescent="0.45">
      <c r="A9" s="1">
        <f t="shared" si="0"/>
        <v>370</v>
      </c>
      <c r="B9" s="1">
        <v>12</v>
      </c>
      <c r="C9" s="1">
        <f t="shared" si="1"/>
        <v>4440</v>
      </c>
      <c r="D9" s="1">
        <f t="shared" si="2"/>
        <v>5160</v>
      </c>
      <c r="E9" s="1">
        <f t="shared" si="16"/>
        <v>2640</v>
      </c>
      <c r="F9" s="1">
        <f t="shared" si="4"/>
        <v>1440</v>
      </c>
      <c r="G9" s="1">
        <f>IF(C9&lt;3000,2500,IF(C9&lt;4000,3000,IF(C9&lt;5000,Falownik!$B$4,IF(C9&lt;6000,Falownik!$B$5,IF(C9&lt;7000,Falownik!$B$6,IF(C9&lt;8000,Falownik!$B$7,IF(C9&lt;9000,Falownik!$B$8,IF(C9&lt;10000,Falownik!$B$9,IF(C9&lt;12500,Falownik!$B$10,IF(C9&lt;16000,Falownik!$B$12,IF(C9&lt;20000,Falownik!$B$14,1.5*Falownik!$B$12)))))))))))</f>
        <v>3570</v>
      </c>
      <c r="H9" s="1">
        <f t="shared" si="5"/>
        <v>800</v>
      </c>
      <c r="I9" s="1">
        <f t="shared" si="6"/>
        <v>440</v>
      </c>
      <c r="J9">
        <f t="shared" si="12"/>
        <v>0</v>
      </c>
      <c r="K9" s="1">
        <f t="shared" si="13"/>
        <v>0</v>
      </c>
      <c r="L9" s="1">
        <f t="shared" si="14"/>
        <v>0</v>
      </c>
      <c r="M9" s="2">
        <f t="shared" si="15"/>
        <v>14050</v>
      </c>
      <c r="N9" s="1">
        <f t="shared" si="7"/>
        <v>17281.5</v>
      </c>
      <c r="O9" s="2">
        <v>5000</v>
      </c>
      <c r="P9" s="20">
        <f t="shared" si="8"/>
        <v>19050</v>
      </c>
      <c r="Q9" s="1">
        <f t="shared" si="9"/>
        <v>20574</v>
      </c>
      <c r="R9" s="1">
        <f t="shared" si="10"/>
        <v>23431.5</v>
      </c>
      <c r="S9">
        <f t="shared" si="11"/>
        <v>4.2905405405405403</v>
      </c>
    </row>
    <row r="10" spans="1:23" s="16" customFormat="1" ht="18.5" x14ac:dyDescent="0.45">
      <c r="A10" s="17">
        <f t="shared" si="0"/>
        <v>370</v>
      </c>
      <c r="B10" s="18">
        <f>ROUNDDOWN(KALKULATOR!B16/'kalkulator solaredge'!A2,0)</f>
        <v>10</v>
      </c>
      <c r="C10" s="17">
        <f t="shared" si="1"/>
        <v>3700</v>
      </c>
      <c r="D10" s="17">
        <f t="shared" si="2"/>
        <v>4300</v>
      </c>
      <c r="E10" s="17">
        <f t="shared" si="16"/>
        <v>2200</v>
      </c>
      <c r="F10" s="17">
        <f t="shared" si="4"/>
        <v>1200</v>
      </c>
      <c r="G10" s="17">
        <f>G2</f>
        <v>3000</v>
      </c>
      <c r="H10" s="19">
        <f t="shared" si="5"/>
        <v>800</v>
      </c>
      <c r="I10" s="19">
        <f t="shared" si="6"/>
        <v>400</v>
      </c>
      <c r="J10">
        <f t="shared" si="12"/>
        <v>0</v>
      </c>
      <c r="K10" s="1">
        <f t="shared" si="13"/>
        <v>0</v>
      </c>
      <c r="L10" s="1">
        <f t="shared" si="14"/>
        <v>0</v>
      </c>
      <c r="M10" s="2">
        <f>SUM(D10:L10)</f>
        <v>11900</v>
      </c>
      <c r="N10" s="1">
        <f t="shared" si="7"/>
        <v>14637</v>
      </c>
      <c r="O10" s="20">
        <f>O2</f>
        <v>7624.2110967234003</v>
      </c>
      <c r="P10" s="20">
        <f>D10+E10+F10+G10+H10+I10+J10+O10+K10+L10</f>
        <v>19524.2110967234</v>
      </c>
      <c r="Q10" s="17">
        <f t="shared" si="9"/>
        <v>21086.147984461273</v>
      </c>
      <c r="R10" s="17">
        <f t="shared" si="10"/>
        <v>24014.779648969783</v>
      </c>
      <c r="S10" s="18">
        <f t="shared" si="11"/>
        <v>5.2768138099252431</v>
      </c>
      <c r="T10" s="16">
        <f>IF(C10&lt;4000,Falownik!G3,IF(C10&lt;5000,Falownik!G4,IF(C10&lt;6000,Falownik!G5,IF(C10&lt;8000,Falownik!G6,IF(C10&lt;10000,Falownik!G8,IF(C10&lt;12000,Falownik!G10,IF(C10&lt;15000,Falownik!G11,IF(C10&lt;17000,Falownik!G12,IF(C10&lt;20000,Falownik!G14,IF(C10&lt;25000,Falownik!G15,"100000"))))))))))</f>
        <v>3550</v>
      </c>
    </row>
    <row r="11" spans="1:2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2"/>
      <c r="P11" s="2"/>
      <c r="Q11" s="1"/>
      <c r="R11" s="1"/>
    </row>
    <row r="12" spans="1:23" s="4" customFormat="1" x14ac:dyDescent="0.35">
      <c r="A12" s="3"/>
      <c r="D12" s="4">
        <f>Panele!M3</f>
        <v>405</v>
      </c>
      <c r="E12" s="4">
        <f>IF(B13&lt;16,Optymalizator!A3,IF(A13&gt;360,Optymalizator!A3,Optymalizator!A2))</f>
        <v>220</v>
      </c>
      <c r="F12" s="3">
        <f>Konstrukcja!C17</f>
        <v>200</v>
      </c>
      <c r="G12" s="3">
        <f>Falownik!L3</f>
        <v>3826</v>
      </c>
      <c r="H12" s="1"/>
      <c r="I12" s="1"/>
      <c r="J12" s="1"/>
      <c r="K12" s="1"/>
      <c r="L12" s="1"/>
      <c r="M12" s="2"/>
      <c r="N12" s="1"/>
      <c r="O12" s="2"/>
      <c r="P12" s="2"/>
    </row>
    <row r="13" spans="1:23" ht="18.5" x14ac:dyDescent="0.45">
      <c r="A13" s="17">
        <f>Panele!M9</f>
        <v>440</v>
      </c>
      <c r="B13" s="18">
        <f>ROUNDDOWN('Inastalacja na gruncie'!B15/'kalkulator solaredge'!A13,0)</f>
        <v>13</v>
      </c>
      <c r="C13" s="17">
        <f t="shared" ref="C13" si="17">A13*B13</f>
        <v>5720</v>
      </c>
      <c r="D13" s="17">
        <f>$D$12*B13</f>
        <v>5265</v>
      </c>
      <c r="E13" s="17">
        <f t="shared" ref="E13" si="18">$E$2*B13</f>
        <v>2860</v>
      </c>
      <c r="F13" s="17">
        <f>$F$12*(B13)</f>
        <v>2600</v>
      </c>
      <c r="G13" s="17">
        <f>G12</f>
        <v>3826</v>
      </c>
      <c r="H13" s="19">
        <f t="shared" ref="H13" si="19">IF(C13&lt;10300,800,IF(C13&lt;20000,1600,2400))</f>
        <v>800</v>
      </c>
      <c r="I13" s="19">
        <f t="shared" ref="I13" si="20">IF(C13&lt;10300,200+(20*B13),IF(C13&lt;20000,2*(200+(20*B13)),3*(200+(20*B13))))</f>
        <v>460</v>
      </c>
      <c r="J13">
        <f t="shared" ref="J13" si="21">$J$2</f>
        <v>0</v>
      </c>
      <c r="K13" s="1">
        <f>K2</f>
        <v>0</v>
      </c>
      <c r="L13" s="1">
        <f>L2</f>
        <v>0</v>
      </c>
      <c r="M13" s="2">
        <f>SUM(D13:L13)</f>
        <v>15811</v>
      </c>
      <c r="N13" s="1">
        <f t="shared" ref="N13" si="22">M13*1.23</f>
        <v>19447.53</v>
      </c>
      <c r="O13" s="20">
        <f>Robocizna!G3</f>
        <v>10572.5</v>
      </c>
      <c r="P13" s="20">
        <f>D13+E13+F13+G13+H13+I13+J13+O13+K13+L13</f>
        <v>26383.5</v>
      </c>
      <c r="Q13" s="17">
        <f t="shared" ref="Q13" si="23">P13*1.08</f>
        <v>28494.18</v>
      </c>
      <c r="R13" s="17">
        <f t="shared" ref="R13" si="24">P13*1.23</f>
        <v>32451.704999999998</v>
      </c>
      <c r="S13" s="18">
        <f t="shared" ref="S13" si="25">P13/C13</f>
        <v>4.6124999999999998</v>
      </c>
    </row>
    <row r="14" spans="1:23" s="4" customFormat="1" ht="18.5" x14ac:dyDescent="0.45">
      <c r="A14" s="17"/>
      <c r="B14" s="18"/>
      <c r="C14" s="17"/>
      <c r="D14" s="17"/>
      <c r="E14" s="17"/>
      <c r="F14" s="17"/>
      <c r="G14" s="17"/>
      <c r="H14" s="19"/>
      <c r="I14" s="19"/>
      <c r="J14" s="19"/>
      <c r="K14" s="19"/>
      <c r="L14" s="19"/>
      <c r="M14" s="20"/>
      <c r="N14" s="19"/>
      <c r="O14" s="20"/>
      <c r="P14" s="20"/>
      <c r="Q14" s="17"/>
      <c r="R14" s="17"/>
      <c r="S14" s="18"/>
      <c r="T14" s="16"/>
      <c r="U14" s="16"/>
      <c r="V14" s="16"/>
      <c r="W14" s="16"/>
    </row>
    <row r="15" spans="1:23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2"/>
      <c r="P15" s="2"/>
      <c r="Q15" s="1"/>
      <c r="R15" s="1"/>
    </row>
    <row r="16" spans="1:23" s="4" customFormat="1" x14ac:dyDescent="0.35">
      <c r="A16" s="3"/>
      <c r="F16" s="3"/>
      <c r="G16" s="3"/>
      <c r="H16" s="1"/>
      <c r="I16" s="1"/>
      <c r="J16" s="1"/>
      <c r="K16" s="1"/>
      <c r="L16" s="1"/>
      <c r="M16" s="2"/>
      <c r="N16" s="1"/>
      <c r="O16" s="2"/>
      <c r="P16" s="2"/>
    </row>
    <row r="17" spans="1:19" x14ac:dyDescent="0.3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2"/>
      <c r="P17" s="2"/>
      <c r="Q17" s="1"/>
      <c r="R17" s="1"/>
    </row>
    <row r="18" spans="1:19" s="4" customFormat="1" x14ac:dyDescent="0.35">
      <c r="A18" s="3"/>
      <c r="F18" s="3"/>
      <c r="G18" s="3"/>
      <c r="H18" s="1"/>
      <c r="I18" s="1"/>
      <c r="J18" s="1"/>
      <c r="K18" s="1"/>
      <c r="L18" s="1"/>
      <c r="M18" s="2"/>
      <c r="N18" s="1"/>
      <c r="O18" s="2"/>
      <c r="P18" s="2"/>
    </row>
    <row r="19" spans="1:19" x14ac:dyDescent="0.3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2"/>
      <c r="P19" s="2"/>
      <c r="Q19" s="1"/>
      <c r="R19" s="1"/>
    </row>
    <row r="20" spans="1:19" s="4" customFormat="1" x14ac:dyDescent="0.35">
      <c r="A20" s="3"/>
      <c r="F20" s="3"/>
      <c r="G20" s="3"/>
      <c r="H20" s="1"/>
      <c r="I20" s="1"/>
      <c r="J20" s="1"/>
      <c r="K20" s="1"/>
      <c r="L20" s="1"/>
      <c r="M20" s="2"/>
      <c r="N20" s="1"/>
      <c r="O20" s="2"/>
      <c r="P20" s="2"/>
    </row>
    <row r="21" spans="1:19" x14ac:dyDescent="0.3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1"/>
      <c r="O21" s="2"/>
      <c r="P21" s="2"/>
      <c r="Q21" s="1"/>
      <c r="R21" s="1"/>
    </row>
    <row r="22" spans="1:19" s="4" customFormat="1" x14ac:dyDescent="0.35">
      <c r="A22" s="3"/>
      <c r="F22" s="3"/>
      <c r="G22" s="3"/>
      <c r="H22" s="1"/>
      <c r="I22" s="1"/>
      <c r="J22" s="1"/>
      <c r="K22" s="1"/>
      <c r="L22" s="1"/>
      <c r="M22" s="2"/>
      <c r="N22" s="1"/>
      <c r="O22" s="2"/>
      <c r="P22" s="2"/>
    </row>
    <row r="23" spans="1:19" x14ac:dyDescent="0.3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"/>
      <c r="O23" s="2"/>
      <c r="P23" s="2"/>
      <c r="Q23" s="1"/>
      <c r="R23" s="1"/>
    </row>
    <row r="24" spans="1:19" s="4" customFormat="1" x14ac:dyDescent="0.35">
      <c r="A24" s="3"/>
      <c r="F24" s="3"/>
      <c r="G24" s="3"/>
      <c r="H24" s="1"/>
      <c r="I24" s="1"/>
      <c r="J24" s="1"/>
      <c r="K24" s="1"/>
      <c r="L24" s="1"/>
      <c r="M24" s="2"/>
      <c r="N24" s="1"/>
      <c r="O24" s="2"/>
      <c r="P24" s="2"/>
    </row>
    <row r="25" spans="1:19" x14ac:dyDescent="0.3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2"/>
      <c r="P25" s="2"/>
      <c r="Q25" s="1"/>
      <c r="R25" s="1"/>
    </row>
    <row r="26" spans="1:19" s="4" customFormat="1" x14ac:dyDescent="0.35">
      <c r="A26" s="3"/>
      <c r="F26" s="3"/>
      <c r="G26" s="3"/>
      <c r="H26" s="1"/>
      <c r="I26" s="1"/>
      <c r="J26" s="1"/>
      <c r="K26" s="1"/>
      <c r="L26" s="1"/>
      <c r="M26" s="2"/>
      <c r="N26" s="1"/>
      <c r="O26" s="2"/>
      <c r="P26" s="2"/>
    </row>
    <row r="27" spans="1:19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1"/>
      <c r="O27" s="2"/>
      <c r="P27" s="2"/>
      <c r="Q27" s="1"/>
      <c r="R27" s="1"/>
    </row>
    <row r="28" spans="1:19" s="5" customFormat="1" x14ac:dyDescent="0.35">
      <c r="A28" s="3"/>
      <c r="F28" s="3"/>
      <c r="G28" s="3"/>
      <c r="H28" s="1"/>
      <c r="I28" s="1"/>
      <c r="J28" s="1"/>
      <c r="K28" s="1"/>
      <c r="L28" s="1"/>
      <c r="M28" s="2"/>
      <c r="N28" s="1"/>
      <c r="O28" s="2"/>
      <c r="P28" s="2"/>
      <c r="S28" s="4"/>
    </row>
    <row r="29" spans="1:19" x14ac:dyDescent="0.3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2"/>
      <c r="P29" s="2"/>
      <c r="Q29" s="1"/>
      <c r="R29" s="1"/>
    </row>
    <row r="30" spans="1:19" s="4" customFormat="1" x14ac:dyDescent="0.35">
      <c r="A30" s="3"/>
      <c r="C30" s="5"/>
      <c r="F30" s="3"/>
      <c r="G30" s="3"/>
      <c r="H30" s="1"/>
      <c r="I30" s="1"/>
      <c r="J30" s="1"/>
      <c r="K30" s="1"/>
      <c r="L30" s="1"/>
      <c r="M30" s="2"/>
      <c r="N30" s="1"/>
      <c r="O30" s="2"/>
      <c r="P30" s="2"/>
    </row>
    <row r="31" spans="1:19" x14ac:dyDescent="0.3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1"/>
      <c r="O31" s="2"/>
      <c r="P31" s="2"/>
      <c r="Q31" s="1"/>
      <c r="R31" s="1"/>
    </row>
    <row r="32" spans="1:19" s="4" customFormat="1" x14ac:dyDescent="0.35">
      <c r="A32" s="3"/>
      <c r="F32" s="3"/>
      <c r="G32" s="3"/>
      <c r="H32" s="1"/>
      <c r="I32" s="1"/>
      <c r="J32" s="1"/>
      <c r="K32" s="1"/>
      <c r="L32" s="1"/>
      <c r="M32" s="2"/>
      <c r="N32" s="1"/>
      <c r="O32" s="2"/>
      <c r="P32" s="2"/>
    </row>
    <row r="33" spans="1:19" x14ac:dyDescent="0.3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  <c r="O33" s="2"/>
      <c r="P33" s="2"/>
      <c r="Q33" s="1"/>
      <c r="R33" s="1"/>
    </row>
    <row r="34" spans="1:19" s="4" customFormat="1" x14ac:dyDescent="0.35">
      <c r="A34" s="3"/>
      <c r="F34" s="3"/>
      <c r="G34" s="3"/>
      <c r="H34" s="1"/>
      <c r="I34" s="1"/>
      <c r="J34" s="1"/>
      <c r="K34" s="1"/>
      <c r="L34" s="1"/>
      <c r="M34" s="2"/>
      <c r="N34" s="1"/>
      <c r="O34" s="2"/>
      <c r="P34" s="2"/>
    </row>
    <row r="35" spans="1:19" x14ac:dyDescent="0.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  <c r="O35" s="2"/>
      <c r="P35" s="2"/>
      <c r="Q35" s="1"/>
      <c r="R35" s="1"/>
    </row>
    <row r="36" spans="1:19" s="4" customFormat="1" x14ac:dyDescent="0.35">
      <c r="A36" s="3"/>
      <c r="F36" s="3"/>
      <c r="G36" s="3"/>
      <c r="H36" s="1"/>
      <c r="I36" s="1"/>
      <c r="J36" s="1"/>
      <c r="K36" s="1"/>
      <c r="L36" s="1"/>
      <c r="M36" s="2"/>
      <c r="N36" s="1"/>
      <c r="O36" s="2"/>
      <c r="P36" s="2"/>
    </row>
    <row r="37" spans="1:19" x14ac:dyDescent="0.3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  <c r="O37" s="2"/>
      <c r="P37" s="2"/>
      <c r="Q37" s="1"/>
      <c r="R37" s="1"/>
    </row>
    <row r="38" spans="1:19" s="4" customFormat="1" x14ac:dyDescent="0.35">
      <c r="A38" s="3"/>
      <c r="F38" s="3"/>
      <c r="G38" s="3"/>
      <c r="H38" s="1"/>
      <c r="I38" s="1"/>
      <c r="J38" s="1"/>
      <c r="K38" s="1"/>
      <c r="L38" s="1"/>
      <c r="M38" s="2"/>
      <c r="N38" s="1"/>
      <c r="O38" s="2"/>
      <c r="P38" s="2"/>
    </row>
    <row r="39" spans="1:19" x14ac:dyDescent="0.3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1"/>
      <c r="O39" s="2"/>
      <c r="P39" s="2"/>
      <c r="Q39" s="1"/>
      <c r="R39" s="1"/>
    </row>
    <row r="40" spans="1:19" s="4" customFormat="1" x14ac:dyDescent="0.35">
      <c r="A40" s="3"/>
      <c r="F40" s="3"/>
      <c r="G40" s="3"/>
      <c r="H40" s="1"/>
      <c r="I40" s="1"/>
      <c r="J40" s="1"/>
      <c r="K40" s="1"/>
      <c r="L40" s="1"/>
      <c r="M40" s="2"/>
      <c r="N40" s="1"/>
      <c r="O40" s="2"/>
      <c r="P40" s="2"/>
    </row>
    <row r="41" spans="1:19" x14ac:dyDescent="0.35">
      <c r="A41" s="3"/>
      <c r="B41" s="4"/>
      <c r="C41" s="4"/>
      <c r="D41" s="4"/>
      <c r="E41" s="4"/>
      <c r="F41" s="3"/>
      <c r="G41" s="3"/>
      <c r="H41" s="1"/>
      <c r="I41" s="1"/>
      <c r="J41" s="1"/>
      <c r="K41" s="1"/>
      <c r="L41" s="1"/>
      <c r="M41" s="2"/>
      <c r="N41" s="1"/>
      <c r="O41" s="2"/>
      <c r="P41" s="2"/>
      <c r="Q41" s="4"/>
      <c r="R41" s="4"/>
      <c r="S41" s="4"/>
    </row>
    <row r="42" spans="1:19" x14ac:dyDescent="0.35">
      <c r="A42" s="3"/>
      <c r="B42" s="4"/>
      <c r="C42" s="4"/>
      <c r="D42" s="4"/>
      <c r="E42" s="4"/>
      <c r="F42" s="3"/>
      <c r="G42" s="3"/>
      <c r="H42" s="1"/>
      <c r="I42" s="1"/>
      <c r="J42" s="1"/>
      <c r="K42" s="1"/>
      <c r="L42" s="1"/>
      <c r="M42" s="2"/>
      <c r="N42" s="1"/>
      <c r="O42" s="2"/>
      <c r="P42" s="2"/>
      <c r="Q42" s="4"/>
      <c r="R42" s="4"/>
      <c r="S42" s="4"/>
    </row>
    <row r="43" spans="1:19" x14ac:dyDescent="0.35">
      <c r="A43" s="3"/>
      <c r="B43" s="4"/>
      <c r="C43" s="4"/>
      <c r="D43" s="4"/>
      <c r="E43" s="4"/>
      <c r="F43" s="3"/>
      <c r="G43" s="3"/>
      <c r="H43" s="1"/>
      <c r="I43" s="1"/>
      <c r="J43" s="1"/>
      <c r="K43" s="1"/>
      <c r="L43" s="1"/>
      <c r="M43" s="2"/>
      <c r="N43" s="1"/>
      <c r="O43" s="2"/>
      <c r="P43" s="2"/>
      <c r="Q43" s="4"/>
      <c r="R43" s="4"/>
      <c r="S43" s="4"/>
    </row>
    <row r="44" spans="1:19" x14ac:dyDescent="0.35">
      <c r="A44" s="3"/>
      <c r="B44" s="4"/>
      <c r="C44" s="4"/>
      <c r="D44" s="4"/>
      <c r="E44" s="4"/>
      <c r="F44" s="3"/>
      <c r="G44" s="3"/>
      <c r="H44" s="1"/>
      <c r="I44" s="1"/>
      <c r="J44" s="1"/>
      <c r="K44" s="1"/>
      <c r="L44" s="1"/>
      <c r="M44" s="2"/>
      <c r="N44" s="1"/>
      <c r="O44" s="2"/>
      <c r="P44" s="2"/>
      <c r="Q44" s="4"/>
      <c r="R44" s="4"/>
      <c r="S44" s="4"/>
    </row>
    <row r="45" spans="1:19" x14ac:dyDescent="0.35">
      <c r="A45" s="3"/>
      <c r="B45" s="4"/>
      <c r="C45" s="4"/>
      <c r="D45" s="4"/>
      <c r="E45" s="4"/>
      <c r="F45" s="3"/>
      <c r="G45" s="3"/>
      <c r="H45" s="1"/>
      <c r="I45" s="1"/>
      <c r="J45" s="1"/>
      <c r="K45" s="1"/>
      <c r="L45" s="1"/>
      <c r="M45" s="2"/>
      <c r="N45" s="1"/>
      <c r="O45" s="2"/>
      <c r="P45" s="2"/>
      <c r="Q45" s="4"/>
      <c r="R45" s="4"/>
      <c r="S45" s="4"/>
    </row>
    <row r="46" spans="1:19" x14ac:dyDescent="0.35">
      <c r="A46" s="3"/>
      <c r="B46" s="4"/>
      <c r="C46" s="4"/>
      <c r="D46" s="4"/>
      <c r="E46" s="4"/>
      <c r="F46" s="3"/>
      <c r="G46" s="3"/>
      <c r="H46" s="1"/>
      <c r="I46" s="1"/>
      <c r="J46" s="1"/>
      <c r="K46" s="1"/>
      <c r="L46" s="1"/>
      <c r="M46" s="2"/>
      <c r="N46" s="1"/>
      <c r="O46" s="2"/>
      <c r="P46" s="2"/>
      <c r="Q46" s="4"/>
      <c r="R46" s="4"/>
      <c r="S46" s="4"/>
    </row>
    <row r="47" spans="1:19" x14ac:dyDescent="0.35">
      <c r="A47" s="3"/>
      <c r="B47" s="4"/>
      <c r="C47" s="4"/>
      <c r="D47" s="4"/>
      <c r="E47" s="4"/>
      <c r="F47" s="3"/>
      <c r="G47" s="3"/>
      <c r="H47" s="1"/>
      <c r="I47" s="1"/>
      <c r="J47" s="1"/>
      <c r="K47" s="1"/>
      <c r="L47" s="1"/>
      <c r="M47" s="2"/>
      <c r="N47" s="1"/>
      <c r="O47" s="2"/>
      <c r="P47" s="2"/>
      <c r="Q47" s="4"/>
      <c r="R47" s="4"/>
      <c r="S47" s="4"/>
    </row>
    <row r="48" spans="1:19" x14ac:dyDescent="0.35">
      <c r="A48" s="3"/>
      <c r="B48" s="4"/>
      <c r="C48" s="4"/>
      <c r="D48" s="4"/>
      <c r="E48" s="4"/>
      <c r="F48" s="3"/>
      <c r="G48" s="3"/>
      <c r="H48" s="1"/>
      <c r="I48" s="1"/>
      <c r="J48" s="1"/>
      <c r="K48" s="1"/>
      <c r="L48" s="1"/>
      <c r="M48" s="2"/>
      <c r="N48" s="1"/>
      <c r="O48" s="2"/>
      <c r="P48" s="2"/>
      <c r="Q48" s="4"/>
      <c r="R48" s="4"/>
      <c r="S48" s="4"/>
    </row>
    <row r="49" spans="1:19" x14ac:dyDescent="0.35">
      <c r="A49" s="3"/>
      <c r="B49" s="4"/>
      <c r="C49" s="4"/>
      <c r="D49" s="4"/>
      <c r="E49" s="4"/>
      <c r="F49" s="3"/>
      <c r="G49" s="3"/>
      <c r="H49" s="1"/>
      <c r="I49" s="1"/>
      <c r="J49" s="1"/>
      <c r="K49" s="1"/>
      <c r="L49" s="1"/>
      <c r="M49" s="2"/>
      <c r="N49" s="1"/>
      <c r="O49" s="2"/>
      <c r="P49" s="2"/>
      <c r="Q49" s="4"/>
      <c r="R49" s="4"/>
      <c r="S49" s="4"/>
    </row>
    <row r="50" spans="1:19" x14ac:dyDescent="0.35">
      <c r="A50" s="3"/>
      <c r="B50" s="4"/>
      <c r="C50" s="4"/>
      <c r="D50" s="4"/>
      <c r="E50" s="4"/>
      <c r="F50" s="3"/>
      <c r="G50" s="3"/>
      <c r="H50" s="1"/>
      <c r="I50" s="1"/>
      <c r="J50" s="1"/>
      <c r="K50" s="1"/>
      <c r="L50" s="1"/>
      <c r="M50" s="2"/>
      <c r="N50" s="1"/>
      <c r="O50" s="2"/>
      <c r="P50" s="2"/>
      <c r="Q50" s="4"/>
      <c r="R50" s="4"/>
      <c r="S50" s="4"/>
    </row>
    <row r="51" spans="1:19" x14ac:dyDescent="0.35">
      <c r="A51" s="3"/>
      <c r="B51" s="4"/>
      <c r="C51" s="4"/>
      <c r="D51" s="4"/>
      <c r="E51" s="4"/>
      <c r="F51" s="3"/>
      <c r="G51" s="3"/>
      <c r="H51" s="1"/>
      <c r="I51" s="1"/>
      <c r="J51" s="1"/>
      <c r="K51" s="1"/>
      <c r="L51" s="1"/>
      <c r="M51" s="2"/>
      <c r="N51" s="1"/>
      <c r="O51" s="2"/>
      <c r="P51" s="2"/>
      <c r="Q51" s="4"/>
      <c r="R51" s="4"/>
      <c r="S51" s="4"/>
    </row>
    <row r="52" spans="1:19" x14ac:dyDescent="0.35">
      <c r="A52" s="3"/>
      <c r="B52" s="4"/>
      <c r="C52" s="4"/>
      <c r="D52" s="4"/>
      <c r="E52" s="4"/>
      <c r="F52" s="3"/>
      <c r="G52" s="3"/>
      <c r="H52" s="1"/>
      <c r="I52" s="1"/>
      <c r="J52" s="1"/>
      <c r="K52" s="1"/>
      <c r="L52" s="1"/>
      <c r="M52" s="2"/>
      <c r="N52" s="1"/>
      <c r="O52" s="2"/>
      <c r="P52" s="2"/>
      <c r="Q52" s="4"/>
      <c r="R52" s="4"/>
      <c r="S52" s="4"/>
    </row>
    <row r="53" spans="1:19" x14ac:dyDescent="0.35">
      <c r="A53" s="3"/>
      <c r="B53" s="4"/>
      <c r="C53" s="4"/>
      <c r="D53" s="4"/>
      <c r="E53" s="4"/>
      <c r="F53" s="3"/>
      <c r="G53" s="3"/>
      <c r="H53" s="1"/>
      <c r="I53" s="1"/>
      <c r="J53" s="1"/>
      <c r="K53" s="1"/>
      <c r="L53" s="1"/>
      <c r="M53" s="2"/>
      <c r="N53" s="1"/>
      <c r="O53" s="2"/>
      <c r="P53" s="2"/>
      <c r="Q53" s="4"/>
      <c r="R53" s="4"/>
      <c r="S53" s="4"/>
    </row>
    <row r="54" spans="1:19" x14ac:dyDescent="0.35">
      <c r="A54" s="3"/>
      <c r="B54" s="4"/>
      <c r="C54" s="4"/>
      <c r="D54" s="4"/>
      <c r="E54" s="4"/>
      <c r="F54" s="3"/>
      <c r="G54" s="3"/>
      <c r="H54" s="1"/>
      <c r="I54" s="1"/>
      <c r="J54" s="1"/>
      <c r="K54" s="1"/>
      <c r="L54" s="1"/>
      <c r="M54" s="2"/>
      <c r="N54" s="1"/>
      <c r="O54" s="2"/>
      <c r="P54" s="2"/>
      <c r="Q54" s="4"/>
      <c r="R54" s="4"/>
      <c r="S54" s="4"/>
    </row>
    <row r="55" spans="1:19" x14ac:dyDescent="0.35">
      <c r="A55" s="3"/>
      <c r="B55" s="4"/>
      <c r="C55" s="4"/>
      <c r="D55" s="4"/>
      <c r="E55" s="4"/>
      <c r="F55" s="3"/>
      <c r="G55" s="3"/>
      <c r="H55" s="1"/>
      <c r="I55" s="1"/>
      <c r="J55" s="1"/>
      <c r="K55" s="1"/>
      <c r="L55" s="1"/>
      <c r="M55" s="2"/>
      <c r="N55" s="1"/>
      <c r="O55" s="2"/>
      <c r="P55" s="2"/>
      <c r="Q55" s="4"/>
      <c r="R55" s="4"/>
      <c r="S55" s="4"/>
    </row>
    <row r="56" spans="1:19" x14ac:dyDescent="0.35">
      <c r="A56" s="3"/>
      <c r="B56" s="4"/>
      <c r="C56" s="4"/>
      <c r="D56" s="4"/>
      <c r="E56" s="4"/>
      <c r="F56" s="3"/>
      <c r="G56" s="3"/>
      <c r="H56" s="1"/>
      <c r="I56" s="1"/>
      <c r="J56" s="1"/>
      <c r="K56" s="1"/>
      <c r="L56" s="1"/>
      <c r="M56" s="2"/>
      <c r="N56" s="1"/>
      <c r="O56" s="2"/>
      <c r="P56" s="2"/>
      <c r="Q56" s="4"/>
      <c r="R56" s="4"/>
      <c r="S56" s="4"/>
    </row>
    <row r="57" spans="1:19" x14ac:dyDescent="0.35">
      <c r="A57" s="3"/>
      <c r="B57" s="4"/>
      <c r="C57" s="4"/>
      <c r="D57" s="4"/>
      <c r="E57" s="4"/>
      <c r="F57" s="3"/>
      <c r="G57" s="3"/>
      <c r="H57" s="1"/>
      <c r="I57" s="1"/>
      <c r="J57" s="1"/>
      <c r="K57" s="1"/>
      <c r="L57" s="1"/>
      <c r="M57" s="2"/>
      <c r="N57" s="1"/>
      <c r="O57" s="2"/>
      <c r="P57" s="2"/>
      <c r="Q57" s="4"/>
      <c r="R57" s="4"/>
      <c r="S57" s="4"/>
    </row>
    <row r="58" spans="1:19" x14ac:dyDescent="0.35">
      <c r="A58" s="3"/>
      <c r="B58" s="4"/>
      <c r="C58" s="4"/>
      <c r="D58" s="4"/>
      <c r="E58" s="4"/>
      <c r="F58" s="3"/>
      <c r="G58" s="3"/>
      <c r="H58" s="1"/>
      <c r="I58" s="1"/>
      <c r="J58" s="1"/>
      <c r="K58" s="1"/>
      <c r="L58" s="1"/>
      <c r="M58" s="2"/>
      <c r="N58" s="1"/>
      <c r="O58" s="2"/>
      <c r="P58" s="2"/>
      <c r="Q58" s="4"/>
      <c r="R58" s="4"/>
      <c r="S58" s="4"/>
    </row>
    <row r="59" spans="1:19" x14ac:dyDescent="0.35">
      <c r="A59" s="3"/>
      <c r="B59" s="4"/>
      <c r="C59" s="4"/>
      <c r="D59" s="4"/>
      <c r="E59" s="4"/>
      <c r="F59" s="3"/>
      <c r="G59" s="3"/>
      <c r="H59" s="1"/>
      <c r="I59" s="1"/>
      <c r="J59" s="1"/>
      <c r="K59" s="1"/>
      <c r="L59" s="1"/>
      <c r="M59" s="2"/>
      <c r="N59" s="1"/>
      <c r="O59" s="2"/>
      <c r="P59" s="2"/>
      <c r="Q59" s="4"/>
      <c r="R59" s="4"/>
      <c r="S59" s="4"/>
    </row>
    <row r="60" spans="1:19" x14ac:dyDescent="0.35">
      <c r="A60" s="3"/>
      <c r="B60" s="4"/>
      <c r="C60" s="4"/>
      <c r="D60" s="4"/>
      <c r="E60" s="4"/>
      <c r="F60" s="3"/>
      <c r="G60" s="3"/>
      <c r="H60" s="1"/>
      <c r="I60" s="1"/>
      <c r="J60" s="1"/>
      <c r="K60" s="1"/>
      <c r="L60" s="1"/>
      <c r="M60" s="2"/>
      <c r="N60" s="1"/>
      <c r="O60" s="2"/>
      <c r="P60" s="2"/>
      <c r="Q60" s="4"/>
      <c r="R60" s="4"/>
      <c r="S60" s="4"/>
    </row>
    <row r="61" spans="1:19" x14ac:dyDescent="0.35">
      <c r="A61" s="3"/>
      <c r="B61" s="4"/>
      <c r="C61" s="4"/>
      <c r="D61" s="4"/>
      <c r="E61" s="4"/>
      <c r="F61" s="3"/>
      <c r="G61" s="3"/>
      <c r="H61" s="1"/>
      <c r="I61" s="1"/>
      <c r="J61" s="1"/>
      <c r="K61" s="1"/>
      <c r="L61" s="1"/>
      <c r="M61" s="2"/>
      <c r="N61" s="1"/>
      <c r="O61" s="2"/>
      <c r="P61" s="2"/>
      <c r="Q61" s="4"/>
      <c r="R61" s="4"/>
      <c r="S61" s="4"/>
    </row>
    <row r="62" spans="1:19" x14ac:dyDescent="0.35">
      <c r="A62" s="3"/>
      <c r="B62" s="4"/>
      <c r="C62" s="4"/>
      <c r="D62" s="4"/>
      <c r="E62" s="4"/>
      <c r="F62" s="3"/>
      <c r="G62" s="3"/>
      <c r="H62" s="1"/>
      <c r="I62" s="1"/>
      <c r="J62" s="1"/>
      <c r="K62" s="1"/>
      <c r="L62" s="1"/>
      <c r="M62" s="2"/>
      <c r="N62" s="1"/>
      <c r="O62" s="2"/>
      <c r="P62" s="2"/>
      <c r="Q62" s="4"/>
      <c r="R62" s="4"/>
      <c r="S62" s="4"/>
    </row>
    <row r="63" spans="1:19" x14ac:dyDescent="0.35">
      <c r="A63" s="3"/>
      <c r="B63" s="4"/>
      <c r="C63" s="4"/>
      <c r="D63" s="4"/>
      <c r="E63" s="4"/>
      <c r="F63" s="3"/>
      <c r="G63" s="3"/>
      <c r="H63" s="1"/>
      <c r="I63" s="1"/>
      <c r="J63" s="1"/>
      <c r="K63" s="1"/>
      <c r="L63" s="1"/>
      <c r="M63" s="2"/>
      <c r="N63" s="1"/>
      <c r="O63" s="2"/>
      <c r="P63" s="2"/>
      <c r="Q63" s="4"/>
      <c r="R63" s="4"/>
      <c r="S63" s="4"/>
    </row>
    <row r="64" spans="1:19" x14ac:dyDescent="0.35">
      <c r="A64" s="3"/>
      <c r="B64" s="4"/>
      <c r="C64" s="4"/>
      <c r="D64" s="4"/>
      <c r="E64" s="4"/>
      <c r="F64" s="3"/>
      <c r="G64" s="3"/>
      <c r="H64" s="1"/>
      <c r="I64" s="1"/>
      <c r="J64" s="1"/>
      <c r="K64" s="1"/>
      <c r="L64" s="1"/>
      <c r="M64" s="2"/>
      <c r="N64" s="1"/>
      <c r="O64" s="2"/>
      <c r="P64" s="2"/>
      <c r="Q64" s="4"/>
      <c r="R64" s="4"/>
      <c r="S64" s="4"/>
    </row>
    <row r="65" spans="1:19" x14ac:dyDescent="0.35">
      <c r="A65" s="3"/>
      <c r="B65" s="4"/>
      <c r="C65" s="4"/>
      <c r="D65" s="4"/>
      <c r="E65" s="4"/>
      <c r="F65" s="3"/>
      <c r="G65" s="3"/>
      <c r="H65" s="1"/>
      <c r="I65" s="1"/>
      <c r="J65" s="1"/>
      <c r="K65" s="1"/>
      <c r="L65" s="1"/>
      <c r="M65" s="2"/>
      <c r="N65" s="1"/>
      <c r="O65" s="2"/>
      <c r="P65" s="2"/>
      <c r="Q65" s="4"/>
      <c r="R65" s="4"/>
      <c r="S65" s="4"/>
    </row>
    <row r="66" spans="1:19" x14ac:dyDescent="0.35">
      <c r="A66" s="3"/>
      <c r="B66" s="4"/>
      <c r="C66" s="4"/>
      <c r="D66" s="4"/>
      <c r="E66" s="4"/>
      <c r="F66" s="3"/>
      <c r="G66" s="3"/>
      <c r="H66" s="1"/>
      <c r="I66" s="1"/>
      <c r="J66" s="1"/>
      <c r="K66" s="1"/>
      <c r="L66" s="1"/>
      <c r="M66" s="2"/>
      <c r="N66" s="1"/>
      <c r="O66" s="2"/>
      <c r="P66" s="2"/>
      <c r="Q66" s="4"/>
      <c r="R66" s="4"/>
      <c r="S66" s="4"/>
    </row>
    <row r="67" spans="1:19" x14ac:dyDescent="0.35">
      <c r="A67" s="3"/>
      <c r="B67" s="4"/>
      <c r="C67" s="4"/>
      <c r="D67" s="4"/>
      <c r="E67" s="4"/>
      <c r="F67" s="3"/>
      <c r="G67" s="3"/>
      <c r="H67" s="1"/>
      <c r="I67" s="1"/>
      <c r="J67" s="1"/>
      <c r="K67" s="1"/>
      <c r="L67" s="1"/>
      <c r="M67" s="2"/>
      <c r="N67" s="1"/>
      <c r="O67" s="2"/>
      <c r="P67" s="2"/>
      <c r="Q67" s="4"/>
      <c r="R67" s="4"/>
      <c r="S67" s="4"/>
    </row>
    <row r="68" spans="1:19" x14ac:dyDescent="0.35">
      <c r="A68" s="3"/>
      <c r="B68" s="4"/>
      <c r="C68" s="4"/>
      <c r="D68" s="4"/>
      <c r="E68" s="4"/>
      <c r="F68" s="3"/>
      <c r="G68" s="3"/>
      <c r="H68" s="1"/>
      <c r="I68" s="1"/>
      <c r="J68" s="1"/>
      <c r="K68" s="1"/>
      <c r="L68" s="1"/>
      <c r="M68" s="2"/>
      <c r="N68" s="1"/>
      <c r="O68" s="2"/>
      <c r="P68" s="2"/>
      <c r="Q68" s="4"/>
      <c r="R68" s="4"/>
      <c r="S68" s="4"/>
    </row>
    <row r="69" spans="1:19" x14ac:dyDescent="0.35">
      <c r="A69" s="3"/>
      <c r="B69" s="4"/>
      <c r="C69" s="4"/>
      <c r="D69" s="4"/>
      <c r="E69" s="4"/>
      <c r="F69" s="3"/>
      <c r="G69" s="3"/>
      <c r="H69" s="1"/>
      <c r="I69" s="1"/>
      <c r="J69" s="1"/>
      <c r="K69" s="1"/>
      <c r="L69" s="1"/>
      <c r="M69" s="2"/>
      <c r="N69" s="1"/>
      <c r="O69" s="2"/>
      <c r="P69" s="2"/>
      <c r="Q69" s="4"/>
      <c r="R69" s="4"/>
      <c r="S69" s="4"/>
    </row>
    <row r="70" spans="1:19" x14ac:dyDescent="0.35">
      <c r="A70" s="3"/>
      <c r="B70" s="4"/>
      <c r="C70" s="4"/>
      <c r="D70" s="4"/>
      <c r="E70" s="4"/>
      <c r="F70" s="3"/>
      <c r="G70" s="3"/>
      <c r="H70" s="1"/>
      <c r="I70" s="1"/>
      <c r="J70" s="1"/>
      <c r="K70" s="1"/>
      <c r="L70" s="1"/>
      <c r="M70" s="2"/>
      <c r="N70" s="1"/>
      <c r="O70" s="2"/>
      <c r="P70" s="2"/>
      <c r="Q70" s="4"/>
      <c r="R70" s="4"/>
      <c r="S70" s="4"/>
    </row>
    <row r="71" spans="1:19" x14ac:dyDescent="0.35">
      <c r="A71" s="3"/>
      <c r="B71" s="4"/>
      <c r="C71" s="4"/>
      <c r="D71" s="4"/>
      <c r="E71" s="4"/>
      <c r="F71" s="3"/>
      <c r="G71" s="3"/>
      <c r="H71" s="1"/>
      <c r="I71" s="1"/>
      <c r="J71" s="1"/>
      <c r="K71" s="1"/>
      <c r="L71" s="1"/>
      <c r="M71" s="2"/>
      <c r="N71" s="1"/>
      <c r="O71" s="2"/>
      <c r="P71" s="2"/>
      <c r="Q71" s="4"/>
      <c r="R71" s="4"/>
      <c r="S71" s="4"/>
    </row>
    <row r="72" spans="1:19" x14ac:dyDescent="0.35">
      <c r="A72" s="3"/>
      <c r="B72" s="4"/>
      <c r="C72" s="4"/>
      <c r="D72" s="4"/>
      <c r="E72" s="4"/>
      <c r="F72" s="3"/>
      <c r="G72" s="3"/>
      <c r="H72" s="1"/>
      <c r="I72" s="1"/>
      <c r="J72" s="1"/>
      <c r="K72" s="1"/>
      <c r="L72" s="1"/>
      <c r="M72" s="2"/>
      <c r="N72" s="1"/>
      <c r="O72" s="2"/>
      <c r="P72" s="2"/>
      <c r="Q72" s="4"/>
      <c r="R72" s="4"/>
      <c r="S72" s="4"/>
    </row>
    <row r="73" spans="1:19" x14ac:dyDescent="0.35">
      <c r="A73" s="3"/>
      <c r="B73" s="4"/>
      <c r="C73" s="4"/>
      <c r="D73" s="4"/>
      <c r="E73" s="4"/>
      <c r="F73" s="3"/>
      <c r="G73" s="3"/>
      <c r="H73" s="1"/>
      <c r="I73" s="1"/>
      <c r="J73" s="1"/>
      <c r="K73" s="1"/>
      <c r="L73" s="1"/>
      <c r="M73" s="2"/>
      <c r="N73" s="1"/>
      <c r="O73" s="2"/>
      <c r="P73" s="2"/>
      <c r="Q73" s="4"/>
      <c r="R73" s="4"/>
      <c r="S73" s="4"/>
    </row>
    <row r="74" spans="1:19" x14ac:dyDescent="0.35">
      <c r="A74" s="3"/>
      <c r="B74" s="4"/>
      <c r="C74" s="4"/>
      <c r="D74" s="4"/>
      <c r="E74" s="4"/>
      <c r="F74" s="3"/>
      <c r="G74" s="3"/>
      <c r="H74" s="1"/>
      <c r="I74" s="1"/>
      <c r="J74" s="1"/>
      <c r="K74" s="1"/>
      <c r="L74" s="1"/>
      <c r="M74" s="2"/>
      <c r="N74" s="1"/>
      <c r="O74" s="2"/>
      <c r="P74" s="2"/>
      <c r="Q74" s="4"/>
      <c r="R74" s="4"/>
      <c r="S74" s="4"/>
    </row>
    <row r="75" spans="1:19" x14ac:dyDescent="0.35">
      <c r="A75" s="3"/>
      <c r="B75" s="4"/>
      <c r="C75" s="4"/>
      <c r="D75" s="4"/>
      <c r="E75" s="4"/>
      <c r="F75" s="3"/>
      <c r="G75" s="3"/>
      <c r="H75" s="1"/>
      <c r="I75" s="1"/>
      <c r="J75" s="1"/>
      <c r="K75" s="1"/>
      <c r="L75" s="1"/>
      <c r="M75" s="2"/>
      <c r="N75" s="1"/>
      <c r="O75" s="2"/>
      <c r="P75" s="2"/>
      <c r="Q75" s="4"/>
      <c r="R75" s="4"/>
      <c r="S75" s="4"/>
    </row>
    <row r="76" spans="1:19" x14ac:dyDescent="0.35">
      <c r="A76" s="3"/>
      <c r="B76" s="4"/>
      <c r="C76" s="4"/>
      <c r="D76" s="4"/>
      <c r="E76" s="4"/>
      <c r="F76" s="3"/>
      <c r="G76" s="3"/>
      <c r="H76" s="1"/>
      <c r="I76" s="1"/>
      <c r="J76" s="1"/>
      <c r="K76" s="1"/>
      <c r="L76" s="1"/>
      <c r="M76" s="2"/>
      <c r="N76" s="1"/>
      <c r="O76" s="2"/>
      <c r="P76" s="2"/>
      <c r="Q76" s="4"/>
      <c r="R76" s="4"/>
      <c r="S76" s="4"/>
    </row>
    <row r="77" spans="1:19" x14ac:dyDescent="0.35">
      <c r="A77" s="3"/>
      <c r="B77" s="4"/>
      <c r="C77" s="4"/>
      <c r="D77" s="4"/>
      <c r="E77" s="4"/>
      <c r="F77" s="3"/>
      <c r="G77" s="3"/>
      <c r="H77" s="1"/>
      <c r="I77" s="1"/>
      <c r="J77" s="1"/>
      <c r="K77" s="1"/>
      <c r="L77" s="1"/>
      <c r="M77" s="2"/>
      <c r="N77" s="1"/>
      <c r="O77" s="2"/>
      <c r="P77" s="2"/>
      <c r="Q77" s="4"/>
      <c r="R77" s="4"/>
      <c r="S77" s="4"/>
    </row>
    <row r="78" spans="1:19" x14ac:dyDescent="0.35">
      <c r="A78" s="3"/>
      <c r="B78" s="4"/>
      <c r="C78" s="4"/>
      <c r="D78" s="4"/>
      <c r="E78" s="4"/>
      <c r="F78" s="3"/>
      <c r="G78" s="3"/>
      <c r="H78" s="1"/>
      <c r="I78" s="1"/>
      <c r="J78" s="1"/>
      <c r="K78" s="1"/>
      <c r="L78" s="1"/>
      <c r="M78" s="2"/>
      <c r="N78" s="1"/>
      <c r="O78" s="2"/>
      <c r="P78" s="2"/>
      <c r="Q78" s="4"/>
      <c r="R78" s="4"/>
      <c r="S78" s="4"/>
    </row>
    <row r="79" spans="1:19" x14ac:dyDescent="0.35">
      <c r="A79" s="3"/>
      <c r="B79" s="4"/>
      <c r="C79" s="4"/>
      <c r="D79" s="4"/>
      <c r="E79" s="4"/>
      <c r="F79" s="3"/>
      <c r="G79" s="3"/>
      <c r="H79" s="1"/>
      <c r="I79" s="1"/>
      <c r="J79" s="1"/>
      <c r="K79" s="1"/>
      <c r="L79" s="1"/>
      <c r="M79" s="2"/>
      <c r="N79" s="1"/>
      <c r="O79" s="2"/>
      <c r="P79" s="2"/>
      <c r="Q79" s="4"/>
      <c r="R79" s="4"/>
      <c r="S79" s="4"/>
    </row>
    <row r="80" spans="1:19" x14ac:dyDescent="0.35">
      <c r="A80" s="3"/>
      <c r="B80" s="4"/>
      <c r="C80" s="4"/>
      <c r="D80" s="4"/>
      <c r="E80" s="4"/>
      <c r="F80" s="3"/>
      <c r="G80" s="3"/>
      <c r="H80" s="1"/>
      <c r="I80" s="1"/>
      <c r="J80" s="1"/>
      <c r="K80" s="1"/>
      <c r="L80" s="1"/>
      <c r="M80" s="2"/>
      <c r="N80" s="1"/>
      <c r="O80" s="2"/>
      <c r="P80" s="2"/>
      <c r="Q80" s="4"/>
      <c r="R80" s="4"/>
      <c r="S80" s="4"/>
    </row>
    <row r="81" spans="1:19" x14ac:dyDescent="0.35">
      <c r="A81" s="3"/>
      <c r="B81" s="4"/>
      <c r="C81" s="4"/>
      <c r="D81" s="4"/>
      <c r="E81" s="4"/>
      <c r="F81" s="3"/>
      <c r="G81" s="3"/>
      <c r="H81" s="1"/>
      <c r="I81" s="1"/>
      <c r="J81" s="1"/>
      <c r="K81" s="1"/>
      <c r="L81" s="1"/>
      <c r="M81" s="2"/>
      <c r="N81" s="1"/>
      <c r="O81" s="2"/>
      <c r="P81" s="2"/>
      <c r="Q81" s="4"/>
      <c r="R81" s="4"/>
      <c r="S81" s="4"/>
    </row>
    <row r="82" spans="1:19" x14ac:dyDescent="0.35">
      <c r="A82" s="3"/>
      <c r="B82" s="4"/>
      <c r="C82" s="4"/>
      <c r="D82" s="4"/>
      <c r="E82" s="4"/>
      <c r="F82" s="3"/>
      <c r="G82" s="3"/>
      <c r="H82" s="1"/>
      <c r="I82" s="1"/>
      <c r="J82" s="1"/>
      <c r="K82" s="1"/>
      <c r="L82" s="1"/>
      <c r="M82" s="2"/>
      <c r="N82" s="1"/>
      <c r="O82" s="2"/>
      <c r="P82" s="2"/>
      <c r="Q82" s="4"/>
      <c r="R82" s="4"/>
      <c r="S82" s="4"/>
    </row>
    <row r="83" spans="1:19" x14ac:dyDescent="0.35">
      <c r="A83" s="3"/>
      <c r="B83" s="4"/>
      <c r="C83" s="4"/>
      <c r="D83" s="4"/>
      <c r="E83" s="4"/>
      <c r="F83" s="3"/>
      <c r="G83" s="3"/>
      <c r="H83" s="1"/>
      <c r="I83" s="1"/>
      <c r="J83" s="1"/>
      <c r="K83" s="1"/>
      <c r="L83" s="1"/>
      <c r="M83" s="2"/>
      <c r="N83" s="1"/>
      <c r="O83" s="2"/>
      <c r="P83" s="2"/>
      <c r="Q83" s="4"/>
      <c r="R83" s="4"/>
      <c r="S83" s="4"/>
    </row>
    <row r="84" spans="1:19" x14ac:dyDescent="0.35">
      <c r="A84" s="3"/>
      <c r="B84" s="4"/>
      <c r="C84" s="4"/>
      <c r="D84" s="4"/>
      <c r="E84" s="4"/>
      <c r="F84" s="3"/>
      <c r="G84" s="3"/>
      <c r="H84" s="1"/>
      <c r="I84" s="1"/>
      <c r="J84" s="1"/>
      <c r="K84" s="1"/>
      <c r="L84" s="1"/>
      <c r="M84" s="2"/>
      <c r="N84" s="1"/>
      <c r="O84" s="2"/>
      <c r="P84" s="2"/>
      <c r="Q84" s="4"/>
      <c r="R84" s="4"/>
      <c r="S84" s="4"/>
    </row>
    <row r="85" spans="1:19" x14ac:dyDescent="0.35">
      <c r="A85" s="3"/>
      <c r="B85" s="4"/>
      <c r="C85" s="4"/>
      <c r="D85" s="4"/>
      <c r="E85" s="4"/>
      <c r="F85" s="3"/>
      <c r="G85" s="3"/>
      <c r="H85" s="1"/>
      <c r="I85" s="1"/>
      <c r="J85" s="1"/>
      <c r="K85" s="1"/>
      <c r="L85" s="1"/>
      <c r="M85" s="2"/>
      <c r="N85" s="1"/>
      <c r="O85" s="2"/>
      <c r="P85" s="2"/>
      <c r="Q85" s="4"/>
      <c r="R85" s="4"/>
      <c r="S85" s="4"/>
    </row>
    <row r="86" spans="1:19" x14ac:dyDescent="0.35">
      <c r="A86" s="3"/>
      <c r="B86" s="4"/>
      <c r="C86" s="4"/>
      <c r="D86" s="4"/>
      <c r="E86" s="4"/>
      <c r="F86" s="3"/>
      <c r="G86" s="3"/>
      <c r="H86" s="1"/>
      <c r="I86" s="1"/>
      <c r="J86" s="1"/>
      <c r="K86" s="1"/>
      <c r="L86" s="1"/>
      <c r="M86" s="2"/>
      <c r="N86" s="1"/>
      <c r="O86" s="2"/>
      <c r="P86" s="2"/>
      <c r="Q86" s="4"/>
      <c r="R86" s="4"/>
      <c r="S86" s="4"/>
    </row>
  </sheetData>
  <sheetProtection formatCells="0" formatColumns="0" formatRows="0" insertColumns="0" insertRows="0" insertHyperlinks="0" deleteColumns="0" deleteRows="0" sort="0" autoFilter="0" pivotTables="0"/>
  <mergeCells count="3">
    <mergeCell ref="M1:N1"/>
    <mergeCell ref="P1:R1"/>
    <mergeCell ref="T1:V1"/>
  </mergeCells>
  <pageMargins left="0.70000000000000007" right="0.70000000000000007" top="0.75" bottom="0.75" header="0.30000000000000004" footer="0.30000000000000004"/>
  <pageSetup paperSize="9" fitToWidth="0" fitToHeight="0" orientation="portrait" r:id="rId1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FBB-70AA-463F-8954-CE61AB271125}">
  <sheetPr codeName="Arkusz7"/>
  <dimension ref="A1:V5"/>
  <sheetViews>
    <sheetView workbookViewId="0">
      <selection activeCell="G5" sqref="G5"/>
    </sheetView>
  </sheetViews>
  <sheetFormatPr defaultRowHeight="14.5" x14ac:dyDescent="0.35"/>
  <cols>
    <col min="15" max="15" width="16.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5</v>
      </c>
      <c r="G1" t="s">
        <v>6</v>
      </c>
      <c r="H1" t="s">
        <v>56</v>
      </c>
      <c r="I1" t="s">
        <v>7</v>
      </c>
      <c r="J1" t="s">
        <v>8</v>
      </c>
      <c r="K1" t="s">
        <v>121</v>
      </c>
      <c r="L1" t="s">
        <v>76</v>
      </c>
      <c r="M1" s="145" t="s">
        <v>9</v>
      </c>
      <c r="N1" s="145"/>
      <c r="O1" s="8" t="s">
        <v>20</v>
      </c>
      <c r="P1" s="145" t="s">
        <v>10</v>
      </c>
      <c r="Q1" s="145"/>
      <c r="R1" s="145"/>
      <c r="T1" s="145"/>
      <c r="U1" s="145"/>
      <c r="V1" s="145"/>
    </row>
    <row r="2" spans="1:22" x14ac:dyDescent="0.35">
      <c r="A2">
        <f>Panele!L9</f>
        <v>370</v>
      </c>
      <c r="B2">
        <f>ROUNDDOWN((KALKULATOR!B17/A2),0)</f>
        <v>10</v>
      </c>
      <c r="D2">
        <f>Panele!L3</f>
        <v>430</v>
      </c>
      <c r="E2">
        <v>0</v>
      </c>
      <c r="F2">
        <f>Konstrukcja!C16</f>
        <v>120</v>
      </c>
      <c r="K2">
        <f>'kalkulator solaredge'!J2</f>
        <v>0</v>
      </c>
      <c r="L2">
        <f>Akumulator!E3</f>
        <v>0</v>
      </c>
      <c r="M2" t="s">
        <v>13</v>
      </c>
      <c r="N2" t="s">
        <v>14</v>
      </c>
      <c r="O2">
        <f>Robocizna!G2</f>
        <v>7624.2110967234003</v>
      </c>
      <c r="P2" t="s">
        <v>13</v>
      </c>
      <c r="Q2" t="s">
        <v>14</v>
      </c>
      <c r="R2">
        <v>23</v>
      </c>
      <c r="S2" t="s">
        <v>15</v>
      </c>
    </row>
    <row r="3" spans="1:22" ht="18.5" x14ac:dyDescent="0.45">
      <c r="A3" s="17">
        <f t="shared" ref="A3" si="0">A2</f>
        <v>370</v>
      </c>
      <c r="B3" s="18">
        <f>B2</f>
        <v>10</v>
      </c>
      <c r="C3" s="17">
        <f t="shared" ref="C3" si="1">A3*B3</f>
        <v>3700</v>
      </c>
      <c r="D3" s="17">
        <f t="shared" ref="D3" si="2">$D$2*B3</f>
        <v>4300</v>
      </c>
      <c r="E3" s="17">
        <f t="shared" ref="E3" si="3">$E$2*B3</f>
        <v>0</v>
      </c>
      <c r="F3" s="17">
        <f t="shared" ref="F3" si="4">$F$2*(B3)</f>
        <v>1200</v>
      </c>
      <c r="G3" s="17">
        <f>Falownik!M2</f>
        <v>3550</v>
      </c>
      <c r="H3" s="17">
        <f>Licznik!D6</f>
        <v>0</v>
      </c>
      <c r="I3" s="19">
        <f>IF(B3&lt;21,800,IF(B3&lt;42,1000,IF(B3&lt;63,1200,1400)))</f>
        <v>800</v>
      </c>
      <c r="J3" s="19">
        <f>IF(B3&lt;21,200+(20*B3),IF(B3&lt;42,2*(200+(20*(B3/2))),IF(B3&lt;63,3*(200+(20*(B3/3))),4*(200+(20*(B3/4))))))</f>
        <v>400</v>
      </c>
      <c r="K3" s="19">
        <f>K2</f>
        <v>0</v>
      </c>
      <c r="L3" s="19">
        <f>L2</f>
        <v>0</v>
      </c>
      <c r="M3" s="20">
        <f>P3-O3</f>
        <v>10250</v>
      </c>
      <c r="N3" s="19">
        <f t="shared" ref="N3" si="5">M3*1.23</f>
        <v>12607.5</v>
      </c>
      <c r="O3" s="20">
        <f>O2</f>
        <v>7624.2110967234003</v>
      </c>
      <c r="P3" s="20">
        <f>D3+E3+F3+G3+I3+J3+K3+L3+O3+H3</f>
        <v>17874.2110967234</v>
      </c>
      <c r="Q3" s="17">
        <f t="shared" ref="Q3" si="6">P3*1.08</f>
        <v>19304.147984461273</v>
      </c>
      <c r="R3" s="17">
        <f t="shared" ref="R3" si="7">P3*1.23</f>
        <v>21985.279648969783</v>
      </c>
      <c r="S3" s="18">
        <f>P3/C3</f>
        <v>4.8308678639792975</v>
      </c>
      <c r="T3" s="16"/>
      <c r="U3" s="16"/>
      <c r="V3" s="16"/>
    </row>
    <row r="4" spans="1:22" x14ac:dyDescent="0.35">
      <c r="A4">
        <f>Panele!M9</f>
        <v>440</v>
      </c>
      <c r="D4">
        <f>Panele!M3</f>
        <v>405</v>
      </c>
      <c r="F4">
        <f>Konstrukcja!C17</f>
        <v>200</v>
      </c>
    </row>
    <row r="5" spans="1:22" ht="18.5" x14ac:dyDescent="0.45">
      <c r="A5" s="17">
        <f>A4</f>
        <v>440</v>
      </c>
      <c r="B5" s="18">
        <f>'kalkulator solaredge'!B13</f>
        <v>13</v>
      </c>
      <c r="C5" s="17">
        <f t="shared" ref="C5" si="8">A5*B5</f>
        <v>5720</v>
      </c>
      <c r="D5" s="17">
        <f>$D$4*B5</f>
        <v>5265</v>
      </c>
      <c r="E5" s="17">
        <f t="shared" ref="E5" si="9">$E$2*B5</f>
        <v>0</v>
      </c>
      <c r="F5" s="17">
        <f>$F$4*(B5)</f>
        <v>2600</v>
      </c>
      <c r="G5" s="17">
        <f>Falownik!M3</f>
        <v>3920</v>
      </c>
      <c r="H5" s="17">
        <f>H3</f>
        <v>0</v>
      </c>
      <c r="I5" s="19">
        <f>IF(B5&lt;21,800,IF(B5&lt;42,1000,IF(B5&lt;63,1200,1400)))</f>
        <v>800</v>
      </c>
      <c r="J5" s="19">
        <f>IF(B5&lt;21,200+(20*B5),IF(B5&lt;42,2*(200+(20*(B5/2))),IF(B5&lt;63,3*(200+(20*(B5/3))),4*(200+(20*(B5/4))))))</f>
        <v>460</v>
      </c>
      <c r="K5" s="19">
        <f>K2</f>
        <v>0</v>
      </c>
      <c r="L5" s="19">
        <f>L2</f>
        <v>0</v>
      </c>
      <c r="M5" s="20">
        <f>P5-O5</f>
        <v>13045</v>
      </c>
      <c r="N5" s="19">
        <f t="shared" ref="N5" si="10">M5*1.23</f>
        <v>16045.35</v>
      </c>
      <c r="O5" s="20">
        <f>Robocizna!G3</f>
        <v>10572.5</v>
      </c>
      <c r="P5" s="20">
        <f>D5+E5+F5+G5+I5+J5+K5+L5+O5+H5</f>
        <v>23617.5</v>
      </c>
      <c r="Q5" s="17">
        <f t="shared" ref="Q5" si="11">P5*1.08</f>
        <v>25506.9</v>
      </c>
      <c r="R5" s="17">
        <f t="shared" ref="R5" si="12">P5*1.23</f>
        <v>29049.524999999998</v>
      </c>
      <c r="S5" s="18">
        <f>P5/C5</f>
        <v>4.1289335664335667</v>
      </c>
      <c r="T5" s="16" t="s">
        <v>179</v>
      </c>
      <c r="U5" s="16"/>
      <c r="V5" s="16"/>
    </row>
  </sheetData>
  <mergeCells count="3">
    <mergeCell ref="M1:N1"/>
    <mergeCell ref="P1:R1"/>
    <mergeCell ref="T1:V1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2B4-B30B-4C4E-BAEF-73F8FE6E7A60}">
  <dimension ref="A1:V5"/>
  <sheetViews>
    <sheetView workbookViewId="0">
      <selection activeCell="G5" sqref="G5"/>
    </sheetView>
  </sheetViews>
  <sheetFormatPr defaultRowHeight="14.5" x14ac:dyDescent="0.35"/>
  <sheetData>
    <row r="1" spans="1:22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5</v>
      </c>
      <c r="G1" t="s">
        <v>6</v>
      </c>
      <c r="H1" t="s">
        <v>56</v>
      </c>
      <c r="I1" t="s">
        <v>7</v>
      </c>
      <c r="J1" t="s">
        <v>8</v>
      </c>
      <c r="K1" t="s">
        <v>121</v>
      </c>
      <c r="L1" t="s">
        <v>78</v>
      </c>
      <c r="M1" s="145" t="s">
        <v>9</v>
      </c>
      <c r="N1" s="145"/>
      <c r="O1" s="8" t="s">
        <v>20</v>
      </c>
      <c r="P1" s="145" t="s">
        <v>10</v>
      </c>
      <c r="Q1" s="145"/>
      <c r="R1" s="145"/>
      <c r="T1" s="145"/>
      <c r="U1" s="145"/>
      <c r="V1" s="145"/>
    </row>
    <row r="2" spans="1:22" x14ac:dyDescent="0.35">
      <c r="A2">
        <f>Panele!L9</f>
        <v>370</v>
      </c>
      <c r="B2">
        <f>ROUNDDOWN(KALKULATOR!B17/A2,0)</f>
        <v>10</v>
      </c>
      <c r="D2">
        <f>Panele!L3</f>
        <v>430</v>
      </c>
      <c r="E2">
        <v>0</v>
      </c>
      <c r="F2">
        <f>Konstrukcja!C16</f>
        <v>120</v>
      </c>
      <c r="K2">
        <f>'kalkulator solaredge'!J2</f>
        <v>0</v>
      </c>
      <c r="L2">
        <f>Akumulator!E3</f>
        <v>0</v>
      </c>
      <c r="M2" t="s">
        <v>13</v>
      </c>
      <c r="N2" t="s">
        <v>14</v>
      </c>
      <c r="O2">
        <f>Robocizna!G2*0.95</f>
        <v>7243.0005418872297</v>
      </c>
      <c r="P2" t="s">
        <v>13</v>
      </c>
      <c r="Q2" t="s">
        <v>14</v>
      </c>
      <c r="R2">
        <v>23</v>
      </c>
      <c r="S2" t="s">
        <v>15</v>
      </c>
    </row>
    <row r="3" spans="1:22" ht="18.5" x14ac:dyDescent="0.45">
      <c r="A3" s="17">
        <f t="shared" ref="A3:A5" si="0">A2</f>
        <v>370</v>
      </c>
      <c r="B3" s="18">
        <f>B2</f>
        <v>10</v>
      </c>
      <c r="C3" s="17">
        <f t="shared" ref="C3" si="1">A3*B3</f>
        <v>3700</v>
      </c>
      <c r="D3" s="17">
        <f t="shared" ref="D3" si="2">$D$2*B3</f>
        <v>4300</v>
      </c>
      <c r="E3" s="17">
        <f t="shared" ref="E3" si="3">$E$2*B3</f>
        <v>0</v>
      </c>
      <c r="F3" s="17">
        <f t="shared" ref="F3" si="4">$F$2*(B3)</f>
        <v>1200</v>
      </c>
      <c r="G3" s="17">
        <f>Falownik!N2</f>
        <v>2650</v>
      </c>
      <c r="H3" s="17">
        <f>Licznik!D6</f>
        <v>0</v>
      </c>
      <c r="I3" s="19">
        <f>IF(B3&lt;21,800,IF(B3&lt;42,1000,IF(B3&lt;63,1200,1400)))</f>
        <v>800</v>
      </c>
      <c r="J3" s="19">
        <f>IF(B3&lt;21,200+(20*B3),IF(B3&lt;42,2*(200+(20*(B3/2))),IF(B3&lt;63,3*(200+(20*(B3/3))),4*(200+(20*(B3/4))))))</f>
        <v>400</v>
      </c>
      <c r="K3" s="19">
        <f>K2</f>
        <v>0</v>
      </c>
      <c r="L3" s="19">
        <f>L2</f>
        <v>0</v>
      </c>
      <c r="M3" s="20">
        <f>P3-O3</f>
        <v>9350.0000000000018</v>
      </c>
      <c r="N3" s="19">
        <f t="shared" ref="N3" si="5">M3*1.23</f>
        <v>11500.500000000002</v>
      </c>
      <c r="O3" s="20">
        <f>O2</f>
        <v>7243.0005418872297</v>
      </c>
      <c r="P3" s="20">
        <f>D3+E3+F3+G3+I3+J3+K3+L3+O3+H3</f>
        <v>16593.000541887232</v>
      </c>
      <c r="Q3" s="17">
        <f t="shared" ref="Q3" si="6">P3*1.08</f>
        <v>17920.440585238211</v>
      </c>
      <c r="R3" s="17">
        <f t="shared" ref="R3" si="7">P3*1.23</f>
        <v>20409.390666521296</v>
      </c>
      <c r="S3" s="18">
        <f>P3/C3</f>
        <v>4.4845947410506035</v>
      </c>
      <c r="T3" s="16"/>
      <c r="U3" s="16"/>
      <c r="V3" s="16"/>
    </row>
    <row r="4" spans="1:22" x14ac:dyDescent="0.35">
      <c r="A4">
        <f>Panele!M9</f>
        <v>440</v>
      </c>
      <c r="D4">
        <f>Panele!M3</f>
        <v>405</v>
      </c>
      <c r="F4">
        <f>Konstrukcja!C17</f>
        <v>200</v>
      </c>
    </row>
    <row r="5" spans="1:22" ht="18.5" x14ac:dyDescent="0.45">
      <c r="A5" s="17">
        <f t="shared" si="0"/>
        <v>440</v>
      </c>
      <c r="B5" s="18">
        <f>'kalkulator solaredge'!B13</f>
        <v>13</v>
      </c>
      <c r="C5" s="17">
        <f t="shared" ref="C5" si="8">A5*B5</f>
        <v>5720</v>
      </c>
      <c r="D5" s="17">
        <f>$D$4*B5</f>
        <v>5265</v>
      </c>
      <c r="E5" s="17">
        <f t="shared" ref="E5" si="9">$E$2*B5</f>
        <v>0</v>
      </c>
      <c r="F5" s="17">
        <f>$F$4*(B5)</f>
        <v>2600</v>
      </c>
      <c r="G5" s="17">
        <f>Falownik!N3</f>
        <v>2850</v>
      </c>
      <c r="H5" s="17">
        <f>H3</f>
        <v>0</v>
      </c>
      <c r="I5" s="19">
        <f>IF(B5&lt;21,800,IF(B5&lt;42,1000,IF(B5&lt;63,1200,1400)))</f>
        <v>800</v>
      </c>
      <c r="J5" s="19">
        <f>IF(B5&lt;21,200+(20*B5),IF(B5&lt;42,2*(200+(20*(B5/2))),IF(B5&lt;63,3*(200+(20*(B5/3))),4*(200+(20*(B5/4))))))</f>
        <v>460</v>
      </c>
      <c r="K5" s="19">
        <f>K3</f>
        <v>0</v>
      </c>
      <c r="L5" s="19">
        <f>L3</f>
        <v>0</v>
      </c>
      <c r="M5" s="20">
        <f>P5-O5</f>
        <v>11975</v>
      </c>
      <c r="N5" s="19">
        <f t="shared" ref="N5" si="10">M5*1.23</f>
        <v>14729.25</v>
      </c>
      <c r="O5" s="20">
        <f>Robocizna!G3</f>
        <v>10572.5</v>
      </c>
      <c r="P5" s="20">
        <f>D5+E5+F5+G5+I5+J5+K5+L5+O5+H5</f>
        <v>22547.5</v>
      </c>
      <c r="Q5" s="17">
        <f t="shared" ref="Q5" si="11">P5*1.08</f>
        <v>24351.300000000003</v>
      </c>
      <c r="R5" s="17">
        <f t="shared" ref="R5" si="12">P5*1.23</f>
        <v>27733.424999999999</v>
      </c>
      <c r="S5" s="18">
        <f>P5/C5</f>
        <v>3.9418706293706292</v>
      </c>
      <c r="T5" s="16"/>
      <c r="U5" s="16"/>
      <c r="V5" s="16"/>
    </row>
  </sheetData>
  <mergeCells count="3">
    <mergeCell ref="M1:N1"/>
    <mergeCell ref="P1:R1"/>
    <mergeCell ref="T1:V1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741A-AD4C-4D41-B82D-F9B1833FA7A7}">
  <sheetPr codeName="Arkusz5"/>
  <dimension ref="A2:L21"/>
  <sheetViews>
    <sheetView topLeftCell="A4" workbookViewId="0">
      <selection activeCell="B15" sqref="B15"/>
    </sheetView>
  </sheetViews>
  <sheetFormatPr defaultColWidth="8.6328125" defaultRowHeight="14.5" x14ac:dyDescent="0.35"/>
  <cols>
    <col min="1" max="3" width="26.54296875" style="22" customWidth="1"/>
    <col min="4" max="6" width="17.08984375" style="22" customWidth="1"/>
    <col min="7" max="16384" width="8.6328125" style="22"/>
  </cols>
  <sheetData>
    <row r="2" spans="1:12" ht="76.5" customHeight="1" x14ac:dyDescent="0.35"/>
    <row r="3" spans="1:12" ht="14.4" customHeight="1" x14ac:dyDescent="0.35"/>
    <row r="4" spans="1:12" ht="28.5" customHeight="1" x14ac:dyDescent="0.35">
      <c r="A4" s="23" t="s">
        <v>40</v>
      </c>
      <c r="B4" s="127"/>
      <c r="C4" s="128"/>
    </row>
    <row r="5" spans="1:12" ht="28.5" customHeight="1" x14ac:dyDescent="0.35">
      <c r="A5" s="23" t="s">
        <v>22</v>
      </c>
      <c r="B5" s="62">
        <v>6000</v>
      </c>
      <c r="C5" s="23" t="s">
        <v>49</v>
      </c>
    </row>
    <row r="6" spans="1:12" ht="28.5" customHeight="1" x14ac:dyDescent="0.35">
      <c r="A6" s="23" t="s">
        <v>38</v>
      </c>
      <c r="B6" s="127"/>
      <c r="C6" s="128"/>
      <c r="L6" s="22">
        <v>1</v>
      </c>
    </row>
    <row r="7" spans="1:12" ht="28.5" customHeight="1" x14ac:dyDescent="0.35">
      <c r="A7" s="23" t="s">
        <v>41</v>
      </c>
      <c r="B7" s="127"/>
      <c r="C7" s="128"/>
    </row>
    <row r="8" spans="1:12" ht="28.5" customHeight="1" x14ac:dyDescent="0.35">
      <c r="A8" s="23" t="s">
        <v>162</v>
      </c>
      <c r="B8" s="127"/>
      <c r="C8" s="128"/>
    </row>
    <row r="9" spans="1:12" ht="28.5" customHeight="1" x14ac:dyDescent="0.35">
      <c r="A9" s="23" t="s">
        <v>75</v>
      </c>
      <c r="B9" s="33"/>
      <c r="C9" s="74"/>
    </row>
    <row r="10" spans="1:12" ht="28.5" customHeight="1" x14ac:dyDescent="0.35">
      <c r="A10" s="23" t="s">
        <v>122</v>
      </c>
      <c r="B10" s="33"/>
      <c r="C10" s="87"/>
    </row>
    <row r="11" spans="1:12" ht="28.5" customHeight="1" x14ac:dyDescent="0.35">
      <c r="A11" s="25" t="s">
        <v>54</v>
      </c>
      <c r="B11" s="61">
        <v>150</v>
      </c>
      <c r="C11" s="74" t="s">
        <v>55</v>
      </c>
    </row>
    <row r="13" spans="1:12" x14ac:dyDescent="0.35">
      <c r="A13" s="23" t="s">
        <v>45</v>
      </c>
      <c r="B13" s="23" t="s">
        <v>52</v>
      </c>
      <c r="C13" s="23" t="s">
        <v>50</v>
      </c>
    </row>
    <row r="14" spans="1:12" x14ac:dyDescent="0.35">
      <c r="A14" s="38">
        <v>7560</v>
      </c>
      <c r="B14" s="60">
        <v>1000</v>
      </c>
      <c r="C14" s="38">
        <f>dokladka!C10</f>
        <v>740</v>
      </c>
    </row>
    <row r="15" spans="1:12" x14ac:dyDescent="0.35">
      <c r="A15" s="26"/>
      <c r="B15" s="23" t="s">
        <v>46</v>
      </c>
      <c r="C15" s="27" t="s">
        <v>58</v>
      </c>
    </row>
    <row r="16" spans="1:12" ht="16" customHeight="1" x14ac:dyDescent="0.35">
      <c r="A16" s="28"/>
      <c r="B16" s="56">
        <f>dokladka!B10</f>
        <v>2</v>
      </c>
      <c r="C16" s="31"/>
    </row>
    <row r="18" spans="1:3" x14ac:dyDescent="0.35">
      <c r="C18" s="29"/>
    </row>
    <row r="19" spans="1:3" x14ac:dyDescent="0.35">
      <c r="B19" s="29"/>
      <c r="C19" s="29"/>
    </row>
    <row r="20" spans="1:3" x14ac:dyDescent="0.35">
      <c r="A20" s="23" t="s">
        <v>47</v>
      </c>
      <c r="B20" s="23" t="s">
        <v>48</v>
      </c>
      <c r="C20" s="23" t="s">
        <v>51</v>
      </c>
    </row>
    <row r="21" spans="1:3" ht="21" x14ac:dyDescent="0.35">
      <c r="A21" s="63">
        <f>IF(Akumulator!C4&gt;1,IF(Licznik!B6=2,"dodaj licznik",dokladka!O10),dokladka!O10)</f>
        <v>5683.1194447494636</v>
      </c>
      <c r="B21" s="64">
        <f>A21*(1+C21)</f>
        <v>6137.769000329421</v>
      </c>
      <c r="C21" s="65">
        <v>0.08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8:C8"/>
    <mergeCell ref="B4:C4"/>
    <mergeCell ref="B6:C6"/>
    <mergeCell ref="B7:C7"/>
  </mergeCells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265217" r:id="rId4" name="Drop Down 3">
      <controlPr defaultSize="0" autoLine="0" autoPict="0">
        <anchor moveWithCells="1">
          <from>
            <xdr:col>1</xdr:col>
            <xdr:colOff>254000</xdr:colOff>
            <xdr:row>7</xdr:row>
            <xdr:rowOff>69850</xdr:rowOff>
          </from>
          <to>
            <xdr:col>2</xdr:col>
            <xdr:colOff>1670050</xdr:colOff>
            <xdr:row>7</xdr:row>
            <xdr:rowOff>317500</xdr:rowOff>
          </to>
        </anchor>
      </controlPr>
    </control>
    <control shapeId="265218" r:id="rId5" name="Drop Down 4">
      <controlPr defaultSize="0" autoLine="0" autoPict="0">
        <anchor moveWithCells="1">
          <from>
            <xdr:col>1</xdr:col>
            <xdr:colOff>254000</xdr:colOff>
            <xdr:row>6</xdr:row>
            <xdr:rowOff>69850</xdr:rowOff>
          </from>
          <to>
            <xdr:col>2</xdr:col>
            <xdr:colOff>1670050</xdr:colOff>
            <xdr:row>6</xdr:row>
            <xdr:rowOff>317500</xdr:rowOff>
          </to>
        </anchor>
      </controlPr>
    </control>
    <control shapeId="265221" r:id="rId6" name="Drop Down 7">
      <controlPr defaultSize="0" autoLine="0" autoPict="0">
        <anchor moveWithCells="1">
          <from>
            <xdr:col>1</xdr:col>
            <xdr:colOff>234950</xdr:colOff>
            <xdr:row>5</xdr:row>
            <xdr:rowOff>44450</xdr:rowOff>
          </from>
          <to>
            <xdr:col>2</xdr:col>
            <xdr:colOff>1651000</xdr:colOff>
            <xdr:row>5</xdr:row>
            <xdr:rowOff>298450</xdr:rowOff>
          </to>
        </anchor>
      </controlPr>
    </control>
    <control shapeId="265222" r:id="rId7" name="Drop Down 8">
      <controlPr defaultSize="0" autoLine="0" autoPict="0">
        <anchor moveWithCells="1">
          <from>
            <xdr:col>1</xdr:col>
            <xdr:colOff>254000</xdr:colOff>
            <xdr:row>3</xdr:row>
            <xdr:rowOff>69850</xdr:rowOff>
          </from>
          <to>
            <xdr:col>2</xdr:col>
            <xdr:colOff>1670050</xdr:colOff>
            <xdr:row>3</xdr:row>
            <xdr:rowOff>317500</xdr:rowOff>
          </to>
        </anchor>
      </controlPr>
    </control>
    <control shapeId="265223" r:id="rId8" name="Drop Down 7">
      <controlPr defaultSize="0" autoLine="0" autoPict="0">
        <anchor moveWithCells="1">
          <from>
            <xdr:col>1</xdr:col>
            <xdr:colOff>260350</xdr:colOff>
            <xdr:row>8</xdr:row>
            <xdr:rowOff>31750</xdr:rowOff>
          </from>
          <to>
            <xdr:col>2</xdr:col>
            <xdr:colOff>1676400</xdr:colOff>
            <xdr:row>8</xdr:row>
            <xdr:rowOff>279400</xdr:rowOff>
          </to>
        </anchor>
      </controlPr>
    </control>
    <control shapeId="265224" r:id="rId9" name="Drop Down 1034">
      <controlPr defaultSize="0" autoLine="0" autoPict="0">
        <anchor moveWithCells="1">
          <from>
            <xdr:col>1</xdr:col>
            <xdr:colOff>260350</xdr:colOff>
            <xdr:row>9</xdr:row>
            <xdr:rowOff>50800</xdr:rowOff>
          </from>
          <to>
            <xdr:col>2</xdr:col>
            <xdr:colOff>1765300</xdr:colOff>
            <xdr:row>9</xdr:row>
            <xdr:rowOff>317500</xdr:rowOff>
          </to>
        </anchor>
      </controlPr>
    </control>
  </control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5965-B444-4F9A-B6CB-1A0C548F0E14}">
  <sheetPr codeName="Arkusz8"/>
  <dimension ref="A1:I4"/>
  <sheetViews>
    <sheetView tabSelected="1" workbookViewId="0">
      <selection activeCell="E5" sqref="E5"/>
    </sheetView>
  </sheetViews>
  <sheetFormatPr defaultRowHeight="14.5" x14ac:dyDescent="0.35"/>
  <cols>
    <col min="6" max="6" width="8.453125" customWidth="1"/>
  </cols>
  <sheetData>
    <row r="1" spans="1:9" ht="36.5" x14ac:dyDescent="0.35">
      <c r="A1" s="9" t="s">
        <v>17</v>
      </c>
      <c r="B1" s="9" t="s">
        <v>123</v>
      </c>
      <c r="C1" s="9" t="s">
        <v>81</v>
      </c>
      <c r="D1" s="9" t="s">
        <v>80</v>
      </c>
      <c r="E1" s="10" t="s">
        <v>18</v>
      </c>
      <c r="F1" s="10" t="s">
        <v>87</v>
      </c>
      <c r="G1" s="8" t="s">
        <v>20</v>
      </c>
      <c r="H1" t="s">
        <v>59</v>
      </c>
    </row>
    <row r="2" spans="1:9" x14ac:dyDescent="0.35">
      <c r="A2" s="11">
        <v>2000</v>
      </c>
      <c r="B2" s="11">
        <f>IF(ładowarka!D2&gt;1,500,0)</f>
        <v>0</v>
      </c>
      <c r="C2" s="11">
        <f>IF(Licznik!B6=1,500,0)</f>
        <v>0</v>
      </c>
      <c r="D2" s="11">
        <f>IF(Akumulator!C4&gt;1,1000,0)</f>
        <v>0</v>
      </c>
      <c r="E2" s="11">
        <f>Panele!L6*Konstrukcja!C11*Konstrukcja!C13</f>
        <v>527.42110967233998</v>
      </c>
      <c r="F2" s="11">
        <f>KALKULATOR!B13*5</f>
        <v>350</v>
      </c>
      <c r="G2">
        <f>A2+B2+C2+D2+(E2*'kalkulator solaredge'!B10)+F2</f>
        <v>7624.2110967234003</v>
      </c>
      <c r="H2">
        <f>(G2/KALKULATOR!B17)*1000</f>
        <v>2060.5975937090275</v>
      </c>
      <c r="I2" t="s">
        <v>184</v>
      </c>
    </row>
    <row r="3" spans="1:9" ht="15" thickBot="1" x14ac:dyDescent="0.4">
      <c r="A3" s="11">
        <v>2000</v>
      </c>
      <c r="B3" s="11">
        <f>IF(ładowarka!D2&gt;1,500,0)</f>
        <v>0</v>
      </c>
      <c r="C3" s="11">
        <f>IF(Licznik!B6=1,500,0)</f>
        <v>0</v>
      </c>
      <c r="D3" s="11">
        <f>IF(Akumulator!C4&gt;1,1000,0)</f>
        <v>0</v>
      </c>
      <c r="E3" s="11">
        <f>Panele!M6*Konstrukcja!C12*Konstrukcja!C13</f>
        <v>632.5</v>
      </c>
      <c r="F3" s="11">
        <f>'Inastalacja na gruncie'!B12*5</f>
        <v>350</v>
      </c>
      <c r="G3">
        <f>A3+B3+C3+D3+(E3*'kalkulator solaredge'!B13)+F3</f>
        <v>10572.5</v>
      </c>
      <c r="H3">
        <f>(G3/KALKULATOR!B17)*1000</f>
        <v>2857.4324324324325</v>
      </c>
      <c r="I3" t="s">
        <v>179</v>
      </c>
    </row>
    <row r="4" spans="1:9" ht="15" thickBot="1" x14ac:dyDescent="0.4">
      <c r="A4" s="51">
        <v>1000</v>
      </c>
      <c r="B4" s="59">
        <f>IF(ładowarka!D2&gt;1,500,0)</f>
        <v>0</v>
      </c>
      <c r="C4" s="11">
        <f>IF(Licznik!B6=1,1000,0)</f>
        <v>0</v>
      </c>
      <c r="D4" s="52">
        <f>IF(Akumulator!C4&gt;1,4500,0)</f>
        <v>0</v>
      </c>
      <c r="E4" s="53">
        <f>Panele!L6*1.1*Konstrukcja!C14</f>
        <v>576.5597223747319</v>
      </c>
      <c r="F4" s="58">
        <f>Rozbudowa!B11*5</f>
        <v>750</v>
      </c>
      <c r="G4" s="54">
        <f>A4+B4+C4+D4+(E4*dokladka!B10)+F4</f>
        <v>2903.1194447494636</v>
      </c>
      <c r="H4">
        <f>(G4/KALKULATOR!B17)*1000</f>
        <v>784.62687695931447</v>
      </c>
      <c r="I4" s="55" t="s">
        <v>120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7C72-3DE4-4D49-9C1A-8ADA4305BB26}">
  <sheetPr codeName="Arkusz9"/>
  <dimension ref="A1:AA14"/>
  <sheetViews>
    <sheetView workbookViewId="0">
      <selection activeCell="N2" sqref="N2"/>
    </sheetView>
  </sheetViews>
  <sheetFormatPr defaultRowHeight="14.5" x14ac:dyDescent="0.35"/>
  <cols>
    <col min="2" max="2" width="11.81640625" bestFit="1" customWidth="1"/>
    <col min="18" max="18" width="12.81640625" customWidth="1"/>
  </cols>
  <sheetData>
    <row r="1" spans="1:2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5</v>
      </c>
      <c r="G1" t="s">
        <v>6</v>
      </c>
      <c r="H1" t="s">
        <v>7</v>
      </c>
      <c r="I1" t="s">
        <v>8</v>
      </c>
      <c r="J1" t="s">
        <v>78</v>
      </c>
      <c r="K1" t="s">
        <v>56</v>
      </c>
      <c r="L1" s="145" t="s">
        <v>9</v>
      </c>
      <c r="M1" s="145"/>
      <c r="N1" s="8" t="s">
        <v>20</v>
      </c>
      <c r="O1" s="145" t="s">
        <v>10</v>
      </c>
      <c r="P1" s="145"/>
      <c r="Q1" s="145"/>
      <c r="S1" s="145" t="s">
        <v>72</v>
      </c>
      <c r="T1" s="145"/>
      <c r="U1" s="145"/>
    </row>
    <row r="2" spans="1:27" x14ac:dyDescent="0.35">
      <c r="A2">
        <f>Panele!L9</f>
        <v>370</v>
      </c>
      <c r="B2">
        <v>0</v>
      </c>
      <c r="D2">
        <f>Panele!L3</f>
        <v>430</v>
      </c>
      <c r="E2">
        <f>Optymalizator!A3</f>
        <v>220</v>
      </c>
      <c r="F2">
        <f>Konstrukcja!C16</f>
        <v>120</v>
      </c>
      <c r="G2">
        <v>1000</v>
      </c>
      <c r="H2">
        <v>0</v>
      </c>
      <c r="J2">
        <f>Akumulator!E3</f>
        <v>0</v>
      </c>
      <c r="K2">
        <f>Licznik!C6</f>
        <v>0</v>
      </c>
      <c r="L2" t="s">
        <v>13</v>
      </c>
      <c r="M2" t="s">
        <v>14</v>
      </c>
      <c r="N2" s="57">
        <f>Robocizna!G4</f>
        <v>2903.1194447494636</v>
      </c>
      <c r="O2" t="s">
        <v>13</v>
      </c>
      <c r="P2" t="s">
        <v>14</v>
      </c>
      <c r="Q2">
        <v>23</v>
      </c>
      <c r="R2" t="s">
        <v>15</v>
      </c>
      <c r="S2" t="s">
        <v>6</v>
      </c>
      <c r="T2" t="s">
        <v>73</v>
      </c>
      <c r="U2" t="s">
        <v>74</v>
      </c>
    </row>
    <row r="3" spans="1:27" x14ac:dyDescent="0.35">
      <c r="A3" s="1">
        <f t="shared" ref="A3:A10" si="0">A2</f>
        <v>370</v>
      </c>
      <c r="B3" s="1">
        <v>4</v>
      </c>
      <c r="C3" s="1">
        <f t="shared" ref="C3:C10" si="1">A3*B3</f>
        <v>1480</v>
      </c>
      <c r="D3" s="1">
        <f t="shared" ref="D3:D10" si="2">$D$2*B3</f>
        <v>1720</v>
      </c>
      <c r="E3" s="3">
        <f t="shared" ref="E3:E10" si="3">$E$2*B3</f>
        <v>880</v>
      </c>
      <c r="F3" s="1">
        <f t="shared" ref="F3:F10" si="4">$F$2*(B3)</f>
        <v>480</v>
      </c>
      <c r="G3" s="1">
        <v>2200</v>
      </c>
      <c r="H3" s="1">
        <f t="shared" ref="H3:H9" si="5">IF(C3&lt;10300,800,IF(C3&lt;20000,1600,2400))</f>
        <v>800</v>
      </c>
      <c r="I3" s="1">
        <f t="shared" ref="I3:I10" si="6">IF(C3&lt;10300,200+(20*B3),IF(C3&lt;20000,2*(200+(20*B3)),3*(200+(20*B3))))</f>
        <v>280</v>
      </c>
      <c r="J3" s="1">
        <f>J2</f>
        <v>0</v>
      </c>
      <c r="K3" s="1">
        <f>K2</f>
        <v>0</v>
      </c>
      <c r="L3" s="2">
        <f>O3-N3</f>
        <v>6360</v>
      </c>
      <c r="M3" s="1">
        <f t="shared" ref="M3:M10" si="7">L3*1.23</f>
        <v>7822.8</v>
      </c>
      <c r="N3" s="2">
        <v>5000</v>
      </c>
      <c r="O3" s="2">
        <f t="shared" ref="O3:O9" si="8">D3+E3+F3+G3+H3+I3+N3</f>
        <v>11360</v>
      </c>
      <c r="P3" s="1">
        <f t="shared" ref="P3:P10" si="9">O3*1.08</f>
        <v>12268.800000000001</v>
      </c>
      <c r="Q3" s="1">
        <f t="shared" ref="Q3:Q10" si="10">O3*1.23</f>
        <v>13972.8</v>
      </c>
      <c r="R3">
        <f t="shared" ref="R3:R10" si="11">O3/C3</f>
        <v>7.6756756756756754</v>
      </c>
    </row>
    <row r="4" spans="1:27" x14ac:dyDescent="0.35">
      <c r="A4" s="3">
        <f t="shared" si="0"/>
        <v>370</v>
      </c>
      <c r="B4" s="4">
        <v>6</v>
      </c>
      <c r="C4" s="3">
        <f t="shared" si="1"/>
        <v>2220</v>
      </c>
      <c r="D4" s="3">
        <f t="shared" si="2"/>
        <v>2580</v>
      </c>
      <c r="E4" s="3">
        <f t="shared" si="3"/>
        <v>1320</v>
      </c>
      <c r="F4" s="3">
        <f t="shared" si="4"/>
        <v>720</v>
      </c>
      <c r="G4" s="3">
        <v>2400</v>
      </c>
      <c r="H4" s="1">
        <f t="shared" si="5"/>
        <v>800</v>
      </c>
      <c r="I4" s="1">
        <f t="shared" si="6"/>
        <v>320</v>
      </c>
      <c r="J4" s="1">
        <f t="shared" ref="J4:K10" si="12">J3</f>
        <v>0</v>
      </c>
      <c r="K4" s="1">
        <f t="shared" si="12"/>
        <v>0</v>
      </c>
      <c r="L4" s="2">
        <f t="shared" ref="L4:L10" si="13">O4-N4</f>
        <v>8140</v>
      </c>
      <c r="M4" s="1">
        <f t="shared" si="7"/>
        <v>10012.200000000001</v>
      </c>
      <c r="N4" s="2">
        <v>5000</v>
      </c>
      <c r="O4" s="2">
        <f t="shared" si="8"/>
        <v>13140</v>
      </c>
      <c r="P4" s="3">
        <f t="shared" si="9"/>
        <v>14191.2</v>
      </c>
      <c r="Q4" s="3">
        <f t="shared" si="10"/>
        <v>16162.199999999999</v>
      </c>
      <c r="R4" s="4">
        <f t="shared" si="11"/>
        <v>5.9189189189189193</v>
      </c>
      <c r="S4" s="4"/>
      <c r="T4" s="4"/>
      <c r="U4" s="4"/>
      <c r="V4" s="4"/>
      <c r="W4" s="4"/>
      <c r="X4" s="4"/>
      <c r="Y4" s="4"/>
      <c r="Z4" s="4"/>
      <c r="AA4" s="4"/>
    </row>
    <row r="5" spans="1:27" x14ac:dyDescent="0.35">
      <c r="A5" s="1">
        <f t="shared" si="0"/>
        <v>370</v>
      </c>
      <c r="B5" s="1">
        <v>8</v>
      </c>
      <c r="C5" s="1">
        <f t="shared" si="1"/>
        <v>2960</v>
      </c>
      <c r="D5" s="1">
        <f t="shared" si="2"/>
        <v>3440</v>
      </c>
      <c r="E5" s="3">
        <f t="shared" si="3"/>
        <v>1760</v>
      </c>
      <c r="F5" s="1">
        <f t="shared" si="4"/>
        <v>960</v>
      </c>
      <c r="G5" s="1">
        <v>2600</v>
      </c>
      <c r="H5" s="1">
        <f t="shared" si="5"/>
        <v>800</v>
      </c>
      <c r="I5" s="1">
        <f t="shared" si="6"/>
        <v>360</v>
      </c>
      <c r="J5" s="1">
        <f t="shared" si="12"/>
        <v>0</v>
      </c>
      <c r="K5" s="1">
        <f t="shared" si="12"/>
        <v>0</v>
      </c>
      <c r="L5" s="2">
        <f t="shared" si="13"/>
        <v>9920</v>
      </c>
      <c r="M5" s="1">
        <f t="shared" si="7"/>
        <v>12201.6</v>
      </c>
      <c r="N5" s="2">
        <v>5000</v>
      </c>
      <c r="O5" s="2">
        <f t="shared" si="8"/>
        <v>14920</v>
      </c>
      <c r="P5" s="1">
        <f t="shared" si="9"/>
        <v>16113.6</v>
      </c>
      <c r="Q5" s="1">
        <f t="shared" si="10"/>
        <v>18351.599999999999</v>
      </c>
      <c r="R5">
        <f t="shared" si="11"/>
        <v>5.0405405405405403</v>
      </c>
    </row>
    <row r="6" spans="1:27" x14ac:dyDescent="0.35">
      <c r="A6" s="3">
        <f t="shared" si="0"/>
        <v>370</v>
      </c>
      <c r="B6" s="4">
        <v>9</v>
      </c>
      <c r="C6" s="3">
        <f t="shared" si="1"/>
        <v>3330</v>
      </c>
      <c r="D6" s="3">
        <f t="shared" si="2"/>
        <v>3870</v>
      </c>
      <c r="E6" s="3">
        <f t="shared" si="3"/>
        <v>1980</v>
      </c>
      <c r="F6" s="3">
        <f t="shared" si="4"/>
        <v>1080</v>
      </c>
      <c r="G6" s="3">
        <f>IF(C6&lt;3000,2500,IF(C6&lt;4000,3000,IF(C6&lt;5000,Falownik!$B$4,IF(C6&lt;6000,Falownik!$B$5,IF(C6&lt;7000,Falownik!$B$6,IF(C6&lt;8000,Falownik!$B$7,IF(C6&lt;9000,Falownik!$B$8,IF(C6&lt;10000,Falownik!$B$9,IF(C6&lt;12500,Falownik!$B$10,IF(C6&lt;16000,Falownik!$B$12,IF(C6&lt;20000,Falownik!$B$14,1.5*Falownik!$B$12)))))))))))</f>
        <v>3000</v>
      </c>
      <c r="H6" s="1">
        <f t="shared" si="5"/>
        <v>800</v>
      </c>
      <c r="I6" s="1">
        <f t="shared" si="6"/>
        <v>380</v>
      </c>
      <c r="J6" s="1">
        <f t="shared" si="12"/>
        <v>0</v>
      </c>
      <c r="K6" s="1">
        <f t="shared" si="12"/>
        <v>0</v>
      </c>
      <c r="L6" s="2">
        <f t="shared" si="13"/>
        <v>11110</v>
      </c>
      <c r="M6" s="1">
        <f t="shared" si="7"/>
        <v>13665.3</v>
      </c>
      <c r="N6" s="2">
        <v>5000</v>
      </c>
      <c r="O6" s="2">
        <f t="shared" si="8"/>
        <v>16110</v>
      </c>
      <c r="P6" s="3">
        <f t="shared" si="9"/>
        <v>17398.800000000003</v>
      </c>
      <c r="Q6" s="3">
        <f t="shared" si="10"/>
        <v>19815.3</v>
      </c>
      <c r="R6" s="4">
        <f t="shared" si="11"/>
        <v>4.8378378378378377</v>
      </c>
      <c r="S6" s="4"/>
      <c r="T6" s="4"/>
      <c r="U6" s="4"/>
      <c r="V6" s="4"/>
      <c r="W6" s="4"/>
      <c r="X6" s="4"/>
      <c r="Y6" s="4"/>
      <c r="Z6" s="4"/>
      <c r="AA6" s="4"/>
    </row>
    <row r="7" spans="1:27" x14ac:dyDescent="0.35">
      <c r="A7" s="1">
        <f t="shared" si="0"/>
        <v>370</v>
      </c>
      <c r="B7" s="1">
        <v>10</v>
      </c>
      <c r="C7" s="1">
        <f t="shared" si="1"/>
        <v>3700</v>
      </c>
      <c r="D7" s="1">
        <f t="shared" si="2"/>
        <v>4300</v>
      </c>
      <c r="E7" s="1">
        <f t="shared" si="3"/>
        <v>2200</v>
      </c>
      <c r="F7" s="1">
        <f t="shared" si="4"/>
        <v>1200</v>
      </c>
      <c r="G7" s="1">
        <f>IF(C7&lt;3000,2500,IF(C7&lt;4000,3000,IF(C7&lt;5000,Falownik!$B$4,IF(C7&lt;6000,Falownik!$B$5,IF(C7&lt;7000,Falownik!$B$6,IF(C7&lt;8000,Falownik!$B$7,IF(C7&lt;9000,Falownik!$B$8,IF(C7&lt;10000,Falownik!$B$9,IF(C7&lt;12500,Falownik!$B$10,IF(C7&lt;16000,Falownik!$B$12,IF(C7&lt;20000,Falownik!$B$14,1.5*Falownik!$B$12)))))))))))</f>
        <v>3000</v>
      </c>
      <c r="H7" s="1">
        <f t="shared" si="5"/>
        <v>800</v>
      </c>
      <c r="I7" s="1">
        <f t="shared" si="6"/>
        <v>400</v>
      </c>
      <c r="J7" s="1">
        <f t="shared" si="12"/>
        <v>0</v>
      </c>
      <c r="K7" s="1">
        <f t="shared" si="12"/>
        <v>0</v>
      </c>
      <c r="L7" s="2">
        <f t="shared" si="13"/>
        <v>11900</v>
      </c>
      <c r="M7" s="1">
        <f t="shared" si="7"/>
        <v>14637</v>
      </c>
      <c r="N7" s="2">
        <v>5000</v>
      </c>
      <c r="O7" s="2">
        <f t="shared" si="8"/>
        <v>16900</v>
      </c>
      <c r="P7" s="1">
        <f t="shared" si="9"/>
        <v>18252</v>
      </c>
      <c r="Q7" s="1">
        <f t="shared" si="10"/>
        <v>20787</v>
      </c>
      <c r="R7">
        <f t="shared" si="11"/>
        <v>4.5675675675675675</v>
      </c>
    </row>
    <row r="8" spans="1:27" x14ac:dyDescent="0.35">
      <c r="A8" s="3">
        <f t="shared" si="0"/>
        <v>370</v>
      </c>
      <c r="B8" s="4">
        <v>11</v>
      </c>
      <c r="C8" s="3">
        <f t="shared" si="1"/>
        <v>4070</v>
      </c>
      <c r="D8" s="3">
        <f t="shared" si="2"/>
        <v>4730</v>
      </c>
      <c r="E8" s="3">
        <f t="shared" si="3"/>
        <v>2420</v>
      </c>
      <c r="F8" s="3">
        <f t="shared" si="4"/>
        <v>1320</v>
      </c>
      <c r="G8" s="3">
        <f>IF(C8&lt;3000,2500,IF(C8&lt;4000,3000,IF(C8&lt;5000,Falownik!$B$4,IF(C8&lt;6000,Falownik!$B$5,IF(C8&lt;7000,Falownik!$B$6,IF(C8&lt;8000,Falownik!$B$7,IF(C8&lt;9000,Falownik!$B$8,IF(C8&lt;10000,Falownik!$B$9,IF(C8&lt;12500,Falownik!$B$10,IF(C8&lt;16000,Falownik!$B$12,IF(C8&lt;20000,Falownik!$B$14,1.5*Falownik!$B$12)))))))))))</f>
        <v>3570</v>
      </c>
      <c r="H8" s="1">
        <f t="shared" si="5"/>
        <v>800</v>
      </c>
      <c r="I8" s="1">
        <f t="shared" si="6"/>
        <v>420</v>
      </c>
      <c r="J8" s="1">
        <f t="shared" si="12"/>
        <v>0</v>
      </c>
      <c r="K8" s="1">
        <f t="shared" si="12"/>
        <v>0</v>
      </c>
      <c r="L8" s="2">
        <f t="shared" si="13"/>
        <v>13260</v>
      </c>
      <c r="M8" s="1">
        <f t="shared" si="7"/>
        <v>16309.8</v>
      </c>
      <c r="N8" s="2">
        <v>5000</v>
      </c>
      <c r="O8" s="2">
        <f t="shared" si="8"/>
        <v>18260</v>
      </c>
      <c r="P8" s="3">
        <f t="shared" si="9"/>
        <v>19720.800000000003</v>
      </c>
      <c r="Q8" s="3">
        <f t="shared" si="10"/>
        <v>22459.8</v>
      </c>
      <c r="R8" s="4">
        <f t="shared" si="11"/>
        <v>4.4864864864864868</v>
      </c>
      <c r="S8" s="4"/>
      <c r="T8" s="4"/>
      <c r="U8" s="4"/>
      <c r="V8" s="4"/>
      <c r="W8" s="4"/>
      <c r="X8" s="4"/>
      <c r="Y8" s="4"/>
      <c r="Z8" s="4"/>
      <c r="AA8" s="4"/>
    </row>
    <row r="9" spans="1:27" x14ac:dyDescent="0.35">
      <c r="A9" s="1">
        <f t="shared" si="0"/>
        <v>370</v>
      </c>
      <c r="B9" s="1">
        <v>12</v>
      </c>
      <c r="C9" s="1">
        <f t="shared" si="1"/>
        <v>4440</v>
      </c>
      <c r="D9" s="1">
        <f t="shared" si="2"/>
        <v>5160</v>
      </c>
      <c r="E9" s="1">
        <f t="shared" si="3"/>
        <v>2640</v>
      </c>
      <c r="F9" s="1">
        <f t="shared" si="4"/>
        <v>1440</v>
      </c>
      <c r="G9" s="1">
        <f>IF(C9&lt;3000,2500,IF(C9&lt;4000,3000,IF(C9&lt;5000,Falownik!$B$4,IF(C9&lt;6000,Falownik!$B$5,IF(C9&lt;7000,Falownik!$B$6,IF(C9&lt;8000,Falownik!$B$7,IF(C9&lt;9000,Falownik!$B$8,IF(C9&lt;10000,Falownik!$B$9,IF(C9&lt;12500,Falownik!$B$10,IF(C9&lt;16000,Falownik!$B$12,IF(C9&lt;20000,Falownik!$B$14,1.5*Falownik!$B$12)))))))))))</f>
        <v>3570</v>
      </c>
      <c r="H9" s="1">
        <f t="shared" si="5"/>
        <v>800</v>
      </c>
      <c r="I9" s="1">
        <f t="shared" si="6"/>
        <v>440</v>
      </c>
      <c r="J9" s="1">
        <f t="shared" si="12"/>
        <v>0</v>
      </c>
      <c r="K9" s="1">
        <f t="shared" si="12"/>
        <v>0</v>
      </c>
      <c r="L9" s="2">
        <f t="shared" si="13"/>
        <v>14050</v>
      </c>
      <c r="M9" s="1">
        <f t="shared" si="7"/>
        <v>17281.5</v>
      </c>
      <c r="N9" s="2">
        <v>5000</v>
      </c>
      <c r="O9" s="2">
        <f t="shared" si="8"/>
        <v>19050</v>
      </c>
      <c r="P9" s="1">
        <f t="shared" si="9"/>
        <v>20574</v>
      </c>
      <c r="Q9" s="1">
        <f t="shared" si="10"/>
        <v>23431.5</v>
      </c>
      <c r="R9">
        <f t="shared" si="11"/>
        <v>4.2905405405405403</v>
      </c>
    </row>
    <row r="10" spans="1:27" ht="18.5" x14ac:dyDescent="0.45">
      <c r="A10" s="17">
        <f t="shared" si="0"/>
        <v>370</v>
      </c>
      <c r="B10" s="18">
        <f>ROUNDDOWN(Rozbudowa!B14/A2,0)</f>
        <v>2</v>
      </c>
      <c r="C10" s="17">
        <f t="shared" si="1"/>
        <v>740</v>
      </c>
      <c r="D10" s="17">
        <f t="shared" si="2"/>
        <v>860</v>
      </c>
      <c r="E10" s="17">
        <f t="shared" si="3"/>
        <v>440</v>
      </c>
      <c r="F10" s="17">
        <f t="shared" si="4"/>
        <v>240</v>
      </c>
      <c r="G10" s="17">
        <f>G2</f>
        <v>1000</v>
      </c>
      <c r="H10" s="19">
        <v>0</v>
      </c>
      <c r="I10" s="19">
        <f t="shared" si="6"/>
        <v>240</v>
      </c>
      <c r="J10" s="1">
        <f t="shared" si="12"/>
        <v>0</v>
      </c>
      <c r="K10" s="1">
        <f t="shared" si="12"/>
        <v>0</v>
      </c>
      <c r="L10" s="2">
        <f t="shared" si="13"/>
        <v>2780</v>
      </c>
      <c r="M10" s="1">
        <f t="shared" si="7"/>
        <v>3419.4</v>
      </c>
      <c r="N10" s="20">
        <f>N2</f>
        <v>2903.1194447494636</v>
      </c>
      <c r="O10" s="20">
        <f>D10+E10+F10+G10+H10+I10+N10+J10+K10</f>
        <v>5683.1194447494636</v>
      </c>
      <c r="P10" s="17">
        <f t="shared" si="9"/>
        <v>6137.769000329421</v>
      </c>
      <c r="Q10" s="17">
        <f t="shared" si="10"/>
        <v>6990.2369170418397</v>
      </c>
      <c r="R10" s="18">
        <f t="shared" si="11"/>
        <v>7.6798911415533295</v>
      </c>
      <c r="S10" s="16">
        <f>IF(C10&lt;4000,Falownik!G3,IF(C10&lt;5000,Falownik!G4,IF(C10&lt;6000,Falownik!G5,IF(C10&lt;8000,Falownik!G6,IF(C10&lt;10000,Falownik!G8,IF(C10&lt;12000,Falownik!G10,IF(C10&lt;15000,Falownik!G11,IF(C10&lt;17000,Falownik!G12,IF(C10&lt;20000,Falownik!G14,IF(C10&lt;25000,Falownik!G15,"100000"))))))))))</f>
        <v>3550</v>
      </c>
      <c r="T10" s="16"/>
      <c r="U10" s="16"/>
      <c r="V10" s="16"/>
      <c r="W10" s="16"/>
      <c r="X10" s="16"/>
      <c r="Y10" s="16"/>
      <c r="Z10" s="16"/>
      <c r="AA10" s="16"/>
    </row>
    <row r="11" spans="1:2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2"/>
      <c r="O11" s="2"/>
      <c r="P11" s="1"/>
      <c r="Q11" s="1"/>
    </row>
    <row r="12" spans="1:27" x14ac:dyDescent="0.35">
      <c r="A12" s="3"/>
      <c r="B12" s="4"/>
      <c r="C12" s="4"/>
      <c r="D12" s="4"/>
      <c r="E12" s="4"/>
      <c r="F12" s="3"/>
      <c r="G12" s="3"/>
      <c r="H12" s="1"/>
      <c r="I12" s="1"/>
      <c r="J12" s="1"/>
      <c r="K12" s="1"/>
      <c r="L12" s="2"/>
      <c r="M12" s="1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2"/>
      <c r="O13" s="2"/>
      <c r="P13" s="1"/>
      <c r="Q13" s="1"/>
    </row>
    <row r="14" spans="1:27" ht="18.5" x14ac:dyDescent="0.45">
      <c r="A14" s="17"/>
      <c r="B14" s="18"/>
      <c r="C14" s="17"/>
      <c r="D14" s="17"/>
      <c r="E14" s="17"/>
      <c r="F14" s="17"/>
      <c r="G14" s="17"/>
      <c r="H14" s="19"/>
      <c r="I14" s="19"/>
      <c r="J14" s="19"/>
      <c r="K14" s="19"/>
      <c r="L14" s="20"/>
      <c r="M14" s="19"/>
      <c r="N14" s="20"/>
      <c r="O14" s="20"/>
      <c r="P14" s="17"/>
      <c r="Q14" s="17"/>
      <c r="R14" s="18"/>
      <c r="S14" s="16"/>
      <c r="T14" s="16"/>
      <c r="U14" s="16"/>
      <c r="V14" s="16"/>
      <c r="W14" s="4"/>
      <c r="X14" s="4"/>
      <c r="Y14" s="4"/>
      <c r="Z14" s="4"/>
      <c r="AA14" s="4"/>
    </row>
  </sheetData>
  <mergeCells count="3">
    <mergeCell ref="L1:M1"/>
    <mergeCell ref="O1:Q1"/>
    <mergeCell ref="S1:U1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2653-05B9-44CE-ACA8-11718FE692E5}">
  <sheetPr codeName="Arkusz10"/>
  <dimension ref="A1:M29"/>
  <sheetViews>
    <sheetView workbookViewId="0">
      <selection activeCell="F20" sqref="F20"/>
    </sheetView>
  </sheetViews>
  <sheetFormatPr defaultRowHeight="14.5" x14ac:dyDescent="0.35"/>
  <cols>
    <col min="3" max="3" width="70.1796875" customWidth="1"/>
    <col min="8" max="8" width="10.7265625" customWidth="1"/>
  </cols>
  <sheetData>
    <row r="1" spans="1:13" x14ac:dyDescent="0.35">
      <c r="A1" s="115"/>
      <c r="B1" s="115"/>
      <c r="C1" s="115"/>
      <c r="D1" s="115"/>
      <c r="F1" s="115" t="s">
        <v>169</v>
      </c>
      <c r="G1" s="117" t="s">
        <v>170</v>
      </c>
      <c r="H1" s="115"/>
      <c r="I1" s="115"/>
      <c r="J1" s="121"/>
      <c r="L1" s="145" t="s">
        <v>79</v>
      </c>
      <c r="M1" s="145"/>
    </row>
    <row r="2" spans="1:13" ht="29" x14ac:dyDescent="0.35">
      <c r="A2" s="116" t="s">
        <v>36</v>
      </c>
      <c r="B2" s="116" t="s">
        <v>16</v>
      </c>
      <c r="C2" s="116" t="s">
        <v>3</v>
      </c>
      <c r="D2" s="116" t="s">
        <v>21</v>
      </c>
      <c r="E2" s="32" t="s">
        <v>149</v>
      </c>
      <c r="F2" s="116">
        <v>430</v>
      </c>
      <c r="G2" s="118"/>
      <c r="H2" s="116" t="s">
        <v>174</v>
      </c>
      <c r="I2" s="119"/>
      <c r="J2" s="122"/>
      <c r="L2" t="s">
        <v>175</v>
      </c>
      <c r="M2" t="s">
        <v>173</v>
      </c>
    </row>
    <row r="3" spans="1:13" s="6" customFormat="1" x14ac:dyDescent="0.35">
      <c r="A3" s="77">
        <v>1100</v>
      </c>
      <c r="B3" s="77">
        <v>380</v>
      </c>
      <c r="C3" s="80" t="s">
        <v>134</v>
      </c>
      <c r="D3" s="78">
        <f t="shared" ref="D3:D13" si="0">A3/B3</f>
        <v>2.8947368421052633</v>
      </c>
      <c r="E3" s="76">
        <f t="shared" ref="E3:E13" si="1">D3/4.55</f>
        <v>0.63620589936379413</v>
      </c>
      <c r="F3" s="6">
        <f>F2</f>
        <v>430</v>
      </c>
      <c r="G3" s="79">
        <f>(F3*0.2)*((D3-$D$17)/($D$15-$D$17))</f>
        <v>86</v>
      </c>
      <c r="H3" s="78">
        <f>F3+G3</f>
        <v>516</v>
      </c>
      <c r="I3" s="78"/>
      <c r="J3" s="120">
        <v>9</v>
      </c>
      <c r="L3" s="6">
        <f>IF(J3=1,A3,IF(J3=2,A4,IF(J3=3,A5,IF(J3=4,A6,IF(J3=5,A7,IF(J3=6,A8,IF(J3=7,A9,IF(J3=8,A10,IF(J3=9,A11,IF(J3=10,A12,A13))))))))))</f>
        <v>430</v>
      </c>
      <c r="M3" s="6">
        <f>IF(J20=1,A3,IF(J20=2,A4,IF(J20=3,A5,IF(J20=4,A6,IF(J20=5,A7,IF(J20=6,A8,IF(J20=7,A9,IF(J20=8,A10,IF(J20=9,A11,IF(J20=10,A12,IF(J20=18,A20,IF(J20=19,A21,IF(J20=20,A22,IF(J20=21,A23,A24))))))))))))))</f>
        <v>405</v>
      </c>
    </row>
    <row r="4" spans="1:13" x14ac:dyDescent="0.35">
      <c r="A4" s="77">
        <v>800</v>
      </c>
      <c r="B4" s="77">
        <v>355</v>
      </c>
      <c r="C4" s="81" t="s">
        <v>135</v>
      </c>
      <c r="D4" s="78">
        <f t="shared" si="0"/>
        <v>2.2535211267605635</v>
      </c>
      <c r="E4" s="76">
        <f t="shared" si="1"/>
        <v>0.49527936851880516</v>
      </c>
      <c r="F4" s="6">
        <f t="shared" ref="F4:F13" si="2">F3</f>
        <v>430</v>
      </c>
      <c r="G4" s="79">
        <f t="shared" ref="G4:G12" si="3">(F4*0.2)*((D4-$D$17)/($D$15-$D$17))</f>
        <v>56.683981235053089</v>
      </c>
      <c r="H4" s="78">
        <f t="shared" ref="H4" si="4">F4+G4</f>
        <v>486.68398123505307</v>
      </c>
      <c r="I4" s="78"/>
    </row>
    <row r="5" spans="1:13" x14ac:dyDescent="0.35">
      <c r="A5" s="77">
        <v>680</v>
      </c>
      <c r="B5" s="77">
        <v>350</v>
      </c>
      <c r="C5" s="77" t="s">
        <v>131</v>
      </c>
      <c r="D5" s="78">
        <f t="shared" si="0"/>
        <v>1.9428571428571428</v>
      </c>
      <c r="E5" s="76">
        <f t="shared" si="1"/>
        <v>0.42700156985871274</v>
      </c>
      <c r="F5" s="6">
        <f t="shared" si="2"/>
        <v>430</v>
      </c>
      <c r="G5" s="79">
        <f t="shared" si="3"/>
        <v>42.480600120462135</v>
      </c>
      <c r="H5" s="78">
        <f t="shared" ref="H5:H13" si="5">F5+G5</f>
        <v>472.48060012046216</v>
      </c>
      <c r="I5" s="78"/>
      <c r="L5" s="145" t="s">
        <v>176</v>
      </c>
      <c r="M5" s="145"/>
    </row>
    <row r="6" spans="1:13" x14ac:dyDescent="0.35">
      <c r="A6" s="77">
        <v>480</v>
      </c>
      <c r="B6" s="77">
        <v>325</v>
      </c>
      <c r="C6" s="85" t="s">
        <v>137</v>
      </c>
      <c r="D6" s="78">
        <f t="shared" si="0"/>
        <v>1.476923076923077</v>
      </c>
      <c r="E6" s="76">
        <f t="shared" si="1"/>
        <v>0.3245984784446323</v>
      </c>
      <c r="F6" s="6">
        <f t="shared" si="2"/>
        <v>430</v>
      </c>
      <c r="G6" s="79">
        <f t="shared" si="3"/>
        <v>21.178358935047321</v>
      </c>
      <c r="H6" s="78">
        <f t="shared" si="5"/>
        <v>451.1783589350473</v>
      </c>
      <c r="I6" s="78"/>
      <c r="L6">
        <f>IF(J3=1,H3,IF(J3=2,H4,IF(J3=3,H5,IF(J3=4,H6,IF(J3=5,H7,IF(J3=6,H8,IF(J3=7,H9,IF(J3=8,H10,IF(J3=9,H11,IF(J3=10,H12,H13))))))))))</f>
        <v>436.78766846570602</v>
      </c>
      <c r="M6">
        <f>IF(J20=1,H3,IF(J20=2,H4,IF(J20=3,H5,IF(J20=4,H6,IF(J20=5,H7,IF(J20=6,H8,IF(J20=7,H9,IF(J20=8,H10,IF(J20=9,H11,IF(J20=10,H12,IF(J20=18,H20,IF(J20=19,H21,IF(J20=20,H22,IF(J20=21,H23,H24))))))))))))))</f>
        <v>550</v>
      </c>
    </row>
    <row r="7" spans="1:13" x14ac:dyDescent="0.35">
      <c r="A7" s="82">
        <v>550</v>
      </c>
      <c r="B7" s="82">
        <v>400</v>
      </c>
      <c r="C7" s="83" t="s">
        <v>132</v>
      </c>
      <c r="D7" s="78">
        <f t="shared" si="0"/>
        <v>1.375</v>
      </c>
      <c r="E7" s="76">
        <f t="shared" si="1"/>
        <v>0.30219780219780223</v>
      </c>
      <c r="F7" s="6">
        <f t="shared" si="2"/>
        <v>430</v>
      </c>
      <c r="G7" s="79">
        <f t="shared" si="3"/>
        <v>16.518493675737826</v>
      </c>
      <c r="H7" s="78">
        <f t="shared" si="5"/>
        <v>446.51849367573783</v>
      </c>
      <c r="I7" s="78"/>
    </row>
    <row r="8" spans="1:13" x14ac:dyDescent="0.35">
      <c r="A8" s="77">
        <v>480</v>
      </c>
      <c r="B8" s="77">
        <v>385</v>
      </c>
      <c r="C8" s="82" t="s">
        <v>126</v>
      </c>
      <c r="D8" s="78">
        <f t="shared" si="0"/>
        <v>1.2467532467532467</v>
      </c>
      <c r="E8" s="76">
        <f t="shared" si="1"/>
        <v>0.27401170258313118</v>
      </c>
      <c r="F8" s="6">
        <f t="shared" si="2"/>
        <v>430</v>
      </c>
      <c r="G8" s="79">
        <f t="shared" si="3"/>
        <v>10.655124867466757</v>
      </c>
      <c r="H8" s="78">
        <f t="shared" si="5"/>
        <v>440.65512486746678</v>
      </c>
      <c r="I8" s="78"/>
      <c r="L8" s="145" t="s">
        <v>177</v>
      </c>
      <c r="M8" s="145"/>
    </row>
    <row r="9" spans="1:13" x14ac:dyDescent="0.35">
      <c r="A9" s="77">
        <v>440</v>
      </c>
      <c r="B9" s="77">
        <v>360</v>
      </c>
      <c r="C9" s="82" t="s">
        <v>133</v>
      </c>
      <c r="D9" s="78">
        <f t="shared" si="0"/>
        <v>1.2222222222222223</v>
      </c>
      <c r="E9" s="76">
        <f t="shared" si="1"/>
        <v>0.26862026862026867</v>
      </c>
      <c r="F9" s="6">
        <f t="shared" si="2"/>
        <v>430</v>
      </c>
      <c r="G9" s="79">
        <f t="shared" si="3"/>
        <v>9.5335803415527458</v>
      </c>
      <c r="H9" s="78">
        <f t="shared" si="5"/>
        <v>439.53358034155275</v>
      </c>
      <c r="I9" s="78"/>
      <c r="L9">
        <f>IF(J3=1,B3,IF(J3=2,B4,IF(J3=3,B5,IF(J3=4,B6,IF(J3=5,B7,IF(J3=6,B8,IF(J3=7,B9,IF(J3=8,B10,IF(J3=9,B11,IF(J3=10,B12,B13))))))))))</f>
        <v>370</v>
      </c>
      <c r="M9">
        <f>IF(J20=1,B3,IF(J20=2,B4,IF(J20=3,B5,IF(J20=4,B6,IF(J20=5,B7,IF(J20=6,B8,IF(J20=7,B9,IF(J20=8,B10,IF(J20=9,B11,IF(J20=10,B12,IF(J20=18,B20,IF(J20=19,B21,IF(J20=20,B22,IF(J20=21,B23,B24))))))))))))))</f>
        <v>440</v>
      </c>
    </row>
    <row r="10" spans="1:13" x14ac:dyDescent="0.35">
      <c r="A10" s="77">
        <v>390</v>
      </c>
      <c r="B10" s="77">
        <v>330</v>
      </c>
      <c r="C10" s="84" t="s">
        <v>146</v>
      </c>
      <c r="D10" s="78">
        <f t="shared" si="0"/>
        <v>1.1818181818181819</v>
      </c>
      <c r="E10" s="76">
        <f t="shared" si="1"/>
        <v>0.25974025974025977</v>
      </c>
      <c r="F10" s="6">
        <f t="shared" si="2"/>
        <v>430</v>
      </c>
      <c r="G10" s="79">
        <f t="shared" si="3"/>
        <v>7.6863305341649539</v>
      </c>
      <c r="H10" s="78">
        <f t="shared" si="5"/>
        <v>437.68633053416494</v>
      </c>
      <c r="I10" s="78"/>
    </row>
    <row r="11" spans="1:13" x14ac:dyDescent="0.35">
      <c r="A11" s="77">
        <v>430</v>
      </c>
      <c r="B11" s="77">
        <v>370</v>
      </c>
      <c r="C11" s="84" t="s">
        <v>147</v>
      </c>
      <c r="D11" s="78">
        <f t="shared" si="0"/>
        <v>1.1621621621621621</v>
      </c>
      <c r="E11" s="76">
        <f t="shared" si="1"/>
        <v>0.25542025542025543</v>
      </c>
      <c r="F11" s="6">
        <f t="shared" si="2"/>
        <v>430</v>
      </c>
      <c r="G11" s="79">
        <f t="shared" si="3"/>
        <v>6.7876684657060204</v>
      </c>
      <c r="H11" s="78">
        <f t="shared" si="5"/>
        <v>436.78766846570602</v>
      </c>
      <c r="I11" s="78"/>
    </row>
    <row r="12" spans="1:13" x14ac:dyDescent="0.35">
      <c r="A12" s="86">
        <v>370</v>
      </c>
      <c r="B12" s="86">
        <v>365</v>
      </c>
      <c r="C12" s="75" t="s">
        <v>151</v>
      </c>
      <c r="D12" s="78">
        <f t="shared" si="0"/>
        <v>1.0136986301369864</v>
      </c>
      <c r="E12" s="76">
        <f t="shared" si="1"/>
        <v>0.22279090772241458</v>
      </c>
      <c r="F12" s="6">
        <f t="shared" si="2"/>
        <v>430</v>
      </c>
      <c r="G12" s="79">
        <f t="shared" si="3"/>
        <v>0</v>
      </c>
      <c r="H12" s="78">
        <f t="shared" si="5"/>
        <v>430</v>
      </c>
      <c r="I12" s="78"/>
    </row>
    <row r="13" spans="1:13" x14ac:dyDescent="0.35">
      <c r="A13" s="86">
        <f>KALKULATOR!A42</f>
        <v>300</v>
      </c>
      <c r="B13" s="86">
        <f>KALKULATOR!B42</f>
        <v>310</v>
      </c>
      <c r="C13" s="86" t="str">
        <f>KALKULATOR!C42</f>
        <v>oph</v>
      </c>
      <c r="D13" s="78">
        <f t="shared" si="0"/>
        <v>0.967741935483871</v>
      </c>
      <c r="E13" s="76">
        <f t="shared" si="1"/>
        <v>0.21269053527118045</v>
      </c>
      <c r="F13" s="6">
        <f t="shared" si="2"/>
        <v>430</v>
      </c>
      <c r="G13" s="79">
        <v>100</v>
      </c>
      <c r="H13" s="78">
        <f t="shared" si="5"/>
        <v>530</v>
      </c>
      <c r="I13" s="78"/>
    </row>
    <row r="14" spans="1:13" x14ac:dyDescent="0.35">
      <c r="D14" t="s">
        <v>171</v>
      </c>
    </row>
    <row r="15" spans="1:13" x14ac:dyDescent="0.35">
      <c r="D15" s="112">
        <f>MAX(D3:D12)</f>
        <v>2.8947368421052633</v>
      </c>
    </row>
    <row r="16" spans="1:13" x14ac:dyDescent="0.35">
      <c r="D16" t="s">
        <v>172</v>
      </c>
    </row>
    <row r="17" spans="1:10" x14ac:dyDescent="0.35">
      <c r="D17" s="112">
        <f>MIN(D3:D12)</f>
        <v>1.0136986301369864</v>
      </c>
    </row>
    <row r="19" spans="1:10" x14ac:dyDescent="0.35">
      <c r="C19" t="s">
        <v>173</v>
      </c>
      <c r="F19">
        <v>550</v>
      </c>
    </row>
    <row r="20" spans="1:10" x14ac:dyDescent="0.35">
      <c r="A20" s="77">
        <v>870</v>
      </c>
      <c r="B20" s="77">
        <v>410</v>
      </c>
      <c r="C20" s="77" t="s">
        <v>136</v>
      </c>
      <c r="D20" s="78">
        <f>A20/B20</f>
        <v>2.1219512195121952</v>
      </c>
      <c r="E20" s="76">
        <f>D20/4.55</f>
        <v>0.46636290538729569</v>
      </c>
      <c r="F20" s="6">
        <f>F19</f>
        <v>550</v>
      </c>
      <c r="G20" s="79">
        <f t="shared" ref="G20:G23" si="6">(F20*0.3)*((D20-$D$29)/($D$15-$D$17))</f>
        <v>105.39230407875179</v>
      </c>
      <c r="H20" s="78">
        <f>F20+G20</f>
        <v>655.39230407875175</v>
      </c>
      <c r="I20" s="78"/>
      <c r="J20">
        <v>22</v>
      </c>
    </row>
    <row r="21" spans="1:10" x14ac:dyDescent="0.35">
      <c r="A21" s="77">
        <v>710</v>
      </c>
      <c r="B21" s="77">
        <v>415</v>
      </c>
      <c r="C21" s="85" t="s">
        <v>138</v>
      </c>
      <c r="D21" s="78">
        <f>A21/B21</f>
        <v>1.7108433734939759</v>
      </c>
      <c r="E21" s="76">
        <f>D21/4.55</f>
        <v>0.37600953263603865</v>
      </c>
      <c r="F21" s="6">
        <f t="shared" ref="F21:F24" si="7">F20</f>
        <v>550</v>
      </c>
      <c r="G21" s="79">
        <f t="shared" si="6"/>
        <v>69.330944898797952</v>
      </c>
      <c r="H21" s="78">
        <f>F21+G21</f>
        <v>619.33094489879795</v>
      </c>
      <c r="I21" s="78"/>
    </row>
    <row r="22" spans="1:10" x14ac:dyDescent="0.35">
      <c r="A22" s="86">
        <v>540</v>
      </c>
      <c r="B22" s="86">
        <v>440</v>
      </c>
      <c r="C22" s="75" t="s">
        <v>152</v>
      </c>
      <c r="D22" s="78">
        <f>A22/B22</f>
        <v>1.2272727272727273</v>
      </c>
      <c r="E22" s="76">
        <f>D22/4.55</f>
        <v>0.26973026973026976</v>
      </c>
      <c r="F22" s="6">
        <f t="shared" si="7"/>
        <v>550</v>
      </c>
      <c r="G22" s="79">
        <f t="shared" si="6"/>
        <v>26.913328861632817</v>
      </c>
      <c r="H22" s="78">
        <f>F22+G22</f>
        <v>576.91332886163286</v>
      </c>
      <c r="I22" s="78"/>
    </row>
    <row r="23" spans="1:10" x14ac:dyDescent="0.35">
      <c r="A23" s="86">
        <v>430</v>
      </c>
      <c r="B23" s="86">
        <v>450</v>
      </c>
      <c r="C23" s="75" t="s">
        <v>150</v>
      </c>
      <c r="D23" s="78">
        <f>A23/B23</f>
        <v>0.9555555555555556</v>
      </c>
      <c r="E23" s="76">
        <f>D23/4.55</f>
        <v>0.21001221001221004</v>
      </c>
      <c r="F23" s="6">
        <f t="shared" si="7"/>
        <v>550</v>
      </c>
      <c r="G23" s="79">
        <f t="shared" si="6"/>
        <v>3.0789734253226086</v>
      </c>
      <c r="H23" s="78">
        <f>F23+G23</f>
        <v>553.0789734253226</v>
      </c>
      <c r="I23" s="78"/>
    </row>
    <row r="24" spans="1:10" x14ac:dyDescent="0.35">
      <c r="A24" s="86">
        <v>405</v>
      </c>
      <c r="B24" s="86">
        <v>440</v>
      </c>
      <c r="C24" s="75" t="s">
        <v>148</v>
      </c>
      <c r="D24" s="78">
        <f>A24/B24</f>
        <v>0.92045454545454541</v>
      </c>
      <c r="E24" s="76">
        <f>D24/4.55</f>
        <v>0.2022977022977023</v>
      </c>
      <c r="F24" s="6">
        <f t="shared" si="7"/>
        <v>550</v>
      </c>
      <c r="G24" s="79">
        <f>(F24*0.3)*((D24-$D$29)/($D$15-$D$17))</f>
        <v>0</v>
      </c>
      <c r="H24" s="78">
        <f>F24+G24</f>
        <v>550</v>
      </c>
      <c r="I24" s="78"/>
    </row>
    <row r="25" spans="1:10" x14ac:dyDescent="0.35">
      <c r="E25" s="32"/>
    </row>
    <row r="26" spans="1:10" x14ac:dyDescent="0.35">
      <c r="D26" s="32" t="s">
        <v>171</v>
      </c>
      <c r="E26" s="32"/>
      <c r="F26" s="32"/>
      <c r="G26" s="32"/>
      <c r="H26" s="32"/>
      <c r="I26" s="32"/>
    </row>
    <row r="27" spans="1:10" x14ac:dyDescent="0.35">
      <c r="D27" s="112">
        <f>MAX(D3:D24)</f>
        <v>2.8947368421052633</v>
      </c>
    </row>
    <row r="28" spans="1:10" x14ac:dyDescent="0.35">
      <c r="D28" t="s">
        <v>172</v>
      </c>
    </row>
    <row r="29" spans="1:10" x14ac:dyDescent="0.35">
      <c r="D29" s="112">
        <f>MIN(D3:D24)</f>
        <v>0.92045454545454541</v>
      </c>
    </row>
  </sheetData>
  <sheetProtection formatColumns="0" formatRows="0" insertColumns="0" insertRows="0" insertHyperlinks="0" deleteColumns="0" deleteRows="0" sort="0" autoFilter="0" pivotTables="0"/>
  <sortState xmlns:xlrd2="http://schemas.microsoft.com/office/spreadsheetml/2017/richdata2" ref="A1:J21">
    <sortCondition descending="1" ref="D5:D21"/>
  </sortState>
  <mergeCells count="3">
    <mergeCell ref="L1:M1"/>
    <mergeCell ref="L5:M5"/>
    <mergeCell ref="L8:M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5E06-9062-4FBA-9D39-E171325E4B4B}">
  <sheetPr codeName="Arkusz11"/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4" t="s">
        <v>4</v>
      </c>
    </row>
    <row r="2" spans="1:2" x14ac:dyDescent="0.35">
      <c r="A2">
        <v>165</v>
      </c>
      <c r="B2" t="s">
        <v>60</v>
      </c>
    </row>
    <row r="3" spans="1:2" x14ac:dyDescent="0.35">
      <c r="A3" s="4">
        <v>220</v>
      </c>
      <c r="B3" t="s">
        <v>61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FDF2-88D7-450C-AE4E-BF0746A46C31}">
  <sheetPr codeName="Arkusz12"/>
  <dimension ref="A1:G17"/>
  <sheetViews>
    <sheetView workbookViewId="0">
      <selection activeCell="D1" sqref="D1"/>
    </sheetView>
  </sheetViews>
  <sheetFormatPr defaultRowHeight="14.5" x14ac:dyDescent="0.35"/>
  <cols>
    <col min="6" max="6" width="28.90625" customWidth="1"/>
  </cols>
  <sheetData>
    <row r="1" spans="1:7" ht="13.5" customHeight="1" x14ac:dyDescent="0.35">
      <c r="A1" s="4" t="s">
        <v>180</v>
      </c>
      <c r="B1" s="4" t="s">
        <v>181</v>
      </c>
      <c r="C1" s="4" t="s">
        <v>182</v>
      </c>
      <c r="D1" s="4">
        <v>1</v>
      </c>
      <c r="E1">
        <v>75</v>
      </c>
      <c r="F1" s="6" t="s">
        <v>62</v>
      </c>
      <c r="G1" t="e">
        <f>IF(#REF!&gt;6500,"brak możliwości montażu",Konstrukcja!F1)</f>
        <v>#REF!</v>
      </c>
    </row>
    <row r="2" spans="1:7" ht="13.5" customHeight="1" x14ac:dyDescent="0.35">
      <c r="A2">
        <v>1</v>
      </c>
      <c r="B2">
        <v>1</v>
      </c>
      <c r="C2">
        <v>1</v>
      </c>
      <c r="D2">
        <v>0.95</v>
      </c>
      <c r="E2">
        <v>55</v>
      </c>
      <c r="F2" t="s">
        <v>63</v>
      </c>
      <c r="G2" t="e">
        <f>IF(#REF!&gt;6500,"brak możliwości montażu",Konstrukcja!F2)</f>
        <v>#REF!</v>
      </c>
    </row>
    <row r="3" spans="1:7" ht="13.5" customHeight="1" x14ac:dyDescent="0.35">
      <c r="A3" s="4">
        <v>2</v>
      </c>
      <c r="B3" s="4">
        <v>1.05</v>
      </c>
      <c r="C3" s="4">
        <v>1.2</v>
      </c>
      <c r="D3">
        <v>1.1499999999999999</v>
      </c>
      <c r="E3">
        <v>120</v>
      </c>
      <c r="F3" s="6" t="s">
        <v>64</v>
      </c>
      <c r="G3" t="e">
        <f>IF(#REF!&gt;6500,"brak możliwości montażu",Konstrukcja!F3)</f>
        <v>#REF!</v>
      </c>
    </row>
    <row r="4" spans="1:7" ht="13.5" customHeight="1" x14ac:dyDescent="0.35">
      <c r="A4">
        <v>3</v>
      </c>
      <c r="B4">
        <v>1.1000000000000001</v>
      </c>
      <c r="C4">
        <v>1.3</v>
      </c>
      <c r="D4" s="4">
        <v>1.1000000000000001</v>
      </c>
      <c r="E4" s="4">
        <v>125</v>
      </c>
      <c r="F4" s="12" t="s">
        <v>66</v>
      </c>
      <c r="G4" t="e">
        <f>IF(#REF!&gt;6500,"brak możliwości montażu",Konstrukcja!F4)</f>
        <v>#REF!</v>
      </c>
    </row>
    <row r="5" spans="1:7" ht="13.5" customHeight="1" x14ac:dyDescent="0.35">
      <c r="A5" s="4">
        <v>4</v>
      </c>
      <c r="B5" s="4">
        <v>1.2</v>
      </c>
      <c r="C5">
        <v>1.4</v>
      </c>
      <c r="D5" s="4">
        <v>1.2</v>
      </c>
      <c r="E5" s="4">
        <v>150</v>
      </c>
      <c r="F5" s="12" t="s">
        <v>65</v>
      </c>
      <c r="G5" t="e">
        <f>IF(#REF!&gt;6500,"brak możliwości montażu",Konstrukcja!F5)</f>
        <v>#REF!</v>
      </c>
    </row>
    <row r="6" spans="1:7" ht="13.5" customHeight="1" x14ac:dyDescent="0.35">
      <c r="A6" t="s">
        <v>19</v>
      </c>
      <c r="B6">
        <v>1.3</v>
      </c>
      <c r="C6">
        <v>1.5</v>
      </c>
      <c r="D6" s="4">
        <v>1.2</v>
      </c>
      <c r="E6" s="4">
        <v>210</v>
      </c>
      <c r="F6" s="12" t="s">
        <v>67</v>
      </c>
      <c r="G6" t="e">
        <f>IF(#REF!&gt;6500,"brak możliwości montażu",Konstrukcja!F6)</f>
        <v>#REF!</v>
      </c>
    </row>
    <row r="7" spans="1:7" ht="13.5" customHeight="1" x14ac:dyDescent="0.35">
      <c r="C7" s="4"/>
      <c r="D7">
        <v>1.2</v>
      </c>
      <c r="E7">
        <v>200</v>
      </c>
      <c r="F7" s="6" t="s">
        <v>118</v>
      </c>
      <c r="G7" t="str">
        <f>F7</f>
        <v>Grunt konstrukcja KENO</v>
      </c>
    </row>
    <row r="8" spans="1:7" ht="13.5" customHeight="1" x14ac:dyDescent="0.35">
      <c r="D8" s="4">
        <v>1.2</v>
      </c>
      <c r="E8">
        <v>370</v>
      </c>
      <c r="F8" s="6" t="s">
        <v>119</v>
      </c>
      <c r="G8" t="str">
        <f>F8</f>
        <v>Grunt konstrukcja inna</v>
      </c>
    </row>
    <row r="9" spans="1:7" ht="13.5" customHeight="1" x14ac:dyDescent="0.35"/>
    <row r="10" spans="1:7" x14ac:dyDescent="0.35">
      <c r="B10" t="s">
        <v>83</v>
      </c>
    </row>
    <row r="11" spans="1:7" x14ac:dyDescent="0.35">
      <c r="A11" t="s">
        <v>85</v>
      </c>
      <c r="B11" s="7">
        <v>2</v>
      </c>
      <c r="C11" s="4">
        <f>IF(B11=1,B2,IF(B11=2,B3,IF(B11=3,B4,IF(B11=4,B5,B6))))</f>
        <v>1.05</v>
      </c>
      <c r="F11" s="4"/>
    </row>
    <row r="12" spans="1:7" x14ac:dyDescent="0.35">
      <c r="A12" t="s">
        <v>179</v>
      </c>
      <c r="B12" s="7">
        <v>1</v>
      </c>
      <c r="C12" s="4">
        <f>IF(B12=1,C2,IF(B12=2,C3,IF(B12=3,C4,IF(B12=4,C5,C6))))</f>
        <v>1</v>
      </c>
      <c r="F12" s="4"/>
    </row>
    <row r="13" spans="1:7" x14ac:dyDescent="0.35">
      <c r="A13" t="s">
        <v>5</v>
      </c>
      <c r="B13" s="7">
        <v>3</v>
      </c>
      <c r="C13" s="4">
        <f>IF(B13=1,D1,IF(B13=2,D2,IF(B13=3,D3,IF(B13=4,D4,IF(B13=5,D5,IF(B13=6,D6,IF(B13=7,D7,D8)))))))</f>
        <v>1.1499999999999999</v>
      </c>
    </row>
    <row r="14" spans="1:7" x14ac:dyDescent="0.35">
      <c r="A14" t="s">
        <v>178</v>
      </c>
      <c r="B14">
        <v>1</v>
      </c>
      <c r="C14">
        <f>IF(B14=7,D7,D8)</f>
        <v>1.2</v>
      </c>
    </row>
    <row r="15" spans="1:7" x14ac:dyDescent="0.35">
      <c r="B15" t="s">
        <v>86</v>
      </c>
    </row>
    <row r="16" spans="1:7" x14ac:dyDescent="0.35">
      <c r="B16" s="36">
        <f>B13</f>
        <v>3</v>
      </c>
      <c r="C16">
        <f>IF(B16=1,E1,IF(B16=2,E2,IF(B16=3,E3,IF(B16=4,E4,IF(B16=5,E5,IF(B16=6,E6,IF(B16=7,E7,E8)))))))</f>
        <v>120</v>
      </c>
    </row>
    <row r="17" spans="1:3" x14ac:dyDescent="0.35">
      <c r="A17" t="s">
        <v>178</v>
      </c>
      <c r="B17">
        <f>B14</f>
        <v>1</v>
      </c>
      <c r="C17">
        <f>IF(B17=1,E7,E8)</f>
        <v>200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8314-EAFF-4765-A73E-6F96C6AF39FC}">
  <sheetPr codeName="Arkusz13"/>
  <dimension ref="A1:E7"/>
  <sheetViews>
    <sheetView workbookViewId="0">
      <selection activeCell="E4" sqref="E4"/>
    </sheetView>
  </sheetViews>
  <sheetFormatPr defaultRowHeight="14.5" x14ac:dyDescent="0.35"/>
  <cols>
    <col min="1" max="1" width="40.90625" customWidth="1"/>
  </cols>
  <sheetData>
    <row r="1" spans="1:5" x14ac:dyDescent="0.35">
      <c r="A1" t="s">
        <v>76</v>
      </c>
    </row>
    <row r="2" spans="1:5" x14ac:dyDescent="0.35">
      <c r="A2" t="s">
        <v>69</v>
      </c>
      <c r="B2" t="s">
        <v>36</v>
      </c>
      <c r="E2" t="s">
        <v>79</v>
      </c>
    </row>
    <row r="3" spans="1:5" x14ac:dyDescent="0.35">
      <c r="A3" t="s">
        <v>124</v>
      </c>
      <c r="B3">
        <v>0</v>
      </c>
      <c r="C3" t="s">
        <v>77</v>
      </c>
      <c r="E3">
        <f>IF(C4=1,B3,IF(C4=2,B4,IF(C4=3,B5,IF(C4=4,B6,B7))))</f>
        <v>0</v>
      </c>
    </row>
    <row r="4" spans="1:5" x14ac:dyDescent="0.35">
      <c r="A4" t="s">
        <v>165</v>
      </c>
      <c r="B4" s="35">
        <v>16500</v>
      </c>
      <c r="C4" s="34">
        <v>1</v>
      </c>
    </row>
    <row r="5" spans="1:5" x14ac:dyDescent="0.35">
      <c r="A5" t="s">
        <v>166</v>
      </c>
      <c r="B5" s="35">
        <v>22500</v>
      </c>
    </row>
    <row r="6" spans="1:5" x14ac:dyDescent="0.35">
      <c r="A6" t="s">
        <v>167</v>
      </c>
      <c r="B6">
        <v>39000</v>
      </c>
    </row>
    <row r="7" spans="1:5" x14ac:dyDescent="0.35">
      <c r="A7" t="s">
        <v>168</v>
      </c>
      <c r="B7">
        <v>59000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C402-3AEC-4B69-94E5-2D6358EC7F7B}">
  <sheetPr codeName="Arkusz14"/>
  <dimension ref="A1:K26"/>
  <sheetViews>
    <sheetView workbookViewId="0">
      <selection activeCell="B7" sqref="B7"/>
    </sheetView>
  </sheetViews>
  <sheetFormatPr defaultRowHeight="14.5" x14ac:dyDescent="0.35"/>
  <cols>
    <col min="3" max="3" width="17.26953125" customWidth="1"/>
  </cols>
  <sheetData>
    <row r="1" spans="1:11" x14ac:dyDescent="0.35">
      <c r="A1" t="s">
        <v>42</v>
      </c>
    </row>
    <row r="3" spans="1:11" x14ac:dyDescent="0.35">
      <c r="B3" s="14" t="s">
        <v>28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5">
      <c r="B4" s="14" t="s">
        <v>29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5">
      <c r="B5" s="14" t="s">
        <v>30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35">
      <c r="B6" s="14" t="s">
        <v>31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5">
      <c r="B7" s="15">
        <v>1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35">
      <c r="B8" s="14" t="s">
        <v>32</v>
      </c>
      <c r="C8" s="14" t="s">
        <v>33</v>
      </c>
      <c r="D8" s="14" t="s">
        <v>34</v>
      </c>
      <c r="E8" s="14" t="s">
        <v>35</v>
      </c>
      <c r="F8" s="14"/>
      <c r="G8" s="14"/>
      <c r="H8" s="14"/>
      <c r="I8" s="14"/>
      <c r="J8" s="14"/>
      <c r="K8" s="14"/>
    </row>
    <row r="9" spans="1:11" x14ac:dyDescent="0.35">
      <c r="B9" s="14">
        <f>IF(B7=1,1,IF(B7=2,0.8,0.9))</f>
        <v>1</v>
      </c>
      <c r="C9" s="14">
        <v>422</v>
      </c>
      <c r="D9" s="14">
        <v>564</v>
      </c>
      <c r="E9" s="14">
        <f>C9/D9</f>
        <v>0.74822695035460995</v>
      </c>
      <c r="F9" s="14"/>
      <c r="G9" s="14"/>
      <c r="H9" s="14"/>
      <c r="I9" s="14"/>
      <c r="J9" s="14"/>
      <c r="K9" s="14"/>
    </row>
    <row r="10" spans="1:11" x14ac:dyDescent="0.35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x14ac:dyDescent="0.35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x14ac:dyDescent="0.35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5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35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 x14ac:dyDescent="0.35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2:11" x14ac:dyDescent="0.35"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2:11" x14ac:dyDescent="0.35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x14ac:dyDescent="0.35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2:1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4" spans="2:11" x14ac:dyDescent="0.35">
      <c r="B24" t="s">
        <v>43</v>
      </c>
    </row>
    <row r="25" spans="2:11" x14ac:dyDescent="0.35">
      <c r="B25" t="s">
        <v>44</v>
      </c>
    </row>
    <row r="26" spans="2:11" x14ac:dyDescent="0.35">
      <c r="B26" s="15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0524-2D24-40E0-867E-D578C71ED98B}">
  <sheetPr codeName="Arkusz15"/>
  <dimension ref="B3:E6"/>
  <sheetViews>
    <sheetView workbookViewId="0">
      <selection activeCell="D6" sqref="D6"/>
    </sheetView>
  </sheetViews>
  <sheetFormatPr defaultRowHeight="14.5" x14ac:dyDescent="0.35"/>
  <sheetData>
    <row r="3" spans="2:5" x14ac:dyDescent="0.35">
      <c r="B3" t="s">
        <v>56</v>
      </c>
      <c r="C3" t="s">
        <v>57</v>
      </c>
      <c r="D3" t="s">
        <v>71</v>
      </c>
      <c r="E3" t="s">
        <v>82</v>
      </c>
    </row>
    <row r="4" spans="2:5" x14ac:dyDescent="0.35">
      <c r="B4" t="s">
        <v>125</v>
      </c>
      <c r="C4">
        <v>1500</v>
      </c>
      <c r="D4">
        <v>1050</v>
      </c>
    </row>
    <row r="5" spans="2:5" x14ac:dyDescent="0.35">
      <c r="B5" t="s">
        <v>124</v>
      </c>
      <c r="C5">
        <v>0</v>
      </c>
      <c r="D5">
        <v>0</v>
      </c>
    </row>
    <row r="6" spans="2:5" x14ac:dyDescent="0.35">
      <c r="B6" s="21">
        <v>2</v>
      </c>
      <c r="C6">
        <f>IF(B6=1,C4,C5)</f>
        <v>0</v>
      </c>
      <c r="D6">
        <f>IF(B6=1,D4,D5)</f>
        <v>0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78B-A9FB-41A0-A3DF-3D60F1D7E9A3}">
  <sheetPr codeName="Arkusz16"/>
  <dimension ref="A1:O20"/>
  <sheetViews>
    <sheetView workbookViewId="0">
      <selection activeCell="N10" sqref="N10"/>
    </sheetView>
  </sheetViews>
  <sheetFormatPr defaultRowHeight="14.5" x14ac:dyDescent="0.35"/>
  <cols>
    <col min="3" max="3" width="12.36328125" customWidth="1"/>
    <col min="6" max="6" width="22" customWidth="1"/>
    <col min="9" max="9" width="14" customWidth="1"/>
    <col min="11" max="11" width="20" customWidth="1"/>
    <col min="13" max="13" width="21.08984375" customWidth="1"/>
  </cols>
  <sheetData>
    <row r="1" spans="1:15" ht="15" thickBot="1" x14ac:dyDescent="0.4">
      <c r="B1" t="s">
        <v>70</v>
      </c>
      <c r="F1" s="145"/>
      <c r="G1" s="145"/>
      <c r="H1" s="88"/>
      <c r="I1" s="88"/>
      <c r="L1" t="s">
        <v>12</v>
      </c>
      <c r="M1" t="s">
        <v>71</v>
      </c>
      <c r="N1" t="s">
        <v>160</v>
      </c>
    </row>
    <row r="2" spans="1:15" ht="15" thickBot="1" x14ac:dyDescent="0.4">
      <c r="A2" s="39" t="s">
        <v>11</v>
      </c>
      <c r="B2" s="40" t="s">
        <v>12</v>
      </c>
      <c r="C2" s="40"/>
      <c r="D2" s="41" t="s">
        <v>84</v>
      </c>
      <c r="F2" s="50" t="s">
        <v>71</v>
      </c>
      <c r="G2" s="41"/>
      <c r="H2" s="32"/>
      <c r="I2" s="91" t="s">
        <v>154</v>
      </c>
      <c r="J2" s="92"/>
      <c r="K2" t="s">
        <v>79</v>
      </c>
      <c r="L2" s="37">
        <f>B19</f>
        <v>3000</v>
      </c>
      <c r="M2" s="37">
        <f>G19</f>
        <v>3550</v>
      </c>
      <c r="N2">
        <f>J19</f>
        <v>2650</v>
      </c>
      <c r="O2" s="15"/>
    </row>
    <row r="3" spans="1:15" x14ac:dyDescent="0.35">
      <c r="A3" s="42" t="s">
        <v>90</v>
      </c>
      <c r="B3" s="32">
        <v>3150</v>
      </c>
      <c r="C3" s="32"/>
      <c r="D3" s="43"/>
      <c r="F3" s="42" t="s">
        <v>107</v>
      </c>
      <c r="G3" s="43">
        <v>3550</v>
      </c>
      <c r="H3" s="32"/>
      <c r="I3" s="93" t="s">
        <v>157</v>
      </c>
      <c r="J3" s="94">
        <v>2650</v>
      </c>
      <c r="K3" t="s">
        <v>179</v>
      </c>
      <c r="L3">
        <f>B20</f>
        <v>3826</v>
      </c>
      <c r="M3">
        <f>G20</f>
        <v>3920</v>
      </c>
      <c r="N3">
        <f>J20</f>
        <v>2850</v>
      </c>
    </row>
    <row r="4" spans="1:15" ht="15" thickBot="1" x14ac:dyDescent="0.4">
      <c r="A4" s="42" t="s">
        <v>91</v>
      </c>
      <c r="B4" s="32">
        <v>3570</v>
      </c>
      <c r="C4" s="32"/>
      <c r="D4" s="43"/>
      <c r="F4" s="42" t="s">
        <v>108</v>
      </c>
      <c r="G4" s="43">
        <v>3710</v>
      </c>
      <c r="H4" s="32"/>
      <c r="I4" s="93" t="s">
        <v>156</v>
      </c>
      <c r="J4" s="94">
        <v>2850</v>
      </c>
    </row>
    <row r="5" spans="1:15" ht="15" thickBot="1" x14ac:dyDescent="0.4">
      <c r="A5" s="44" t="s">
        <v>92</v>
      </c>
      <c r="B5" s="45">
        <v>3826</v>
      </c>
      <c r="C5" s="45" t="s">
        <v>102</v>
      </c>
      <c r="D5" s="46">
        <v>7000</v>
      </c>
      <c r="E5" s="4"/>
      <c r="F5" s="42" t="s">
        <v>109</v>
      </c>
      <c r="G5" s="43">
        <v>3920</v>
      </c>
      <c r="H5" s="32"/>
      <c r="I5" s="95" t="s">
        <v>155</v>
      </c>
      <c r="J5" s="94">
        <v>2850</v>
      </c>
      <c r="K5" t="s">
        <v>88</v>
      </c>
      <c r="L5" s="37">
        <f>IF(inne!B7=1,KALKULATOR!B17,IF(inne!B7=2,KALKULATOR!B17*0.8,KALKULATOR!B17-0.9))</f>
        <v>3700</v>
      </c>
      <c r="M5" s="37">
        <f>IF(inne!B7=1,KALKULATOR!B17,IF(inne!B7=2,KALKULATOR!B17*0.8,KALKULATOR!B17-0.9))</f>
        <v>3700</v>
      </c>
      <c r="N5">
        <f>M5</f>
        <v>3700</v>
      </c>
    </row>
    <row r="6" spans="1:15" x14ac:dyDescent="0.35">
      <c r="A6" s="42" t="s">
        <v>93</v>
      </c>
      <c r="B6" s="32">
        <v>4142</v>
      </c>
      <c r="C6" s="32"/>
      <c r="D6" s="43"/>
      <c r="F6" s="42" t="s">
        <v>110</v>
      </c>
      <c r="G6" s="43">
        <v>4380</v>
      </c>
      <c r="H6" s="32"/>
      <c r="I6" s="95" t="s">
        <v>158</v>
      </c>
      <c r="J6" s="94">
        <v>3000</v>
      </c>
      <c r="K6" t="s">
        <v>179</v>
      </c>
      <c r="L6">
        <f>IF(inne!B7=1,'Inastalacja na gruncie'!B16,IF(inne!B7=2,'Inastalacja na gruncie'!B16*0.8,'Inastalacja na gruncie'!B16-0.9))</f>
        <v>5720</v>
      </c>
      <c r="M6">
        <f>L6</f>
        <v>5720</v>
      </c>
      <c r="N6">
        <f>L6</f>
        <v>5720</v>
      </c>
    </row>
    <row r="7" spans="1:15" ht="15" thickBot="1" x14ac:dyDescent="0.4">
      <c r="A7" s="44" t="s">
        <v>94</v>
      </c>
      <c r="B7" s="45">
        <v>4316</v>
      </c>
      <c r="C7" s="45" t="s">
        <v>103</v>
      </c>
      <c r="D7" s="46">
        <v>7600</v>
      </c>
      <c r="E7" s="4"/>
      <c r="F7" s="42"/>
      <c r="G7" s="43"/>
      <c r="H7" s="32"/>
      <c r="I7" s="96" t="s">
        <v>159</v>
      </c>
      <c r="J7" s="97">
        <v>3150</v>
      </c>
    </row>
    <row r="8" spans="1:15" ht="15" thickBot="1" x14ac:dyDescent="0.4">
      <c r="A8" s="42" t="s">
        <v>89</v>
      </c>
      <c r="B8" s="32">
        <v>4796</v>
      </c>
      <c r="C8" s="32" t="s">
        <v>104</v>
      </c>
      <c r="D8" s="43">
        <v>7820</v>
      </c>
      <c r="F8" s="42" t="s">
        <v>111</v>
      </c>
      <c r="G8" s="43">
        <v>5190</v>
      </c>
      <c r="H8" s="32"/>
      <c r="I8" s="32"/>
      <c r="K8" t="s">
        <v>106</v>
      </c>
      <c r="L8" s="37" t="str">
        <f>A19</f>
        <v>SE3K</v>
      </c>
      <c r="M8" s="37" t="str">
        <f>F19</f>
        <v>Sun2000-KTL3-M0</v>
      </c>
      <c r="N8" t="str">
        <f>I19</f>
        <v>Sofar 3.3 KTL-X</v>
      </c>
    </row>
    <row r="9" spans="1:15" x14ac:dyDescent="0.35">
      <c r="A9" s="44" t="s">
        <v>95</v>
      </c>
      <c r="B9" s="45">
        <v>4985</v>
      </c>
      <c r="C9" s="45"/>
      <c r="D9" s="46"/>
      <c r="E9" s="4"/>
      <c r="F9" s="42"/>
      <c r="G9" s="43"/>
      <c r="H9" s="32"/>
      <c r="I9" s="32"/>
      <c r="K9" t="s">
        <v>179</v>
      </c>
      <c r="L9" t="str">
        <f>A20</f>
        <v>SE5K</v>
      </c>
      <c r="M9" t="str">
        <f>F20</f>
        <v>Sun2000-KTL5-M0</v>
      </c>
      <c r="N9" t="str">
        <f>I20</f>
        <v>Sofar 5.5 KTL-X</v>
      </c>
    </row>
    <row r="10" spans="1:15" x14ac:dyDescent="0.35">
      <c r="A10" s="42" t="s">
        <v>96</v>
      </c>
      <c r="B10" s="32">
        <v>5177</v>
      </c>
      <c r="C10" s="32" t="s">
        <v>105</v>
      </c>
      <c r="D10" s="43">
        <v>8260</v>
      </c>
      <c r="F10" s="42" t="s">
        <v>112</v>
      </c>
      <c r="G10" s="43">
        <v>5830</v>
      </c>
      <c r="H10" s="32"/>
      <c r="I10" s="32"/>
    </row>
    <row r="11" spans="1:15" x14ac:dyDescent="0.35">
      <c r="A11" s="44" t="s">
        <v>97</v>
      </c>
      <c r="B11" s="45">
        <v>5375</v>
      </c>
      <c r="C11" s="45"/>
      <c r="D11" s="46"/>
      <c r="E11" s="4"/>
      <c r="F11" s="42" t="s">
        <v>113</v>
      </c>
      <c r="G11" s="43">
        <v>6260</v>
      </c>
      <c r="H11" s="32"/>
      <c r="I11" s="32"/>
    </row>
    <row r="12" spans="1:15" x14ac:dyDescent="0.35">
      <c r="A12" s="42" t="s">
        <v>98</v>
      </c>
      <c r="B12" s="32">
        <v>4579</v>
      </c>
      <c r="C12" s="32"/>
      <c r="D12" s="43"/>
      <c r="F12" s="42" t="s">
        <v>116</v>
      </c>
      <c r="G12" s="43">
        <v>7070</v>
      </c>
      <c r="H12" s="32"/>
      <c r="I12" s="32"/>
    </row>
    <row r="13" spans="1:15" x14ac:dyDescent="0.35">
      <c r="A13" s="44" t="s">
        <v>99</v>
      </c>
      <c r="B13" s="45">
        <v>4629</v>
      </c>
      <c r="C13" s="45"/>
      <c r="D13" s="46"/>
      <c r="E13" s="4"/>
      <c r="F13" s="42"/>
      <c r="G13" s="43"/>
      <c r="H13" s="32"/>
      <c r="I13" s="32"/>
    </row>
    <row r="14" spans="1:15" x14ac:dyDescent="0.35">
      <c r="A14" s="42" t="s">
        <v>100</v>
      </c>
      <c r="B14" s="32">
        <v>4692</v>
      </c>
      <c r="C14" s="32"/>
      <c r="D14" s="43"/>
      <c r="F14" s="42" t="s">
        <v>117</v>
      </c>
      <c r="G14" s="43">
        <v>7210</v>
      </c>
      <c r="H14" s="32"/>
      <c r="I14" s="32"/>
    </row>
    <row r="15" spans="1:15" x14ac:dyDescent="0.35">
      <c r="A15" s="44" t="s">
        <v>101</v>
      </c>
      <c r="B15" s="45">
        <v>5835</v>
      </c>
      <c r="C15" s="45"/>
      <c r="D15" s="46"/>
      <c r="E15" s="4"/>
      <c r="F15" s="42" t="s">
        <v>114</v>
      </c>
      <c r="G15" s="43">
        <v>7620</v>
      </c>
      <c r="H15" s="32"/>
      <c r="I15" s="32"/>
    </row>
    <row r="16" spans="1:15" x14ac:dyDescent="0.35">
      <c r="A16" s="42"/>
      <c r="B16" s="32"/>
      <c r="C16" s="32"/>
      <c r="D16" s="43"/>
      <c r="F16" s="42"/>
      <c r="G16" s="43"/>
      <c r="H16" s="32"/>
      <c r="I16" s="32"/>
    </row>
    <row r="17" spans="1:11" x14ac:dyDescent="0.35">
      <c r="A17" s="146" t="s">
        <v>57</v>
      </c>
      <c r="B17" s="147"/>
      <c r="C17" s="147"/>
      <c r="D17" s="148"/>
      <c r="F17" s="146" t="s">
        <v>71</v>
      </c>
      <c r="G17" s="148"/>
      <c r="H17" s="89"/>
      <c r="I17" s="146" t="s">
        <v>161</v>
      </c>
      <c r="J17" s="148"/>
    </row>
    <row r="18" spans="1:11" x14ac:dyDescent="0.35">
      <c r="A18" s="42" t="s">
        <v>115</v>
      </c>
      <c r="B18" s="32" t="s">
        <v>36</v>
      </c>
      <c r="C18" s="32" t="s">
        <v>115</v>
      </c>
      <c r="D18" s="43" t="s">
        <v>36</v>
      </c>
      <c r="F18" s="42" t="s">
        <v>115</v>
      </c>
      <c r="G18" s="43" t="s">
        <v>36</v>
      </c>
      <c r="H18" s="32"/>
      <c r="I18" s="42" t="s">
        <v>115</v>
      </c>
      <c r="J18" s="43" t="s">
        <v>36</v>
      </c>
    </row>
    <row r="19" spans="1:11" ht="15" thickBot="1" x14ac:dyDescent="0.4">
      <c r="A19" s="47" t="str">
        <f>IF(L5&lt;3680,"SE3K na 10 paneli lub falownik jednofazowy",IF(L5&lt;4000,A3,IF(L5&lt;5000,Falownik!$A$4,IF(L5&lt;6000,Falownik!$A$5,IF(L5&lt;7000,Falownik!$A$6,IF(L5&lt;8000,Falownik!$A$7,IF(L5&lt;9000,Falownik!$A$8,IF(L5&lt;10000,Falownik!$A$9,IF(L5&lt;12500,Falownik!$A$10,IF(L5&lt;16000,Falownik!$A$12,IF(L5&lt;20000,Falownik!$A$14,Falownik!$A$15)))))))))))</f>
        <v>SE3K</v>
      </c>
      <c r="B19" s="48">
        <f>IF(L5&lt;3000,2500,IF(L5&lt;4000,3000,IF(L5&lt;5000,Falownik!$B$4,IF(L5&lt;6000,Falownik!$B$5,IF(L5&lt;7000,Falownik!$B$6,IF(L5&lt;8000,Falownik!$B$7,IF(L5&lt;9000,Falownik!$B$8,IF(L5&lt;10000,Falownik!$B$9,IF(L5&lt;12500,Falownik!$B$10,IF(L5&lt;16000,Falownik!$B$12,IF(L5&lt;20000,Falownik!$B$14,1.5*Falownik!$B$12)))))))))))</f>
        <v>3000</v>
      </c>
      <c r="C19" s="48" t="str">
        <f>IF(L5&lt;7000,Falownik!$C$5,IF(L5&lt;8000,Falownik!$C$7,IF(L5&lt;10000,Falownik!$C$8,C10)))</f>
        <v>SE5K StorEdge</v>
      </c>
      <c r="D19" s="49">
        <f>IF(L5&lt;7000,Falownik!$D$5,IF(L5&lt;8000,Falownik!$D$7,IF(L5&lt;10000,Falownik!$D$8,D10)))</f>
        <v>7000</v>
      </c>
      <c r="F19" s="47" t="str">
        <f>IF(KALKULATOR!B18&lt;5,"falownik jednofazowy",IF(Falownik!M5&lt;4000,F3,IF(Falownik!M5&lt;5000,F4,IF(Falownik!M5&lt;6000,F5,IF(Falownik!M5&lt;8000,F6,IF(Falownik!M5&lt;10000,F8,"indywidualna wycena"))))))</f>
        <v>Sun2000-KTL3-M0</v>
      </c>
      <c r="G19" s="49">
        <f>IF(KALKULATOR!B18&lt;5,"falownik jednofazowy",IF(Falownik!M5&lt;4000,G3,IF(Falownik!M5&lt;5000,G4,IF(Falownik!M5&lt;6000,G5,IF(Falownik!M5&lt;8000,G6,IF(Falownik!M5&lt;12000,G8,IF(Falownik!M5&lt;12000,G10,"indywidualna wycena")))))))</f>
        <v>3550</v>
      </c>
      <c r="H19" s="32"/>
      <c r="I19" s="47" t="str">
        <f>IF(KALKULATOR!B17&lt;5,"falownik jednofazowy",IF(N5&lt;4400,I3,IF(N5&lt;5500,I4,IF(N5&lt;6600,I5,IF(N5&lt;8800,I6,IF(N5&lt;11500,I7,"wycena indywidualna"))))))</f>
        <v>Sofar 3.3 KTL-X</v>
      </c>
      <c r="J19" s="49">
        <f>IF(KALKULATOR!B17&lt;5,"falownik jednofazowy",IF(N5&lt;4400,J3,IF(N5&lt;5500,J4,IF(N5&lt;6600,J5,IF(N5&lt;8800,J6,IF(N5&lt;11500,J7,"wycena indywidualna"))))))</f>
        <v>2650</v>
      </c>
    </row>
    <row r="20" spans="1:11" x14ac:dyDescent="0.35">
      <c r="A20" t="str">
        <f>IF(L6&lt;3680,"SE3K na 10 paneli lub falownik jednofazowy",IF(L6&lt;4000,A3,IF(L6&lt;5000,Falownik!$A$4,IF(L6&lt;6000,Falownik!$A$5,IF(L6&lt;7000,Falownik!$A$6,IF(L6&lt;8000,Falownik!$A$7,IF(L6&lt;9000,Falownik!$A$8,IF(L6&lt;10000,Falownik!$A$9,IF(L6&lt;12500,Falownik!$A$10,IF(L6&lt;16000,Falownik!$A$12,IF(L6&lt;20000,Falownik!$A$14,Falownik!$A$15)))))))))))</f>
        <v>SE5K</v>
      </c>
      <c r="B20">
        <f>IF(L6&lt;3000,2500,IF(L6&lt;4000,3000,IF(L6&lt;5000,Falownik!$B$4,IF(L6&lt;6000,Falownik!$B$5,IF(L6&lt;7000,Falownik!$B$6,IF(L6&lt;8000,Falownik!$B$7,IF(L6&lt;9000,Falownik!$B$8,IF(L6&lt;10000,Falownik!$B$9,IF(L6&lt;12500,Falownik!$B$10,IF(L6&lt;16000,Falownik!$B$12,IF(L6&lt;20000,Falownik!$B$14,1.5*Falownik!$B$12)))))))))))</f>
        <v>3826</v>
      </c>
      <c r="E20" t="s">
        <v>179</v>
      </c>
      <c r="F20" t="str">
        <f>IF('Inastalacja na gruncie'!B17&lt;5,"falownik jednofazowy",IF(Falownik!M6&lt;4000,F3,IF(Falownik!M6&lt;5000,F4,IF(Falownik!M6&lt;6000,F5,IF(Falownik!M6&lt;8000,F6,IF(Falownik!M6&lt;10000,F8,"indywidualna wycena"))))))</f>
        <v>Sun2000-KTL5-M0</v>
      </c>
      <c r="G20">
        <f>IF('Inastalacja na gruncie'!B17&lt;5,"falownik jednofazowy",IF(Falownik!M6&lt;4000,G3,IF(Falownik!M6&lt;5000,G4,IF(Falownik!M6&lt;6000,G5,IF(Falownik!M6&lt;8000,G6,IF(Falownik!M6&lt;12000,G8,IF(Falownik!M6&lt;12000,G10,"indywidualna wycena")))))))</f>
        <v>3920</v>
      </c>
      <c r="H20" t="s">
        <v>179</v>
      </c>
      <c r="I20" t="str">
        <f>IF('Inastalacja na gruncie'!B17&lt;5,"falownik jednofazowy",IF(N6&lt;4400,I3,IF(N6&lt;5500,I4,IF(N6&lt;6600,I5,IF(N6&lt;8800,I6,IF(N6&lt;11500,I7,"wycena indywidualna"))))))</f>
        <v>Sofar 5.5 KTL-X</v>
      </c>
      <c r="J20">
        <f>IF('Inastalacja na gruncie'!B17&lt;5,"falownik jednofazowy",IF(N6&lt;4400,J3,IF(N6&lt;5500,J4,IF(N6&lt;6600,J5,IF(N6&lt;8800,J6,IF(N6&lt;11500,J7,"wycena indywidualna"))))))</f>
        <v>2850</v>
      </c>
      <c r="K20" t="s">
        <v>179</v>
      </c>
    </row>
  </sheetData>
  <mergeCells count="4">
    <mergeCell ref="F1:G1"/>
    <mergeCell ref="A17:D17"/>
    <mergeCell ref="F17:G17"/>
    <mergeCell ref="I17:J17"/>
  </mergeCells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E8FC-34CE-4B88-B4FE-14613B34A251}">
  <sheetPr codeName="Arkusz17"/>
  <dimension ref="A1:I12"/>
  <sheetViews>
    <sheetView workbookViewId="0">
      <selection activeCell="J22" sqref="J22"/>
    </sheetView>
  </sheetViews>
  <sheetFormatPr defaultRowHeight="14.5" x14ac:dyDescent="0.35"/>
  <cols>
    <col min="1" max="1" width="45.08984375" customWidth="1"/>
    <col min="2" max="2" width="12.90625" customWidth="1"/>
  </cols>
  <sheetData>
    <row r="1" spans="1:9" x14ac:dyDescent="0.35">
      <c r="A1" t="s">
        <v>121</v>
      </c>
      <c r="B1" t="s">
        <v>36</v>
      </c>
    </row>
    <row r="2" spans="1:9" x14ac:dyDescent="0.35">
      <c r="A2" t="str">
        <f>IF(KALKULATOR!B17&gt;6500,"Ładowarka Kablowa Noark 11kW 16A - gratis","brak")</f>
        <v>brak</v>
      </c>
      <c r="B2">
        <f>IF(KALKULATOR!B17&gt;6500,2200,0)</f>
        <v>0</v>
      </c>
      <c r="D2" s="15">
        <v>1</v>
      </c>
    </row>
    <row r="3" spans="1:9" x14ac:dyDescent="0.35">
      <c r="A3" t="s">
        <v>139</v>
      </c>
      <c r="B3">
        <f t="shared" ref="B3:B5" si="0">B4-200</f>
        <v>2210</v>
      </c>
      <c r="F3" t="s">
        <v>144</v>
      </c>
    </row>
    <row r="4" spans="1:9" x14ac:dyDescent="0.35">
      <c r="A4" t="s">
        <v>140</v>
      </c>
      <c r="B4">
        <f t="shared" si="0"/>
        <v>2410</v>
      </c>
      <c r="F4" s="36">
        <f>IF(D2=1,B2,IF(D2=2,B3,IF(D2=3,B4,IF(D2=4,B5,IF(D2=5,B6,B7)))))</f>
        <v>0</v>
      </c>
    </row>
    <row r="5" spans="1:9" x14ac:dyDescent="0.35">
      <c r="A5" t="s">
        <v>141</v>
      </c>
      <c r="B5">
        <f t="shared" si="0"/>
        <v>2610</v>
      </c>
    </row>
    <row r="6" spans="1:9" x14ac:dyDescent="0.35">
      <c r="A6" t="s">
        <v>142</v>
      </c>
      <c r="B6">
        <f>B7-200</f>
        <v>2810</v>
      </c>
    </row>
    <row r="7" spans="1:9" x14ac:dyDescent="0.35">
      <c r="A7" t="s">
        <v>143</v>
      </c>
      <c r="B7">
        <v>3010</v>
      </c>
    </row>
    <row r="10" spans="1:9" x14ac:dyDescent="0.35">
      <c r="E10">
        <v>10</v>
      </c>
      <c r="F10">
        <v>16</v>
      </c>
      <c r="G10">
        <v>20</v>
      </c>
      <c r="H10">
        <v>25</v>
      </c>
      <c r="I10">
        <v>32</v>
      </c>
    </row>
    <row r="11" spans="1:9" x14ac:dyDescent="0.35">
      <c r="E11">
        <v>230</v>
      </c>
      <c r="F11">
        <v>230</v>
      </c>
      <c r="G11">
        <v>230</v>
      </c>
      <c r="H11">
        <v>230</v>
      </c>
      <c r="I11">
        <v>230</v>
      </c>
    </row>
    <row r="12" spans="1:9" x14ac:dyDescent="0.35">
      <c r="E12">
        <f>3*E11*E10</f>
        <v>6900</v>
      </c>
      <c r="F12">
        <f t="shared" ref="F12:I12" si="1">3*F11*F10</f>
        <v>11040</v>
      </c>
      <c r="G12">
        <f t="shared" si="1"/>
        <v>13800</v>
      </c>
      <c r="H12">
        <f t="shared" si="1"/>
        <v>17250</v>
      </c>
      <c r="I12">
        <f t="shared" si="1"/>
        <v>22080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0C9EF5F1A60447A26B722847A7FEF4" ma:contentTypeVersion="11" ma:contentTypeDescription="Utwórz nowy dokument." ma:contentTypeScope="" ma:versionID="b76919bd07ddf8a94c0b54ac27e69c20">
  <xsd:schema xmlns:xsd="http://www.w3.org/2001/XMLSchema" xmlns:xs="http://www.w3.org/2001/XMLSchema" xmlns:p="http://schemas.microsoft.com/office/2006/metadata/properties" xmlns:ns3="d46e221d-16d7-457c-80bd-0b0629271eec" xmlns:ns4="f155be8b-b249-4f9d-bba5-80fb3a82ecdf" targetNamespace="http://schemas.microsoft.com/office/2006/metadata/properties" ma:root="true" ma:fieldsID="55d647bbb74bc07ec0f9e29371b25635" ns3:_="" ns4:_="">
    <xsd:import namespace="d46e221d-16d7-457c-80bd-0b0629271eec"/>
    <xsd:import namespace="f155be8b-b249-4f9d-bba5-80fb3a82e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221d-16d7-457c-80bd-0b0629271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5be8b-b249-4f9d-bba5-80fb3a82ec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6A538790-EB20-48A2-BCAC-E1240B864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221d-16d7-457c-80bd-0b0629271eec"/>
    <ds:schemaRef ds:uri="f155be8b-b249-4f9d-bba5-80fb3a82e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19637D64-157E-4A4B-A016-8B1313500A75}">
  <ds:schemaRefs>
    <ds:schemaRef ds:uri="f155be8b-b249-4f9d-bba5-80fb3a82ecdf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d46e221d-16d7-457c-80bd-0b0629271eec"/>
    <ds:schemaRef ds:uri="http://www.w3.org/XML/1998/namespace"/>
  </ds:schemaRefs>
</ds:datastoreItem>
</file>

<file path=customXml/itemProps3.xml><?xml version="1.0" encoding="utf-8"?>
<ds:datastoreItem xmlns:ds="http://purl.oclc.org/ooxml/officeDocument/customXml" ds:itemID="{A87A2D0B-F44E-4435-86BE-8D6F177FE806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KALKULATOR</vt:lpstr>
      <vt:lpstr>Promocje</vt:lpstr>
      <vt:lpstr>Inastalacja na gruncie</vt:lpstr>
      <vt:lpstr>kalkulator solaredge</vt:lpstr>
      <vt:lpstr>kalkulator huawei</vt:lpstr>
      <vt:lpstr>bieda kalkulator</vt:lpstr>
      <vt:lpstr>Rozbudowa</vt:lpstr>
      <vt:lpstr>Robocizna</vt:lpstr>
      <vt:lpstr>dokladka</vt:lpstr>
      <vt:lpstr>Panele</vt:lpstr>
      <vt:lpstr>Optymalizator</vt:lpstr>
      <vt:lpstr>Konstrukcja</vt:lpstr>
      <vt:lpstr>Akumulator</vt:lpstr>
      <vt:lpstr>inne</vt:lpstr>
      <vt:lpstr>Licznik</vt:lpstr>
      <vt:lpstr>Falownik</vt:lpstr>
      <vt:lpstr>ładowarka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Edel</dc:creator>
  <cp:lastModifiedBy>Marcin Edel</cp:lastModifiedBy>
  <cp:lastPrinted>2021-02-22T19:31:08Z</cp:lastPrinted>
  <dcterms:created xsi:type="dcterms:W3CDTF">2017-12-21T10:44:54Z</dcterms:created>
  <dcterms:modified xsi:type="dcterms:W3CDTF">2021-02-26T14:14:16Z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0x010100160C9EF5F1A60447A26B722847A7FEF4</vt:lpwstr>
  </property>
</Properties>
</file>